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9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5" sheetId="87" r:id="rId53"/>
    <sheet name="330" sheetId="24" r:id="rId54"/>
    <sheet name="307" sheetId="69" r:id="rId55"/>
    <sheet name="314" sheetId="74" r:id="rId56"/>
    <sheet name="308" sheetId="27" r:id="rId57"/>
    <sheet name="311" sheetId="71" r:id="rId58"/>
    <sheet name="324" sheetId="83" r:id="rId59"/>
    <sheet name="331" sheetId="30" r:id="rId60"/>
    <sheet name="315" sheetId="75" r:id="rId61"/>
    <sheet name="326" sheetId="85" r:id="rId62"/>
    <sheet name="332" sheetId="33" r:id="rId63"/>
    <sheet name="316" sheetId="76" r:id="rId64"/>
    <sheet name="320" sheetId="79" r:id="rId65"/>
    <sheet name="Div 6" sheetId="51" r:id="rId66"/>
    <sheet name="317" sheetId="77" r:id="rId67"/>
    <sheet name="310" sheetId="21" r:id="rId68"/>
    <sheet name="309" sheetId="70" r:id="rId69"/>
    <sheet name="313" sheetId="73" r:id="rId70"/>
    <sheet name="321" sheetId="80" r:id="rId71"/>
    <sheet name="322" sheetId="81" r:id="rId72"/>
    <sheet name="325" sheetId="84" r:id="rId73"/>
    <sheet name="327" sheetId="86" r:id="rId74"/>
    <sheet name="Div 4" sheetId="36" r:id="rId75"/>
    <sheet name="310 &amp; 491" sheetId="39" r:id="rId76"/>
    <sheet name="491" sheetId="42" r:id="rId77"/>
    <sheet name="405" sheetId="88" r:id="rId78"/>
    <sheet name="406" sheetId="89" r:id="rId79"/>
    <sheet name="411" sheetId="92" r:id="rId80"/>
    <sheet name="412" sheetId="93" r:id="rId81"/>
    <sheet name="420" sheetId="99" r:id="rId82"/>
    <sheet name="413" sheetId="94" r:id="rId83"/>
    <sheet name="414" sheetId="95" r:id="rId84"/>
    <sheet name="415" sheetId="96" r:id="rId85"/>
    <sheet name="418" sheetId="98" r:id="rId86"/>
    <sheet name="423" sheetId="100" r:id="rId87"/>
    <sheet name="424" sheetId="101" r:id="rId88"/>
    <sheet name="425" sheetId="102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45" sheetId="107" r:id="rId95"/>
    <sheet name="450" sheetId="108" r:id="rId96"/>
    <sheet name="455" sheetId="109" r:id="rId97"/>
    <sheet name="Div 5" sheetId="48" r:id="rId98"/>
    <sheet name="501" sheetId="110" r:id="rId99"/>
    <sheet name="Dept" sheetId="111" state="hidden" r:id="rId100"/>
    <sheet name="OSR_Dept_Y0WUKY" sheetId="112" state="hidden" r:id="rId101"/>
    <sheet name="OSR_Summary (...56e5d78f_5JEYZH" sheetId="113" state="hidden" r:id="rId102"/>
  </sheets>
  <definedNames>
    <definedName name="OSRRefD13x_0" localSheetId="48">'300'!$D$13:$D$105</definedName>
    <definedName name="OSRRefD13x_0" localSheetId="49">'300 &amp; 317'!$D$13:$D$123</definedName>
    <definedName name="OSRRefD13x_0" localSheetId="54">'307'!$D$13:$D$46</definedName>
    <definedName name="OSRRefD13x_0" localSheetId="56">'308'!$D$13:$D$40</definedName>
    <definedName name="OSRRefD13x_0" localSheetId="68">'309'!$D$13:$D$14</definedName>
    <definedName name="OSRRefD13x_0" localSheetId="67">'310'!$D$13:$D$22</definedName>
    <definedName name="OSRRefD13x_0" localSheetId="75">'310 &amp; 491'!$D$13:$D$30</definedName>
    <definedName name="OSRRefD13x_0" localSheetId="57">'311'!$D$13:$D$39</definedName>
    <definedName name="OSRRefD13x_0" localSheetId="69">'313'!$D$13:$D$19</definedName>
    <definedName name="OSRRefD13x_0" localSheetId="55">'314'!$D$13:$D$33</definedName>
    <definedName name="OSRRefD13x_0" localSheetId="60">'315'!$D$13:$D$32</definedName>
    <definedName name="OSRRefD13x_0" localSheetId="63">'316'!$D$13:$D$24</definedName>
    <definedName name="OSRRefD13x_0" localSheetId="66">'317'!$D$13:$D$36</definedName>
    <definedName name="OSRRefD13x_0" localSheetId="64">'320'!$D$13:$D$16</definedName>
    <definedName name="OSRRefD13x_0" localSheetId="70">'321'!$D$13:$D$14</definedName>
    <definedName name="OSRRefD13x_0" localSheetId="71">'322'!$D$13:$D$14</definedName>
    <definedName name="OSRRefD13x_0" localSheetId="58">'324'!$D$13:$D$15</definedName>
    <definedName name="OSRRefD13x_0" localSheetId="72">'325'!$D$13:$D$14</definedName>
    <definedName name="OSRRefD13x_0" localSheetId="61">'326'!$D$13:$D$35</definedName>
    <definedName name="OSRRefD13x_0" localSheetId="73">'327'!$D$13</definedName>
    <definedName name="OSRRefD13x_0" localSheetId="53">'330'!$D$13:$D$50</definedName>
    <definedName name="OSRRefD13x_0" localSheetId="59">'331'!$D$13:$D$43</definedName>
    <definedName name="OSRRefD13x_0" localSheetId="62">'332'!$D$13:$D$28</definedName>
    <definedName name="OSRRefD13x_0" localSheetId="77">'405'!$D$13:$D$14</definedName>
    <definedName name="OSRRefD13x_0" localSheetId="78">'406'!$D$13:$D$14</definedName>
    <definedName name="OSRRefD13x_0" localSheetId="80">'412'!$D$13:$D$15</definedName>
    <definedName name="OSRRefD13x_0" localSheetId="82">'413'!$D$13:$D$14</definedName>
    <definedName name="OSRRefD13x_0" localSheetId="83">'414'!$D$13:$D$14</definedName>
    <definedName name="OSRRefD13x_0" localSheetId="84">'415'!$D$13:$D$14</definedName>
    <definedName name="OSRRefD13x_0" localSheetId="85">'418'!$D$13:$D$14</definedName>
    <definedName name="OSRRefD13x_0" localSheetId="81">'420'!$D$13:$D$14</definedName>
    <definedName name="OSRRefD13x_0" localSheetId="87">'424'!$D$13:$D$14</definedName>
    <definedName name="OSRRefD13x_0" localSheetId="88">'425'!$D$13:$D$17</definedName>
    <definedName name="OSRRefD13x_0" localSheetId="91">'433'!$D$13:$D$16</definedName>
    <definedName name="OSRRefD13x_0" localSheetId="92">'435'!$D$13:$D$15</definedName>
    <definedName name="OSRRefD13x_0" localSheetId="93">'444'!$D$13:$D$15</definedName>
    <definedName name="OSRRefD13x_0" localSheetId="95">'450'!$D$13:$D$15</definedName>
    <definedName name="OSRRefD13x_0" localSheetId="76">'491'!$D$13:$D$23</definedName>
    <definedName name="OSRRefD13x_0" localSheetId="89">'492'!$D$13:$D$18</definedName>
    <definedName name="OSRRefD13x_0" localSheetId="98">'501'!$D$13</definedName>
    <definedName name="OSRRefD13x_0" localSheetId="47">'Div 3'!$D$13:$D$108</definedName>
    <definedName name="OSRRefD13x_0" localSheetId="74">'Div 4'!$D$13:$D$24</definedName>
    <definedName name="OSRRefD13x_0" localSheetId="97">'Div 5'!$D$13</definedName>
    <definedName name="OSRRefD13x_0" localSheetId="65">'Div 6'!$D$13:$D$36</definedName>
    <definedName name="OSRRefD13x_0" localSheetId="2">Summary!$D$13:$D$135</definedName>
    <definedName name="OSRRefD16x_0" localSheetId="48">'300'!$D$108:$D$157</definedName>
    <definedName name="OSRRefD16x_0" localSheetId="49">'300 &amp; 317'!$D$126:$D$182</definedName>
    <definedName name="OSRRefD16x_0" localSheetId="54">'307'!$D$49:$D$68</definedName>
    <definedName name="OSRRefD16x_0" localSheetId="56">'308'!$D$43:$D$58</definedName>
    <definedName name="OSRRefD16x_0" localSheetId="68">'309'!$D$17:$D$18</definedName>
    <definedName name="OSRRefD16x_0" localSheetId="67">'310'!$D$25:$D$26</definedName>
    <definedName name="OSRRefD16x_0" localSheetId="75">'310 &amp; 491'!$D$33:$D$34</definedName>
    <definedName name="OSRRefD16x_0" localSheetId="57">'311'!$D$42:$D$57</definedName>
    <definedName name="OSRRefD16x_0" localSheetId="69">'313'!$D$22:$D$23</definedName>
    <definedName name="OSRRefD16x_0" localSheetId="55">'314'!$D$36:$D$50</definedName>
    <definedName name="OSRRefD16x_0" localSheetId="60">'315'!$D$35:$D$49</definedName>
    <definedName name="OSRRefD16x_0" localSheetId="66">'317'!$D$39:$D$52</definedName>
    <definedName name="OSRRefD16x_0" localSheetId="64">'320'!$D$19:$D$23</definedName>
    <definedName name="OSRRefD16x_0" localSheetId="70">'321'!$D$17:$D$18</definedName>
    <definedName name="OSRRefD16x_0" localSheetId="71">'322'!$D$17:$D$18</definedName>
    <definedName name="OSRRefD16x_0" localSheetId="58">'324'!$D$18:$D$19</definedName>
    <definedName name="OSRRefD16x_0" localSheetId="72">'325'!$D$17:$D$18</definedName>
    <definedName name="OSRRefD16x_0" localSheetId="61">'326'!$D$38:$D$55</definedName>
    <definedName name="OSRRefD16x_0" localSheetId="73">'327'!$D$16</definedName>
    <definedName name="OSRRefD16x_0" localSheetId="53">'330'!$D$53:$D$75</definedName>
    <definedName name="OSRRefD16x_0" localSheetId="59">'331'!$D$46:$D$68</definedName>
    <definedName name="OSRRefD16x_0" localSheetId="62">'332'!$D$31:$D$35</definedName>
    <definedName name="OSRRefD16x_0" localSheetId="77">'405'!$D$17:$D$18</definedName>
    <definedName name="OSRRefD16x_0" localSheetId="78">'406'!$D$17:$D$18</definedName>
    <definedName name="OSRRefD16x_0" localSheetId="80">'412'!$D$18</definedName>
    <definedName name="OSRRefD16x_0" localSheetId="82">'413'!$D$17:$D$18</definedName>
    <definedName name="OSRRefD16x_0" localSheetId="83">'414'!$D$17:$D$18</definedName>
    <definedName name="OSRRefD16x_0" localSheetId="84">'415'!$D$17:$D$18</definedName>
    <definedName name="OSRRefD16x_0" localSheetId="85">'418'!$D$17:$D$18</definedName>
    <definedName name="OSRRefD16x_0" localSheetId="81">'420'!$D$17</definedName>
    <definedName name="OSRRefD16x_0" localSheetId="86">'423'!$D$15</definedName>
    <definedName name="OSRRefD16x_0" localSheetId="87">'424'!$D$17:$D$18</definedName>
    <definedName name="OSRRefD16x_0" localSheetId="88">'425'!$D$20:$D$21</definedName>
    <definedName name="OSRRefD16x_0" localSheetId="91">'433'!$D$19:$D$20</definedName>
    <definedName name="OSRRefD16x_0" localSheetId="92">'435'!$D$18:$D$19</definedName>
    <definedName name="OSRRefD16x_0" localSheetId="93">'444'!$D$18:$D$19</definedName>
    <definedName name="OSRRefD16x_0" localSheetId="95">'450'!$D$18:$D$19</definedName>
    <definedName name="OSRRefD16x_0" localSheetId="76">'491'!$D$26:$D$27</definedName>
    <definedName name="OSRRefD16x_0" localSheetId="89">'492'!$D$21:$D$22</definedName>
    <definedName name="OSRRefD16x_0" localSheetId="47">'Div 3'!$D$111:$D$162</definedName>
    <definedName name="OSRRefD16x_0" localSheetId="74">'Div 4'!$D$27:$D$28</definedName>
    <definedName name="OSRRefD16x_0" localSheetId="65">'Div 6'!$D$39:$D$52</definedName>
    <definedName name="OSRRefD16x_0" localSheetId="2">Summary!$D$138:$D$196</definedName>
    <definedName name="OSRRefD22_0x_0" localSheetId="40">'200'!$D$20</definedName>
    <definedName name="OSRRefD22_0x_0" localSheetId="41">'201'!$D$20:$D$28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'300'!$D$163:$D$171</definedName>
    <definedName name="OSRRefD22_0x_0" localSheetId="49">'300 &amp; 317'!$D$188:$D$196</definedName>
    <definedName name="OSRRefD22_0x_0" localSheetId="50">'301'!$D$20:$D$27</definedName>
    <definedName name="OSRRefD22_0x_0" localSheetId="51">'306'!$D$20:$D$28</definedName>
    <definedName name="OSRRefD22_0x_0" localSheetId="54">'307'!$D$74:$D$81</definedName>
    <definedName name="OSRRefD22_0x_0" localSheetId="56">'308'!$D$64:$D$72</definedName>
    <definedName name="OSRRefD22_0x_0" localSheetId="68">'309'!$D$24:$D$31</definedName>
    <definedName name="OSRRefD22_0x_0" localSheetId="67">'310'!$D$32:$D$39</definedName>
    <definedName name="OSRRefD22_0x_0" localSheetId="75">'310 &amp; 491'!$D$40:$D$48</definedName>
    <definedName name="OSRRefD22_0x_0" localSheetId="57">'311'!$D$63:$D$71</definedName>
    <definedName name="OSRRefD22_0x_0" localSheetId="69">'313'!$D$29:$D$36</definedName>
    <definedName name="OSRRefD22_0x_0" localSheetId="55">'314'!$D$56:$D$62</definedName>
    <definedName name="OSRRefD22_0x_0" localSheetId="60">'315'!$D$55:$D$62</definedName>
    <definedName name="OSRRefD22_0x_0" localSheetId="63">'316'!$D$32:$D$39</definedName>
    <definedName name="OSRRefD22_0x_0" localSheetId="66">'317'!$D$58:$D$66</definedName>
    <definedName name="OSRRefD22_0x_0" localSheetId="64">'320'!$D$29:$D$36</definedName>
    <definedName name="OSRRefD22_0x_0" localSheetId="70">'321'!$D$24:$D$30</definedName>
    <definedName name="OSRRefD22_0x_0" localSheetId="71">'322'!$D$24:$D$31</definedName>
    <definedName name="OSRRefD22_0x_0" localSheetId="58">'324'!$D$25</definedName>
    <definedName name="OSRRefD22_0x_0" localSheetId="72">'325'!$D$24:$D$31</definedName>
    <definedName name="OSRRefD22_0x_0" localSheetId="61">'326'!$D$61:$D$68</definedName>
    <definedName name="OSRRefD22_0x_0" localSheetId="73">'327'!$D$22</definedName>
    <definedName name="OSRRefD22_0x_0" localSheetId="53">'330'!$D$81:$D$88</definedName>
    <definedName name="OSRRefD22_0x_0" localSheetId="59">'331'!$D$74:$D$81</definedName>
    <definedName name="OSRRefD22_0x_0" localSheetId="62">'332'!$D$41:$D$48</definedName>
    <definedName name="OSRRefD22_0x_0" localSheetId="52">'335'!$D$20</definedName>
    <definedName name="OSRRefD22_0x_0" localSheetId="77">'405'!$D$24:$D$31</definedName>
    <definedName name="OSRRefD22_0x_0" localSheetId="78">'406'!$D$24:$D$31</definedName>
    <definedName name="OSRRefD22_0x_0" localSheetId="79">'411'!$D$20:$D$28</definedName>
    <definedName name="OSRRefD22_0x_0" localSheetId="80">'412'!$D$24:$D$31</definedName>
    <definedName name="OSRRefD22_0x_0" localSheetId="82">'413'!$D$24:$D$31</definedName>
    <definedName name="OSRRefD22_0x_0" localSheetId="83">'414'!$D$24:$D$31</definedName>
    <definedName name="OSRRefD22_0x_0" localSheetId="84">'415'!$D$24:$D$31</definedName>
    <definedName name="OSRRefD22_0x_0" localSheetId="85">'418'!$D$24:$D$31</definedName>
    <definedName name="OSRRefD22_0x_0" localSheetId="81">'420'!$D$23:$D$29</definedName>
    <definedName name="OSRRefD22_0x_0" localSheetId="86">'423'!$D$21:$D$28</definedName>
    <definedName name="OSRRefD22_0x_0" localSheetId="87">'424'!$D$24:$D$26</definedName>
    <definedName name="OSRRefD22_0x_0" localSheetId="88">'425'!$D$27:$D$34</definedName>
    <definedName name="OSRRefD22_0x_0" localSheetId="90">'430'!$D$20:$D$27</definedName>
    <definedName name="OSRRefD22_0x_0" localSheetId="91">'433'!$D$26:$D$34</definedName>
    <definedName name="OSRRefD22_0x_0" localSheetId="92">'435'!$D$25:$D$27</definedName>
    <definedName name="OSRRefD22_0x_0" localSheetId="93">'444'!$D$25:$D$33</definedName>
    <definedName name="OSRRefD22_0x_0" localSheetId="94">'445'!$D$20</definedName>
    <definedName name="OSRRefD22_0x_0" localSheetId="95">'450'!$D$25:$D$33</definedName>
    <definedName name="OSRRefD22_0x_0" localSheetId="96">'455'!$D$20:$D$26</definedName>
    <definedName name="OSRRefD22_0x_0" localSheetId="76">'491'!$D$33:$D$41</definedName>
    <definedName name="OSRRefD22_0x_0" localSheetId="89">'492'!$D$28:$D$36</definedName>
    <definedName name="OSRRefD22_0x_0" localSheetId="98">'501'!$D$21:$D$28</definedName>
    <definedName name="OSRRefD22_0x_0" localSheetId="39">'Div 2'!$D$20:$D$30</definedName>
    <definedName name="OSRRefD22_0x_0" localSheetId="47">'Div 3'!$D$168:$D$176</definedName>
    <definedName name="OSRRefD22_0x_0" localSheetId="74">'Div 4'!$D$34:$D$42</definedName>
    <definedName name="OSRRefD22_0x_0" localSheetId="97">'Div 5'!$D$21:$D$28</definedName>
    <definedName name="OSRRefD22_0x_0" localSheetId="65">'Div 6'!$D$58:$D$66</definedName>
    <definedName name="OSRRefD22_0x_0" localSheetId="2">Summary!$D$202:$D$210</definedName>
    <definedName name="OSRRefD22_10x_0" localSheetId="41">'201'!$D$50:$D$52</definedName>
    <definedName name="OSRRefD22_10x_0" localSheetId="42">'202'!$D$50:$D$52</definedName>
    <definedName name="OSRRefD22_10x_0" localSheetId="43">'203'!$D$54:$D$55</definedName>
    <definedName name="OSRRefD22_10x_0" localSheetId="44">'204'!$D$59:$D$60</definedName>
    <definedName name="OSRRefD22_10x_0" localSheetId="48">'300'!$D$200:$D$201</definedName>
    <definedName name="OSRRefD22_10x_0" localSheetId="49">'300 &amp; 317'!$D$225:$D$226</definedName>
    <definedName name="OSRRefD22_10x_0" localSheetId="50">'301'!$D$56</definedName>
    <definedName name="OSRRefD22_10x_0" localSheetId="51">'306'!$D$57</definedName>
    <definedName name="OSRRefD22_10x_0" localSheetId="54">'307'!$D$106:$D$107</definedName>
    <definedName name="OSRRefD22_10x_0" localSheetId="56">'308'!$D$99</definedName>
    <definedName name="OSRRefD22_10x_0" localSheetId="68">'309'!$D$56:$D$58</definedName>
    <definedName name="OSRRefD22_10x_0" localSheetId="67">'310'!$D$65</definedName>
    <definedName name="OSRRefD22_10x_0" localSheetId="75">'310 &amp; 491'!$D$76:$D$77</definedName>
    <definedName name="OSRRefD22_10x_0" localSheetId="57">'311'!$D$98</definedName>
    <definedName name="OSRRefD22_10x_0" localSheetId="69">'313'!$D$62</definedName>
    <definedName name="OSRRefD22_10x_0" localSheetId="60">'315'!$D$91:$D$92</definedName>
    <definedName name="OSRRefD22_10x_0" localSheetId="63">'316'!$D$63:$D$67</definedName>
    <definedName name="OSRRefD22_10x_0" localSheetId="66">'317'!$D$89</definedName>
    <definedName name="OSRRefD22_10x_0" localSheetId="70">'321'!$D$62</definedName>
    <definedName name="OSRRefD22_10x_0" localSheetId="71">'322'!$D$56:$D$58</definedName>
    <definedName name="OSRRefD22_10x_0" localSheetId="72">'325'!$D$57</definedName>
    <definedName name="OSRRefD22_10x_0" localSheetId="61">'326'!$D$91</definedName>
    <definedName name="OSRRefD22_10x_0" localSheetId="53">'330'!$D$113</definedName>
    <definedName name="OSRRefD22_10x_0" localSheetId="59">'331'!$D$108</definedName>
    <definedName name="OSRRefD22_10x_0" localSheetId="62">'332'!$D$73</definedName>
    <definedName name="OSRRefD22_10x_0" localSheetId="77">'405'!$D$55:$D$56</definedName>
    <definedName name="OSRRefD22_10x_0" localSheetId="78">'406'!$D$57:$D$58</definedName>
    <definedName name="OSRRefD22_10x_0" localSheetId="79">'411'!$D$55</definedName>
    <definedName name="OSRRefD22_10x_0" localSheetId="80">'412'!$D$57</definedName>
    <definedName name="OSRRefD22_10x_0" localSheetId="82">'413'!$D$62</definedName>
    <definedName name="OSRRefD22_10x_0" localSheetId="83">'414'!$D$57</definedName>
    <definedName name="OSRRefD22_10x_0" localSheetId="84">'415'!$D$57</definedName>
    <definedName name="OSRRefD22_10x_0" localSheetId="85">'418'!$D$58:$D$60</definedName>
    <definedName name="OSRRefD22_10x_0" localSheetId="87">'424'!$D$51:$D$55</definedName>
    <definedName name="OSRRefD22_10x_0" localSheetId="88">'425'!$D$60</definedName>
    <definedName name="OSRRefD22_10x_0" localSheetId="91">'433'!$D$59:$D$61</definedName>
    <definedName name="OSRRefD22_10x_0" localSheetId="93">'444'!$D$58</definedName>
    <definedName name="OSRRefD22_10x_0" localSheetId="95">'450'!$D$58</definedName>
    <definedName name="OSRRefD22_10x_0" localSheetId="76">'491'!$D$69:$D$70</definedName>
    <definedName name="OSRRefD22_10x_0" localSheetId="89">'492'!$D$62</definedName>
    <definedName name="OSRRefD22_10x_0" localSheetId="98">'501'!$D$54:$D$55</definedName>
    <definedName name="OSRRefD22_10x_0" localSheetId="39">'Div 2'!$D$57</definedName>
    <definedName name="OSRRefD22_10x_0" localSheetId="47">'Div 3'!$D$205:$D$206</definedName>
    <definedName name="OSRRefD22_10x_0" localSheetId="74">'Div 4'!$D$70:$D$71</definedName>
    <definedName name="OSRRefD22_10x_0" localSheetId="97">'Div 5'!$D$54:$D$55</definedName>
    <definedName name="OSRRefD22_10x_0" localSheetId="65">'Div 6'!$D$89</definedName>
    <definedName name="OSRRefD22_10x_0" localSheetId="2">Summary!$D$240:$D$241</definedName>
    <definedName name="OSRRefD22_11x_0" localSheetId="41">'201'!$D$54:$D$56</definedName>
    <definedName name="OSRRefD22_11x_0" localSheetId="42">'202'!$D$54</definedName>
    <definedName name="OSRRefD22_11x_0" localSheetId="43">'203'!$D$57</definedName>
    <definedName name="OSRRefD22_11x_0" localSheetId="48">'300'!$D$203</definedName>
    <definedName name="OSRRefD22_11x_0" localSheetId="49">'300 &amp; 317'!$D$228</definedName>
    <definedName name="OSRRefD22_11x_0" localSheetId="50">'301'!$D$58</definedName>
    <definedName name="OSRRefD22_11x_0" localSheetId="54">'307'!$D$109:$D$110</definedName>
    <definedName name="OSRRefD22_11x_0" localSheetId="56">'308'!$D$101:$D$104</definedName>
    <definedName name="OSRRefD22_11x_0" localSheetId="68">'309'!$D$60</definedName>
    <definedName name="OSRRefD22_11x_0" localSheetId="67">'310'!$D$67</definedName>
    <definedName name="OSRRefD22_11x_0" localSheetId="75">'310 &amp; 491'!$D$79:$D$80</definedName>
    <definedName name="OSRRefD22_11x_0" localSheetId="57">'311'!$D$100:$D$103</definedName>
    <definedName name="OSRRefD22_11x_0" localSheetId="69">'313'!$D$64:$D$65</definedName>
    <definedName name="OSRRefD22_11x_0" localSheetId="60">'315'!$D$94:$D$98</definedName>
    <definedName name="OSRRefD22_11x_0" localSheetId="63">'316'!$D$69</definedName>
    <definedName name="OSRRefD22_11x_0" localSheetId="66">'317'!$D$91:$D$92</definedName>
    <definedName name="OSRRefD22_11x_0" localSheetId="70">'321'!$D$64</definedName>
    <definedName name="OSRRefD22_11x_0" localSheetId="71">'322'!$D$60</definedName>
    <definedName name="OSRRefD22_11x_0" localSheetId="72">'325'!$D$59:$D$61</definedName>
    <definedName name="OSRRefD22_11x_0" localSheetId="61">'326'!$D$93</definedName>
    <definedName name="OSRRefD22_11x_0" localSheetId="53">'330'!$D$115:$D$116</definedName>
    <definedName name="OSRRefD22_11x_0" localSheetId="59">'331'!$D$110</definedName>
    <definedName name="OSRRefD22_11x_0" localSheetId="62">'332'!$D$75:$D$79</definedName>
    <definedName name="OSRRefD22_11x_0" localSheetId="77">'405'!$D$58</definedName>
    <definedName name="OSRRefD22_11x_0" localSheetId="78">'406'!$D$60:$D$65</definedName>
    <definedName name="OSRRefD22_11x_0" localSheetId="79">'411'!$D$57:$D$59</definedName>
    <definedName name="OSRRefD22_11x_0" localSheetId="80">'412'!$D$59:$D$61</definedName>
    <definedName name="OSRRefD22_11x_0" localSheetId="83">'414'!$D$59</definedName>
    <definedName name="OSRRefD22_11x_0" localSheetId="84">'415'!$D$59:$D$61</definedName>
    <definedName name="OSRRefD22_11x_0" localSheetId="85">'418'!$D$62:$D$64</definedName>
    <definedName name="OSRRefD22_11x_0" localSheetId="87">'424'!$D$57</definedName>
    <definedName name="OSRRefD22_11x_0" localSheetId="88">'425'!$D$62:$D$63</definedName>
    <definedName name="OSRRefD22_11x_0" localSheetId="91">'433'!$D$63:$D$65</definedName>
    <definedName name="OSRRefD22_11x_0" localSheetId="93">'444'!$D$60:$D$62</definedName>
    <definedName name="OSRRefD22_11x_0" localSheetId="95">'450'!$D$60:$D$62</definedName>
    <definedName name="OSRRefD22_11x_0" localSheetId="76">'491'!$D$72</definedName>
    <definedName name="OSRRefD22_11x_0" localSheetId="89">'492'!$D$64</definedName>
    <definedName name="OSRRefD22_11x_0" localSheetId="98">'501'!$D$57:$D$60</definedName>
    <definedName name="OSRRefD22_11x_0" localSheetId="39">'Div 2'!$D$59</definedName>
    <definedName name="OSRRefD22_11x_0" localSheetId="47">'Div 3'!$D$208</definedName>
    <definedName name="OSRRefD22_11x_0" localSheetId="74">'Div 4'!$D$73</definedName>
    <definedName name="OSRRefD22_11x_0" localSheetId="97">'Div 5'!$D$57:$D$60</definedName>
    <definedName name="OSRRefD22_11x_0" localSheetId="65">'Div 6'!$D$91:$D$92</definedName>
    <definedName name="OSRRefD22_11x_0" localSheetId="2">Summary!$D$243:$D$244</definedName>
    <definedName name="OSRRefD22_12x_0" localSheetId="41">'201'!$D$58</definedName>
    <definedName name="OSRRefD22_12x_0" localSheetId="42">'202'!$D$56</definedName>
    <definedName name="OSRRefD22_12x_0" localSheetId="43">'203'!$D$59:$D$61</definedName>
    <definedName name="OSRRefD22_12x_0" localSheetId="48">'300'!$D$205</definedName>
    <definedName name="OSRRefD22_12x_0" localSheetId="49">'300 &amp; 317'!$D$230</definedName>
    <definedName name="OSRRefD22_12x_0" localSheetId="50">'301'!$D$60</definedName>
    <definedName name="OSRRefD22_12x_0" localSheetId="54">'307'!$D$112</definedName>
    <definedName name="OSRRefD22_12x_0" localSheetId="56">'308'!$D$106:$D$107</definedName>
    <definedName name="OSRRefD22_12x_0" localSheetId="68">'309'!$D$62:$D$67</definedName>
    <definedName name="OSRRefD22_12x_0" localSheetId="67">'310'!$D$69</definedName>
    <definedName name="OSRRefD22_12x_0" localSheetId="75">'310 &amp; 491'!$D$82</definedName>
    <definedName name="OSRRefD22_12x_0" localSheetId="57">'311'!$D$105:$D$106</definedName>
    <definedName name="OSRRefD22_12x_0" localSheetId="69">'313'!$D$67:$D$72</definedName>
    <definedName name="OSRRefD22_12x_0" localSheetId="60">'315'!$D$100</definedName>
    <definedName name="OSRRefD22_12x_0" localSheetId="63">'316'!$D$71</definedName>
    <definedName name="OSRRefD22_12x_0" localSheetId="66">'317'!$D$94</definedName>
    <definedName name="OSRRefD22_12x_0" localSheetId="70">'321'!$D$66</definedName>
    <definedName name="OSRRefD22_12x_0" localSheetId="71">'322'!$D$62:$D$67</definedName>
    <definedName name="OSRRefD22_12x_0" localSheetId="72">'325'!$D$63:$D$66</definedName>
    <definedName name="OSRRefD22_12x_0" localSheetId="61">'326'!$D$95</definedName>
    <definedName name="OSRRefD22_12x_0" localSheetId="53">'330'!$D$118:$D$119</definedName>
    <definedName name="OSRRefD22_12x_0" localSheetId="59">'331'!$D$112</definedName>
    <definedName name="OSRRefD22_12x_0" localSheetId="62">'332'!$D$81</definedName>
    <definedName name="OSRRefD22_12x_0" localSheetId="77">'405'!$D$60:$D$62</definedName>
    <definedName name="OSRRefD22_12x_0" localSheetId="78">'406'!$D$67</definedName>
    <definedName name="OSRRefD22_12x_0" localSheetId="79">'411'!$D$61:$D$65</definedName>
    <definedName name="OSRRefD22_12x_0" localSheetId="80">'412'!$D$63:$D$69</definedName>
    <definedName name="OSRRefD22_12x_0" localSheetId="83">'414'!$D$61</definedName>
    <definedName name="OSRRefD22_12x_0" localSheetId="84">'415'!$D$63:$D$67</definedName>
    <definedName name="OSRRefD22_12x_0" localSheetId="85">'418'!$D$66:$D$67</definedName>
    <definedName name="OSRRefD22_12x_0" localSheetId="88">'425'!$D$65:$D$71</definedName>
    <definedName name="OSRRefD22_12x_0" localSheetId="91">'433'!$D$67:$D$73</definedName>
    <definedName name="OSRRefD22_12x_0" localSheetId="93">'444'!$D$64:$D$66</definedName>
    <definedName name="OSRRefD22_12x_0" localSheetId="95">'450'!$D$64:$D$66</definedName>
    <definedName name="OSRRefD22_12x_0" localSheetId="76">'491'!$D$74</definedName>
    <definedName name="OSRRefD22_12x_0" localSheetId="89">'492'!$D$66:$D$68</definedName>
    <definedName name="OSRRefD22_12x_0" localSheetId="98">'501'!$D$62</definedName>
    <definedName name="OSRRefD22_12x_0" localSheetId="39">'Div 2'!$D$61:$D$64</definedName>
    <definedName name="OSRRefD22_12x_0" localSheetId="47">'Div 3'!$D$210</definedName>
    <definedName name="OSRRefD22_12x_0" localSheetId="74">'Div 4'!$D$75</definedName>
    <definedName name="OSRRefD22_12x_0" localSheetId="97">'Div 5'!$D$62</definedName>
    <definedName name="OSRRefD22_12x_0" localSheetId="65">'Div 6'!$D$94</definedName>
    <definedName name="OSRRefD22_12x_0" localSheetId="2">Summary!$D$246</definedName>
    <definedName name="OSRRefD22_13x_0" localSheetId="41">'201'!$D$60:$D$62</definedName>
    <definedName name="OSRRefD22_13x_0" localSheetId="42">'202'!$D$58:$D$60</definedName>
    <definedName name="OSRRefD22_13x_0" localSheetId="43">'203'!$D$63</definedName>
    <definedName name="OSRRefD22_13x_0" localSheetId="48">'300'!$D$207</definedName>
    <definedName name="OSRRefD22_13x_0" localSheetId="49">'300 &amp; 317'!$D$232</definedName>
    <definedName name="OSRRefD22_13x_0" localSheetId="50">'301'!$D$62</definedName>
    <definedName name="OSRRefD22_13x_0" localSheetId="54">'307'!$D$114</definedName>
    <definedName name="OSRRefD22_13x_0" localSheetId="56">'308'!$D$109</definedName>
    <definedName name="OSRRefD22_13x_0" localSheetId="68">'309'!$D$69</definedName>
    <definedName name="OSRRefD22_13x_0" localSheetId="67">'310'!$D$71</definedName>
    <definedName name="OSRRefD22_13x_0" localSheetId="75">'310 &amp; 491'!$D$84</definedName>
    <definedName name="OSRRefD22_13x_0" localSheetId="57">'311'!$D$108</definedName>
    <definedName name="OSRRefD22_13x_0" localSheetId="69">'313'!$D$74</definedName>
    <definedName name="OSRRefD22_13x_0" localSheetId="60">'315'!$D$102</definedName>
    <definedName name="OSRRefD22_13x_0" localSheetId="66">'317'!$D$96</definedName>
    <definedName name="OSRRefD22_13x_0" localSheetId="71">'322'!$D$69</definedName>
    <definedName name="OSRRefD22_13x_0" localSheetId="72">'325'!$D$68</definedName>
    <definedName name="OSRRefD22_13x_0" localSheetId="61">'326'!$D$97:$D$98</definedName>
    <definedName name="OSRRefD22_13x_0" localSheetId="53">'330'!$D$121</definedName>
    <definedName name="OSRRefD22_13x_0" localSheetId="59">'331'!$D$114</definedName>
    <definedName name="OSRRefD22_13x_0" localSheetId="62">'332'!$D$83</definedName>
    <definedName name="OSRRefD22_13x_0" localSheetId="77">'405'!$D$64:$D$65</definedName>
    <definedName name="OSRRefD22_13x_0" localSheetId="78">'406'!$D$69</definedName>
    <definedName name="OSRRefD22_13x_0" localSheetId="79">'411'!$D$67</definedName>
    <definedName name="OSRRefD22_13x_0" localSheetId="80">'412'!$D$71</definedName>
    <definedName name="OSRRefD22_13x_0" localSheetId="83">'414'!$D$63:$D$69</definedName>
    <definedName name="OSRRefD22_13x_0" localSheetId="84">'415'!$D$69:$D$70</definedName>
    <definedName name="OSRRefD22_13x_0" localSheetId="85">'418'!$D$69:$D$75</definedName>
    <definedName name="OSRRefD22_13x_0" localSheetId="88">'425'!$D$73</definedName>
    <definedName name="OSRRefD22_13x_0" localSheetId="91">'433'!$D$75</definedName>
    <definedName name="OSRRefD22_13x_0" localSheetId="93">'444'!$D$68:$D$75</definedName>
    <definedName name="OSRRefD22_13x_0" localSheetId="95">'450'!$D$68:$D$74</definedName>
    <definedName name="OSRRefD22_13x_0" localSheetId="76">'491'!$D$76</definedName>
    <definedName name="OSRRefD22_13x_0" localSheetId="89">'492'!$D$70:$D$72</definedName>
    <definedName name="OSRRefD22_13x_0" localSheetId="98">'501'!$D$64</definedName>
    <definedName name="OSRRefD22_13x_0" localSheetId="39">'Div 2'!$D$66:$D$69</definedName>
    <definedName name="OSRRefD22_13x_0" localSheetId="47">'Div 3'!$D$212</definedName>
    <definedName name="OSRRefD22_13x_0" localSheetId="74">'Div 4'!$D$77</definedName>
    <definedName name="OSRRefD22_13x_0" localSheetId="97">'Div 5'!$D$64</definedName>
    <definedName name="OSRRefD22_13x_0" localSheetId="65">'Div 6'!$D$96</definedName>
    <definedName name="OSRRefD22_13x_0" localSheetId="2">Summary!$D$248</definedName>
    <definedName name="OSRRefD22_14x_0" localSheetId="41">'201'!$D$64</definedName>
    <definedName name="OSRRefD22_14x_0" localSheetId="42">'202'!$D$62</definedName>
    <definedName name="OSRRefD22_14x_0" localSheetId="43">'203'!$D$65</definedName>
    <definedName name="OSRRefD22_14x_0" localSheetId="48">'300'!$D$209</definedName>
    <definedName name="OSRRefD22_14x_0" localSheetId="49">'300 &amp; 317'!$D$234</definedName>
    <definedName name="OSRRefD22_14x_0" localSheetId="50">'301'!$D$64:$D$66</definedName>
    <definedName name="OSRRefD22_14x_0" localSheetId="56">'308'!$D$111</definedName>
    <definedName name="OSRRefD22_14x_0" localSheetId="67">'310'!$D$73:$D$75</definedName>
    <definedName name="OSRRefD22_14x_0" localSheetId="75">'310 &amp; 491'!$D$86</definedName>
    <definedName name="OSRRefD22_14x_0" localSheetId="57">'311'!$D$110</definedName>
    <definedName name="OSRRefD22_14x_0" localSheetId="69">'313'!$D$76</definedName>
    <definedName name="OSRRefD22_14x_0" localSheetId="60">'315'!$D$104:$D$105</definedName>
    <definedName name="OSRRefD22_14x_0" localSheetId="66">'317'!$D$98</definedName>
    <definedName name="OSRRefD22_14x_0" localSheetId="71">'322'!$D$71</definedName>
    <definedName name="OSRRefD22_14x_0" localSheetId="72">'325'!$D$70:$D$75</definedName>
    <definedName name="OSRRefD22_14x_0" localSheetId="61">'326'!$D$100:$D$102</definedName>
    <definedName name="OSRRefD22_14x_0" localSheetId="53">'330'!$D$123:$D$125</definedName>
    <definedName name="OSRRefD22_14x_0" localSheetId="59">'331'!$D$116:$D$118</definedName>
    <definedName name="OSRRefD22_14x_0" localSheetId="77">'405'!$D$67:$D$73</definedName>
    <definedName name="OSRRefD22_14x_0" localSheetId="79">'411'!$D$69:$D$75</definedName>
    <definedName name="OSRRefD22_14x_0" localSheetId="80">'412'!$D$73</definedName>
    <definedName name="OSRRefD22_14x_0" localSheetId="83">'414'!$D$71</definedName>
    <definedName name="OSRRefD22_14x_0" localSheetId="84">'415'!$D$72:$D$78</definedName>
    <definedName name="OSRRefD22_14x_0" localSheetId="85">'418'!$D$77</definedName>
    <definedName name="OSRRefD22_14x_0" localSheetId="88">'425'!$D$75</definedName>
    <definedName name="OSRRefD22_14x_0" localSheetId="91">'433'!$D$77</definedName>
    <definedName name="OSRRefD22_14x_0" localSheetId="93">'444'!$D$77</definedName>
    <definedName name="OSRRefD22_14x_0" localSheetId="95">'450'!$D$76</definedName>
    <definedName name="OSRRefD22_14x_0" localSheetId="76">'491'!$D$78</definedName>
    <definedName name="OSRRefD22_14x_0" localSheetId="89">'492'!$D$74:$D$81</definedName>
    <definedName name="OSRRefD22_14x_0" localSheetId="39">'Div 2'!$D$71:$D$72</definedName>
    <definedName name="OSRRefD22_14x_0" localSheetId="47">'Div 3'!$D$214</definedName>
    <definedName name="OSRRefD22_14x_0" localSheetId="74">'Div 4'!$D$79</definedName>
    <definedName name="OSRRefD22_14x_0" localSheetId="65">'Div 6'!$D$98</definedName>
    <definedName name="OSRRefD22_14x_0" localSheetId="2">Summary!$D$250</definedName>
    <definedName name="OSRRefD22_15x_0" localSheetId="41">'201'!$D$66</definedName>
    <definedName name="OSRRefD22_15x_0" localSheetId="42">'202'!$D$64</definedName>
    <definedName name="OSRRefD22_15x_0" localSheetId="43">'203'!$D$67</definedName>
    <definedName name="OSRRefD22_15x_0" localSheetId="48">'300'!$D$211</definedName>
    <definedName name="OSRRefD22_15x_0" localSheetId="49">'300 &amp; 317'!$D$236</definedName>
    <definedName name="OSRRefD22_15x_0" localSheetId="50">'301'!$D$68:$D$70</definedName>
    <definedName name="OSRRefD22_15x_0" localSheetId="67">'310'!$D$77</definedName>
    <definedName name="OSRRefD22_15x_0" localSheetId="75">'310 &amp; 491'!$D$88</definedName>
    <definedName name="OSRRefD22_15x_0" localSheetId="72">'325'!$D$77</definedName>
    <definedName name="OSRRefD22_15x_0" localSheetId="61">'326'!$D$104</definedName>
    <definedName name="OSRRefD22_15x_0" localSheetId="53">'330'!$D$127</definedName>
    <definedName name="OSRRefD22_15x_0" localSheetId="59">'331'!$D$120:$D$121</definedName>
    <definedName name="OSRRefD22_15x_0" localSheetId="77">'405'!$D$75</definedName>
    <definedName name="OSRRefD22_15x_0" localSheetId="79">'411'!$D$77</definedName>
    <definedName name="OSRRefD22_15x_0" localSheetId="83">'414'!$D$73</definedName>
    <definedName name="OSRRefD22_15x_0" localSheetId="84">'415'!$D$80</definedName>
    <definedName name="OSRRefD22_15x_0" localSheetId="85">'418'!$D$79</definedName>
    <definedName name="OSRRefD22_15x_0" localSheetId="88">'425'!$D$77</definedName>
    <definedName name="OSRRefD22_15x_0" localSheetId="91">'433'!$D$79:$D$80</definedName>
    <definedName name="OSRRefD22_15x_0" localSheetId="93">'444'!$D$79</definedName>
    <definedName name="OSRRefD22_15x_0" localSheetId="95">'450'!$D$78</definedName>
    <definedName name="OSRRefD22_15x_0" localSheetId="76">'491'!$D$80:$D$82</definedName>
    <definedName name="OSRRefD22_15x_0" localSheetId="89">'492'!$D$83</definedName>
    <definedName name="OSRRefD22_15x_0" localSheetId="39">'Div 2'!$D$74</definedName>
    <definedName name="OSRRefD22_15x_0" localSheetId="47">'Div 3'!$D$216</definedName>
    <definedName name="OSRRefD22_15x_0" localSheetId="74">'Div 4'!$D$81</definedName>
    <definedName name="OSRRefD22_15x_0" localSheetId="2">Summary!$D$252</definedName>
    <definedName name="OSRRefD22_16x_0" localSheetId="41">'201'!$D$68:$D$69</definedName>
    <definedName name="OSRRefD22_16x_0" localSheetId="48">'300'!$D$213:$D$215</definedName>
    <definedName name="OSRRefD22_16x_0" localSheetId="49">'300 &amp; 317'!$D$238:$D$240</definedName>
    <definedName name="OSRRefD22_16x_0" localSheetId="50">'301'!$D$72</definedName>
    <definedName name="OSRRefD22_16x_0" localSheetId="67">'310'!$D$79:$D$82</definedName>
    <definedName name="OSRRefD22_16x_0" localSheetId="75">'310 &amp; 491'!$D$90:$D$92</definedName>
    <definedName name="OSRRefD22_16x_0" localSheetId="72">'325'!$D$79</definedName>
    <definedName name="OSRRefD22_16x_0" localSheetId="61">'326'!$D$106:$D$110</definedName>
    <definedName name="OSRRefD22_16x_0" localSheetId="53">'330'!$D$129</definedName>
    <definedName name="OSRRefD22_16x_0" localSheetId="59">'331'!$D$123:$D$125</definedName>
    <definedName name="OSRRefD22_16x_0" localSheetId="77">'405'!$D$77</definedName>
    <definedName name="OSRRefD22_16x_0" localSheetId="79">'411'!$D$79</definedName>
    <definedName name="OSRRefD22_16x_0" localSheetId="84">'415'!$D$82</definedName>
    <definedName name="OSRRefD22_16x_0" localSheetId="93">'444'!$D$81</definedName>
    <definedName name="OSRRefD22_16x_0" localSheetId="95">'450'!$D$80:$D$81</definedName>
    <definedName name="OSRRefD22_16x_0" localSheetId="76">'491'!$D$84:$D$85</definedName>
    <definedName name="OSRRefD22_16x_0" localSheetId="89">'492'!$D$85</definedName>
    <definedName name="OSRRefD22_16x_0" localSheetId="39">'Div 2'!$D$76:$D$79</definedName>
    <definedName name="OSRRefD22_16x_0" localSheetId="47">'Div 3'!$D$218</definedName>
    <definedName name="OSRRefD22_16x_0" localSheetId="74">'Div 4'!$D$83:$D$85</definedName>
    <definedName name="OSRRefD22_16x_0" localSheetId="2">Summary!$D$254</definedName>
    <definedName name="OSRRefD22_17x_0" localSheetId="48">'300'!$D$217:$D$219</definedName>
    <definedName name="OSRRefD22_17x_0" localSheetId="49">'300 &amp; 317'!$D$242:$D$244</definedName>
    <definedName name="OSRRefD22_17x_0" localSheetId="50">'301'!$D$74:$D$78</definedName>
    <definedName name="OSRRefD22_17x_0" localSheetId="67">'310'!$D$84:$D$85</definedName>
    <definedName name="OSRRefD22_17x_0" localSheetId="75">'310 &amp; 491'!$D$94:$D$95</definedName>
    <definedName name="OSRRefD22_17x_0" localSheetId="72">'325'!$D$81</definedName>
    <definedName name="OSRRefD22_17x_0" localSheetId="61">'326'!$D$112</definedName>
    <definedName name="OSRRefD22_17x_0" localSheetId="53">'330'!$D$131</definedName>
    <definedName name="OSRRefD22_17x_0" localSheetId="59">'331'!$D$127:$D$128</definedName>
    <definedName name="OSRRefD22_17x_0" localSheetId="77">'405'!$D$79</definedName>
    <definedName name="OSRRefD22_17x_0" localSheetId="79">'411'!$D$81:$D$83</definedName>
    <definedName name="OSRRefD22_17x_0" localSheetId="84">'415'!$D$84</definedName>
    <definedName name="OSRRefD22_17x_0" localSheetId="76">'491'!$D$87:$D$91</definedName>
    <definedName name="OSRRefD22_17x_0" localSheetId="89">'492'!$D$87:$D$88</definedName>
    <definedName name="OSRRefD22_17x_0" localSheetId="39">'Div 2'!$D$81:$D$82</definedName>
    <definedName name="OSRRefD22_17x_0" localSheetId="47">'Div 3'!$D$220:$D$222</definedName>
    <definedName name="OSRRefD22_17x_0" localSheetId="74">'Div 4'!$D$87:$D$88</definedName>
    <definedName name="OSRRefD22_17x_0" localSheetId="2">Summary!$D$256</definedName>
    <definedName name="OSRRefD22_18x_0" localSheetId="48">'300'!$D$221:$D$224</definedName>
    <definedName name="OSRRefD22_18x_0" localSheetId="49">'300 &amp; 317'!$D$246:$D$249</definedName>
    <definedName name="OSRRefD22_18x_0" localSheetId="50">'301'!$D$80</definedName>
    <definedName name="OSRRefD22_18x_0" localSheetId="67">'310'!$D$87:$D$93</definedName>
    <definedName name="OSRRefD22_18x_0" localSheetId="75">'310 &amp; 491'!$D$97:$D$101</definedName>
    <definedName name="OSRRefD22_18x_0" localSheetId="61">'326'!$D$114</definedName>
    <definedName name="OSRRefD22_18x_0" localSheetId="59">'331'!$D$130:$D$135</definedName>
    <definedName name="OSRRefD22_18x_0" localSheetId="79">'411'!$D$85</definedName>
    <definedName name="OSRRefD22_18x_0" localSheetId="76">'491'!$D$93:$D$94</definedName>
    <definedName name="OSRRefD22_18x_0" localSheetId="39">'Div 2'!$D$84</definedName>
    <definedName name="OSRRefD22_18x_0" localSheetId="47">'Div 3'!$D$224:$D$226</definedName>
    <definedName name="OSRRefD22_18x_0" localSheetId="74">'Div 4'!$D$90:$D$94</definedName>
    <definedName name="OSRRefD22_18x_0" localSheetId="2">Summary!$D$258:$D$260</definedName>
    <definedName name="OSRRefD22_19x_0" localSheetId="48">'300'!$D$226:$D$227</definedName>
    <definedName name="OSRRefD22_19x_0" localSheetId="49">'300 &amp; 317'!$D$251:$D$252</definedName>
    <definedName name="OSRRefD22_19x_0" localSheetId="50">'301'!$D$82</definedName>
    <definedName name="OSRRefD22_19x_0" localSheetId="67">'310'!$D$95</definedName>
    <definedName name="OSRRefD22_19x_0" localSheetId="75">'310 &amp; 491'!$D$103:$D$104</definedName>
    <definedName name="OSRRefD22_19x_0" localSheetId="61">'326'!$D$116</definedName>
    <definedName name="OSRRefD22_19x_0" localSheetId="59">'331'!$D$137</definedName>
    <definedName name="OSRRefD22_19x_0" localSheetId="76">'491'!$D$96:$D$103</definedName>
    <definedName name="OSRRefD22_19x_0" localSheetId="39">'Div 2'!$D$86:$D$87</definedName>
    <definedName name="OSRRefD22_19x_0" localSheetId="47">'Div 3'!$D$228:$D$232</definedName>
    <definedName name="OSRRefD22_19x_0" localSheetId="74">'Div 4'!$D$96:$D$97</definedName>
    <definedName name="OSRRefD22_19x_0" localSheetId="2">Summary!$D$262:$D$264</definedName>
    <definedName name="OSRRefD22_1x_0" localSheetId="40">'200'!$D$22</definedName>
    <definedName name="OSRRefD22_1x_0" localSheetId="41">'201'!$D$30:$D$32</definedName>
    <definedName name="OSRRefD22_1x_0" localSheetId="42">'202'!$D$29:$D$32</definedName>
    <definedName name="OSRRefD22_1x_0" localSheetId="43">'203'!$D$31:$D$34</definedName>
    <definedName name="OSRRefD22_1x_0" localSheetId="44">'204'!$D$31:$D$35</definedName>
    <definedName name="OSRRefD22_1x_0" localSheetId="45">'205'!$D$29</definedName>
    <definedName name="OSRRefD22_1x_0" localSheetId="46">'206'!$D$29:$D$34</definedName>
    <definedName name="OSRRefD22_1x_0" localSheetId="48">'300'!$D$173:$D$179</definedName>
    <definedName name="OSRRefD22_1x_0" localSheetId="49">'300 &amp; 317'!$D$198:$D$204</definedName>
    <definedName name="OSRRefD22_1x_0" localSheetId="50">'301'!$D$29:$D$35</definedName>
    <definedName name="OSRRefD22_1x_0" localSheetId="51">'306'!$D$30:$D$34</definedName>
    <definedName name="OSRRefD22_1x_0" localSheetId="54">'307'!$D$83:$D$86</definedName>
    <definedName name="OSRRefD22_1x_0" localSheetId="56">'308'!$D$74:$D$78</definedName>
    <definedName name="OSRRefD22_1x_0" localSheetId="68">'309'!$D$33:$D$37</definedName>
    <definedName name="OSRRefD22_1x_0" localSheetId="67">'310'!$D$41:$D$46</definedName>
    <definedName name="OSRRefD22_1x_0" localSheetId="75">'310 &amp; 491'!$D$50:$D$56</definedName>
    <definedName name="OSRRefD22_1x_0" localSheetId="57">'311'!$D$73:$D$77</definedName>
    <definedName name="OSRRefD22_1x_0" localSheetId="69">'313'!$D$38:$D$42</definedName>
    <definedName name="OSRRefD22_1x_0" localSheetId="55">'314'!$D$64:$D$67</definedName>
    <definedName name="OSRRefD22_1x_0" localSheetId="60">'315'!$D$64:$D$69</definedName>
    <definedName name="OSRRefD22_1x_0" localSheetId="63">'316'!$D$41:$D$44</definedName>
    <definedName name="OSRRefD22_1x_0" localSheetId="66">'317'!$D$68:$D$71</definedName>
    <definedName name="OSRRefD22_1x_0" localSheetId="64">'320'!$D$38:$D$40</definedName>
    <definedName name="OSRRefD22_1x_0" localSheetId="70">'321'!$D$32:$D$36</definedName>
    <definedName name="OSRRefD22_1x_0" localSheetId="71">'322'!$D$33:$D$37</definedName>
    <definedName name="OSRRefD22_1x_0" localSheetId="72">'325'!$D$33:$D$38</definedName>
    <definedName name="OSRRefD22_1x_0" localSheetId="61">'326'!$D$70:$D$73</definedName>
    <definedName name="OSRRefD22_1x_0" localSheetId="73">'327'!$D$24</definedName>
    <definedName name="OSRRefD22_1x_0" localSheetId="53">'330'!$D$90:$D$94</definedName>
    <definedName name="OSRRefD22_1x_0" localSheetId="59">'331'!$D$83:$D$88</definedName>
    <definedName name="OSRRefD22_1x_0" localSheetId="62">'332'!$D$50:$D$53</definedName>
    <definedName name="OSRRefD22_1x_0" localSheetId="77">'405'!$D$33:$D$36</definedName>
    <definedName name="OSRRefD22_1x_0" localSheetId="78">'406'!$D$33:$D$37</definedName>
    <definedName name="OSRRefD22_1x_0" localSheetId="79">'411'!$D$30:$D$35</definedName>
    <definedName name="OSRRefD22_1x_0" localSheetId="80">'412'!$D$33:$D$38</definedName>
    <definedName name="OSRRefD22_1x_0" localSheetId="82">'413'!$D$33:$D$37</definedName>
    <definedName name="OSRRefD22_1x_0" localSheetId="83">'414'!$D$33:$D$38</definedName>
    <definedName name="OSRRefD22_1x_0" localSheetId="84">'415'!$D$33:$D$38</definedName>
    <definedName name="OSRRefD22_1x_0" localSheetId="85">'418'!$D$33:$D$38</definedName>
    <definedName name="OSRRefD22_1x_0" localSheetId="81">'420'!$D$31:$D$34</definedName>
    <definedName name="OSRRefD22_1x_0" localSheetId="86">'423'!$D$30</definedName>
    <definedName name="OSRRefD22_1x_0" localSheetId="87">'424'!$D$28:$D$32</definedName>
    <definedName name="OSRRefD22_1x_0" localSheetId="88">'425'!$D$36:$D$40</definedName>
    <definedName name="OSRRefD22_1x_0" localSheetId="90">'430'!$D$29</definedName>
    <definedName name="OSRRefD22_1x_0" localSheetId="91">'433'!$D$36:$D$41</definedName>
    <definedName name="OSRRefD22_1x_0" localSheetId="92">'435'!$D$29:$D$31</definedName>
    <definedName name="OSRRefD22_1x_0" localSheetId="93">'444'!$D$35:$D$40</definedName>
    <definedName name="OSRRefD22_1x_0" localSheetId="95">'450'!$D$35:$D$40</definedName>
    <definedName name="OSRRefD22_1x_0" localSheetId="96">'455'!$D$28:$D$29</definedName>
    <definedName name="OSRRefD22_1x_0" localSheetId="76">'491'!$D$43:$D$49</definedName>
    <definedName name="OSRRefD22_1x_0" localSheetId="89">'492'!$D$38:$D$44</definedName>
    <definedName name="OSRRefD22_1x_0" localSheetId="98">'501'!$D$30:$D$35</definedName>
    <definedName name="OSRRefD22_1x_0" localSheetId="39">'Div 2'!$D$32:$D$38</definedName>
    <definedName name="OSRRefD22_1x_0" localSheetId="47">'Div 3'!$D$178:$D$184</definedName>
    <definedName name="OSRRefD22_1x_0" localSheetId="74">'Div 4'!$D$44:$D$50</definedName>
    <definedName name="OSRRefD22_1x_0" localSheetId="97">'Div 5'!$D$30:$D$35</definedName>
    <definedName name="OSRRefD22_1x_0" localSheetId="65">'Div 6'!$D$68:$D$71</definedName>
    <definedName name="OSRRefD22_1x_0" localSheetId="2">Summary!$D$212:$D$218</definedName>
    <definedName name="OSRRefD22_20x_0" localSheetId="48">'300'!$D$229:$D$235</definedName>
    <definedName name="OSRRefD22_20x_0" localSheetId="49">'300 &amp; 317'!$D$254:$D$260</definedName>
    <definedName name="OSRRefD22_20x_0" localSheetId="50">'301'!$D$84:$D$86</definedName>
    <definedName name="OSRRefD22_20x_0" localSheetId="67">'310'!$D$97</definedName>
    <definedName name="OSRRefD22_20x_0" localSheetId="75">'310 &amp; 491'!$D$106:$D$113</definedName>
    <definedName name="OSRRefD22_20x_0" localSheetId="59">'331'!$D$139</definedName>
    <definedName name="OSRRefD22_20x_0" localSheetId="76">'491'!$D$105</definedName>
    <definedName name="OSRRefD22_20x_0" localSheetId="47">'Div 3'!$D$234:$D$235</definedName>
    <definedName name="OSRRefD22_20x_0" localSheetId="74">'Div 4'!$D$99:$D$106</definedName>
    <definedName name="OSRRefD22_20x_0" localSheetId="2">Summary!$D$266:$D$270</definedName>
    <definedName name="OSRRefD22_21x_0" localSheetId="48">'300'!$D$237:$D$238</definedName>
    <definedName name="OSRRefD22_21x_0" localSheetId="49">'300 &amp; 317'!$D$262:$D$263</definedName>
    <definedName name="OSRRefD22_21x_0" localSheetId="50">'301'!$D$88</definedName>
    <definedName name="OSRRefD22_21x_0" localSheetId="67">'310'!$D$99</definedName>
    <definedName name="OSRRefD22_21x_0" localSheetId="75">'310 &amp; 491'!$D$115</definedName>
    <definedName name="OSRRefD22_21x_0" localSheetId="59">'331'!$D$141:$D$142</definedName>
    <definedName name="OSRRefD22_21x_0" localSheetId="76">'491'!$D$107</definedName>
    <definedName name="OSRRefD22_21x_0" localSheetId="47">'Div 3'!$D$237:$D$243</definedName>
    <definedName name="OSRRefD22_21x_0" localSheetId="74">'Div 4'!$D$108</definedName>
    <definedName name="OSRRefD22_21x_0" localSheetId="2">Summary!$D$272:$D$273</definedName>
    <definedName name="OSRRefD22_22x_0" localSheetId="48">'300'!$D$240</definedName>
    <definedName name="OSRRefD22_22x_0" localSheetId="49">'300 &amp; 317'!$D$265</definedName>
    <definedName name="OSRRefD22_22x_0" localSheetId="75">'310 &amp; 491'!$D$117</definedName>
    <definedName name="OSRRefD22_22x_0" localSheetId="59">'331'!$D$144</definedName>
    <definedName name="OSRRefD22_22x_0" localSheetId="76">'491'!$D$109:$D$111</definedName>
    <definedName name="OSRRefD22_22x_0" localSheetId="47">'Div 3'!$D$245:$D$246</definedName>
    <definedName name="OSRRefD22_22x_0" localSheetId="74">'Div 4'!$D$110</definedName>
    <definedName name="OSRRefD22_22x_0" localSheetId="2">Summary!$D$275:$D$282</definedName>
    <definedName name="OSRRefD22_23x_0" localSheetId="48">'300'!$D$242:$D$244</definedName>
    <definedName name="OSRRefD22_23x_0" localSheetId="49">'300 &amp; 317'!$D$267:$D$269</definedName>
    <definedName name="OSRRefD22_23x_0" localSheetId="75">'310 &amp; 491'!$D$119:$D$121</definedName>
    <definedName name="OSRRefD22_23x_0" localSheetId="76">'491'!$D$113</definedName>
    <definedName name="OSRRefD22_23x_0" localSheetId="47">'Div 3'!$D$248</definedName>
    <definedName name="OSRRefD22_23x_0" localSheetId="74">'Div 4'!$D$112:$D$114</definedName>
    <definedName name="OSRRefD22_23x_0" localSheetId="2">Summary!$D$284:$D$285</definedName>
    <definedName name="OSRRefD22_24x_0" localSheetId="48">'300'!$D$246</definedName>
    <definedName name="OSRRefD22_24x_0" localSheetId="49">'300 &amp; 317'!$D$271</definedName>
    <definedName name="OSRRefD22_24x_0" localSheetId="75">'310 &amp; 491'!$D$123</definedName>
    <definedName name="OSRRefD22_24x_0" localSheetId="47">'Div 3'!$D$250:$D$252</definedName>
    <definedName name="OSRRefD22_24x_0" localSheetId="74">'Div 4'!$D$116</definedName>
    <definedName name="OSRRefD22_24x_0" localSheetId="2">Summary!$D$287</definedName>
    <definedName name="OSRRefD22_25x_0" localSheetId="47">'Div 3'!$D$254</definedName>
    <definedName name="OSRRefD22_25x_0" localSheetId="2">Summary!$D$289:$D$291</definedName>
    <definedName name="OSRRefD22_26x_0" localSheetId="2">Summary!$D$293</definedName>
    <definedName name="OSRRefD22_2x_0" localSheetId="40">'200'!$D$24</definedName>
    <definedName name="OSRRefD22_2x_0" localSheetId="41">'201'!$D$34</definedName>
    <definedName name="OSRRefD22_2x_0" localSheetId="42">'202'!$D$34</definedName>
    <definedName name="OSRRefD22_2x_0" localSheetId="43">'203'!$D$36</definedName>
    <definedName name="OSRRefD22_2x_0" localSheetId="44">'204'!$D$37</definedName>
    <definedName name="OSRRefD22_2x_0" localSheetId="45">'205'!$D$31</definedName>
    <definedName name="OSRRefD22_2x_0" localSheetId="46">'206'!$D$36</definedName>
    <definedName name="OSRRefD22_2x_0" localSheetId="48">'300'!$D$181</definedName>
    <definedName name="OSRRefD22_2x_0" localSheetId="49">'300 &amp; 317'!$D$206</definedName>
    <definedName name="OSRRefD22_2x_0" localSheetId="50">'301'!$D$37</definedName>
    <definedName name="OSRRefD22_2x_0" localSheetId="51">'306'!$D$36</definedName>
    <definedName name="OSRRefD22_2x_0" localSheetId="54">'307'!$D$88</definedName>
    <definedName name="OSRRefD22_2x_0" localSheetId="56">'308'!$D$80</definedName>
    <definedName name="OSRRefD22_2x_0" localSheetId="68">'309'!$D$39</definedName>
    <definedName name="OSRRefD22_2x_0" localSheetId="67">'310'!$D$48</definedName>
    <definedName name="OSRRefD22_2x_0" localSheetId="75">'310 &amp; 491'!$D$58</definedName>
    <definedName name="OSRRefD22_2x_0" localSheetId="57">'311'!$D$79</definedName>
    <definedName name="OSRRefD22_2x_0" localSheetId="69">'313'!$D$44</definedName>
    <definedName name="OSRRefD22_2x_0" localSheetId="55">'314'!$D$69</definedName>
    <definedName name="OSRRefD22_2x_0" localSheetId="60">'315'!$D$71</definedName>
    <definedName name="OSRRefD22_2x_0" localSheetId="63">'316'!$D$46</definedName>
    <definedName name="OSRRefD22_2x_0" localSheetId="66">'317'!$D$73</definedName>
    <definedName name="OSRRefD22_2x_0" localSheetId="64">'320'!$D$42</definedName>
    <definedName name="OSRRefD22_2x_0" localSheetId="70">'321'!$D$38</definedName>
    <definedName name="OSRRefD22_2x_0" localSheetId="71">'322'!$D$39</definedName>
    <definedName name="OSRRefD22_2x_0" localSheetId="72">'325'!$D$40</definedName>
    <definedName name="OSRRefD22_2x_0" localSheetId="61">'326'!$D$75</definedName>
    <definedName name="OSRRefD22_2x_0" localSheetId="73">'327'!$D$26</definedName>
    <definedName name="OSRRefD22_2x_0" localSheetId="53">'330'!$D$96</definedName>
    <definedName name="OSRRefD22_2x_0" localSheetId="59">'331'!$D$90</definedName>
    <definedName name="OSRRefD22_2x_0" localSheetId="62">'332'!$D$55</definedName>
    <definedName name="OSRRefD22_2x_0" localSheetId="77">'405'!$D$38</definedName>
    <definedName name="OSRRefD22_2x_0" localSheetId="78">'406'!$D$39</definedName>
    <definedName name="OSRRefD22_2x_0" localSheetId="79">'411'!$D$37</definedName>
    <definedName name="OSRRefD22_2x_0" localSheetId="80">'412'!$D$40</definedName>
    <definedName name="OSRRefD22_2x_0" localSheetId="82">'413'!$D$39</definedName>
    <definedName name="OSRRefD22_2x_0" localSheetId="83">'414'!$D$40</definedName>
    <definedName name="OSRRefD22_2x_0" localSheetId="84">'415'!$D$40</definedName>
    <definedName name="OSRRefD22_2x_0" localSheetId="85">'418'!$D$40</definedName>
    <definedName name="OSRRefD22_2x_0" localSheetId="81">'420'!$D$36</definedName>
    <definedName name="OSRRefD22_2x_0" localSheetId="86">'423'!$D$32</definedName>
    <definedName name="OSRRefD22_2x_0" localSheetId="87">'424'!$D$34</definedName>
    <definedName name="OSRRefD22_2x_0" localSheetId="88">'425'!$D$42</definedName>
    <definedName name="OSRRefD22_2x_0" localSheetId="90">'430'!$D$31</definedName>
    <definedName name="OSRRefD22_2x_0" localSheetId="91">'433'!$D$43</definedName>
    <definedName name="OSRRefD22_2x_0" localSheetId="92">'435'!$D$33</definedName>
    <definedName name="OSRRefD22_2x_0" localSheetId="93">'444'!$D$42</definedName>
    <definedName name="OSRRefD22_2x_0" localSheetId="95">'450'!$D$42</definedName>
    <definedName name="OSRRefD22_2x_0" localSheetId="96">'455'!$D$31</definedName>
    <definedName name="OSRRefD22_2x_0" localSheetId="76">'491'!$D$51</definedName>
    <definedName name="OSRRefD22_2x_0" localSheetId="89">'492'!$D$46</definedName>
    <definedName name="OSRRefD22_2x_0" localSheetId="98">'501'!$D$37</definedName>
    <definedName name="OSRRefD22_2x_0" localSheetId="39">'Div 2'!$D$40</definedName>
    <definedName name="OSRRefD22_2x_0" localSheetId="47">'Div 3'!$D$186</definedName>
    <definedName name="OSRRefD22_2x_0" localSheetId="74">'Div 4'!$D$52</definedName>
    <definedName name="OSRRefD22_2x_0" localSheetId="97">'Div 5'!$D$37</definedName>
    <definedName name="OSRRefD22_2x_0" localSheetId="65">'Div 6'!$D$73</definedName>
    <definedName name="OSRRefD22_2x_0" localSheetId="2">Summary!$D$220</definedName>
    <definedName name="OSRRefD22_3x_0" localSheetId="40">'200'!$D$26</definedName>
    <definedName name="OSRRefD22_3x_0" localSheetId="41">'201'!$D$36</definedName>
    <definedName name="OSRRefD22_3x_0" localSheetId="42">'202'!$D$36</definedName>
    <definedName name="OSRRefD22_3x_0" localSheetId="43">'203'!$D$38</definedName>
    <definedName name="OSRRefD22_3x_0" localSheetId="44">'204'!$D$39:$D$40</definedName>
    <definedName name="OSRRefD22_3x_0" localSheetId="45">'205'!$D$33</definedName>
    <definedName name="OSRRefD22_3x_0" localSheetId="46">'206'!$D$38</definedName>
    <definedName name="OSRRefD22_3x_0" localSheetId="48">'300'!$D$183:$D$184</definedName>
    <definedName name="OSRRefD22_3x_0" localSheetId="49">'300 &amp; 317'!$D$208:$D$209</definedName>
    <definedName name="OSRRefD22_3x_0" localSheetId="50">'301'!$D$39:$D$40</definedName>
    <definedName name="OSRRefD22_3x_0" localSheetId="51">'306'!$D$38</definedName>
    <definedName name="OSRRefD22_3x_0" localSheetId="54">'307'!$D$90</definedName>
    <definedName name="OSRRefD22_3x_0" localSheetId="56">'308'!$D$82:$D$83</definedName>
    <definedName name="OSRRefD22_3x_0" localSheetId="68">'309'!$D$41</definedName>
    <definedName name="OSRRefD22_3x_0" localSheetId="67">'310'!$D$50</definedName>
    <definedName name="OSRRefD22_3x_0" localSheetId="75">'310 &amp; 491'!$D$60</definedName>
    <definedName name="OSRRefD22_3x_0" localSheetId="57">'311'!$D$81:$D$82</definedName>
    <definedName name="OSRRefD22_3x_0" localSheetId="69">'313'!$D$46</definedName>
    <definedName name="OSRRefD22_3x_0" localSheetId="55">'314'!$D$71:$D$72</definedName>
    <definedName name="OSRRefD22_3x_0" localSheetId="60">'315'!$D$73:$D$74</definedName>
    <definedName name="OSRRefD22_3x_0" localSheetId="63">'316'!$D$48</definedName>
    <definedName name="OSRRefD22_3x_0" localSheetId="66">'317'!$D$75</definedName>
    <definedName name="OSRRefD22_3x_0" localSheetId="64">'320'!$D$44</definedName>
    <definedName name="OSRRefD22_3x_0" localSheetId="70">'321'!$D$40</definedName>
    <definedName name="OSRRefD22_3x_0" localSheetId="71">'322'!$D$41</definedName>
    <definedName name="OSRRefD22_3x_0" localSheetId="72">'325'!$D$42</definedName>
    <definedName name="OSRRefD22_3x_0" localSheetId="61">'326'!$D$77</definedName>
    <definedName name="OSRRefD22_3x_0" localSheetId="53">'330'!$D$98</definedName>
    <definedName name="OSRRefD22_3x_0" localSheetId="59">'331'!$D$92</definedName>
    <definedName name="OSRRefD22_3x_0" localSheetId="62">'332'!$D$57</definedName>
    <definedName name="OSRRefD22_3x_0" localSheetId="77">'405'!$D$40</definedName>
    <definedName name="OSRRefD22_3x_0" localSheetId="78">'406'!$D$41</definedName>
    <definedName name="OSRRefD22_3x_0" localSheetId="79">'411'!$D$39:$D$41</definedName>
    <definedName name="OSRRefD22_3x_0" localSheetId="80">'412'!$D$42</definedName>
    <definedName name="OSRRefD22_3x_0" localSheetId="82">'413'!$D$41</definedName>
    <definedName name="OSRRefD22_3x_0" localSheetId="83">'414'!$D$42</definedName>
    <definedName name="OSRRefD22_3x_0" localSheetId="84">'415'!$D$42</definedName>
    <definedName name="OSRRefD22_3x_0" localSheetId="85">'418'!$D$42</definedName>
    <definedName name="OSRRefD22_3x_0" localSheetId="81">'420'!$D$38</definedName>
    <definedName name="OSRRefD22_3x_0" localSheetId="86">'423'!$D$34</definedName>
    <definedName name="OSRRefD22_3x_0" localSheetId="87">'424'!$D$36</definedName>
    <definedName name="OSRRefD22_3x_0" localSheetId="88">'425'!$D$44</definedName>
    <definedName name="OSRRefD22_3x_0" localSheetId="90">'430'!$D$33</definedName>
    <definedName name="OSRRefD22_3x_0" localSheetId="91">'433'!$D$45</definedName>
    <definedName name="OSRRefD22_3x_0" localSheetId="92">'435'!$D$35</definedName>
    <definedName name="OSRRefD22_3x_0" localSheetId="93">'444'!$D$44</definedName>
    <definedName name="OSRRefD22_3x_0" localSheetId="95">'450'!$D$44</definedName>
    <definedName name="OSRRefD22_3x_0" localSheetId="76">'491'!$D$53</definedName>
    <definedName name="OSRRefD22_3x_0" localSheetId="89">'492'!$D$48</definedName>
    <definedName name="OSRRefD22_3x_0" localSheetId="98">'501'!$D$39</definedName>
    <definedName name="OSRRefD22_3x_0" localSheetId="39">'Div 2'!$D$42</definedName>
    <definedName name="OSRRefD22_3x_0" localSheetId="47">'Div 3'!$D$188:$D$189</definedName>
    <definedName name="OSRRefD22_3x_0" localSheetId="74">'Div 4'!$D$54</definedName>
    <definedName name="OSRRefD22_3x_0" localSheetId="97">'Div 5'!$D$39</definedName>
    <definedName name="OSRRefD22_3x_0" localSheetId="65">'Div 6'!$D$75</definedName>
    <definedName name="OSRRefD22_3x_0" localSheetId="2">Summary!$D$222:$D$223</definedName>
    <definedName name="OSRRefD22_4x_0" localSheetId="40">'200'!$D$28:$D$29</definedName>
    <definedName name="OSRRefD22_4x_0" localSheetId="41">'201'!$D$38</definedName>
    <definedName name="OSRRefD22_4x_0" localSheetId="42">'202'!$D$38</definedName>
    <definedName name="OSRRefD22_4x_0" localSheetId="43">'203'!$D$40</definedName>
    <definedName name="OSRRefD22_4x_0" localSheetId="44">'204'!$D$42</definedName>
    <definedName name="OSRRefD22_4x_0" localSheetId="45">'205'!$D$35:$D$36</definedName>
    <definedName name="OSRRefD22_4x_0" localSheetId="46">'206'!$D$40</definedName>
    <definedName name="OSRRefD22_4x_0" localSheetId="48">'300'!$D$186</definedName>
    <definedName name="OSRRefD22_4x_0" localSheetId="49">'300 &amp; 317'!$D$211</definedName>
    <definedName name="OSRRefD22_4x_0" localSheetId="50">'301'!$D$42</definedName>
    <definedName name="OSRRefD22_4x_0" localSheetId="51">'306'!$D$40</definedName>
    <definedName name="OSRRefD22_4x_0" localSheetId="54">'307'!$D$92:$D$93</definedName>
    <definedName name="OSRRefD22_4x_0" localSheetId="56">'308'!$D$85</definedName>
    <definedName name="OSRRefD22_4x_0" localSheetId="68">'309'!$D$43</definedName>
    <definedName name="OSRRefD22_4x_0" localSheetId="67">'310'!$D$52</definedName>
    <definedName name="OSRRefD22_4x_0" localSheetId="75">'310 &amp; 491'!$D$62</definedName>
    <definedName name="OSRRefD22_4x_0" localSheetId="57">'311'!$D$84</definedName>
    <definedName name="OSRRefD22_4x_0" localSheetId="69">'313'!$D$48</definedName>
    <definedName name="OSRRefD22_4x_0" localSheetId="55">'314'!$D$74</definedName>
    <definedName name="OSRRefD22_4x_0" localSheetId="60">'315'!$D$76</definedName>
    <definedName name="OSRRefD22_4x_0" localSheetId="63">'316'!$D$50</definedName>
    <definedName name="OSRRefD22_4x_0" localSheetId="66">'317'!$D$77</definedName>
    <definedName name="OSRRefD22_4x_0" localSheetId="64">'320'!$D$46:$D$47</definedName>
    <definedName name="OSRRefD22_4x_0" localSheetId="70">'321'!$D$42</definedName>
    <definedName name="OSRRefD22_4x_0" localSheetId="71">'322'!$D$43</definedName>
    <definedName name="OSRRefD22_4x_0" localSheetId="72">'325'!$D$44</definedName>
    <definedName name="OSRRefD22_4x_0" localSheetId="61">'326'!$D$79</definedName>
    <definedName name="OSRRefD22_4x_0" localSheetId="53">'330'!$D$100:$D$101</definedName>
    <definedName name="OSRRefD22_4x_0" localSheetId="59">'331'!$D$94</definedName>
    <definedName name="OSRRefD22_4x_0" localSheetId="62">'332'!$D$59</definedName>
    <definedName name="OSRRefD22_4x_0" localSheetId="77">'405'!$D$42</definedName>
    <definedName name="OSRRefD22_4x_0" localSheetId="78">'406'!$D$43</definedName>
    <definedName name="OSRRefD22_4x_0" localSheetId="79">'411'!$D$43</definedName>
    <definedName name="OSRRefD22_4x_0" localSheetId="80">'412'!$D$44</definedName>
    <definedName name="OSRRefD22_4x_0" localSheetId="82">'413'!$D$43</definedName>
    <definedName name="OSRRefD22_4x_0" localSheetId="83">'414'!$D$44</definedName>
    <definedName name="OSRRefD22_4x_0" localSheetId="84">'415'!$D$44</definedName>
    <definedName name="OSRRefD22_4x_0" localSheetId="85">'418'!$D$44</definedName>
    <definedName name="OSRRefD22_4x_0" localSheetId="81">'420'!$D$40:$D$41</definedName>
    <definedName name="OSRRefD22_4x_0" localSheetId="86">'423'!$D$36</definedName>
    <definedName name="OSRRefD22_4x_0" localSheetId="87">'424'!$D$38</definedName>
    <definedName name="OSRRefD22_4x_0" localSheetId="88">'425'!$D$46</definedName>
    <definedName name="OSRRefD22_4x_0" localSheetId="90">'430'!$D$35</definedName>
    <definedName name="OSRRefD22_4x_0" localSheetId="91">'433'!$D$47</definedName>
    <definedName name="OSRRefD22_4x_0" localSheetId="92">'435'!$D$37</definedName>
    <definedName name="OSRRefD22_4x_0" localSheetId="93">'444'!$D$46</definedName>
    <definedName name="OSRRefD22_4x_0" localSheetId="95">'450'!$D$46</definedName>
    <definedName name="OSRRefD22_4x_0" localSheetId="76">'491'!$D$55</definedName>
    <definedName name="OSRRefD22_4x_0" localSheetId="89">'492'!$D$50</definedName>
    <definedName name="OSRRefD22_4x_0" localSheetId="98">'501'!$D$41</definedName>
    <definedName name="OSRRefD22_4x_0" localSheetId="39">'Div 2'!$D$44</definedName>
    <definedName name="OSRRefD22_4x_0" localSheetId="47">'Div 3'!$D$191</definedName>
    <definedName name="OSRRefD22_4x_0" localSheetId="74">'Div 4'!$D$56</definedName>
    <definedName name="OSRRefD22_4x_0" localSheetId="97">'Div 5'!$D$41</definedName>
    <definedName name="OSRRefD22_4x_0" localSheetId="65">'Div 6'!$D$77</definedName>
    <definedName name="OSRRefD22_4x_0" localSheetId="2">Summary!$D$225</definedName>
    <definedName name="OSRRefD22_5x_0" localSheetId="41">'201'!$D$40</definedName>
    <definedName name="OSRRefD22_5x_0" localSheetId="42">'202'!$D$40</definedName>
    <definedName name="OSRRefD22_5x_0" localSheetId="43">'203'!$D$42</definedName>
    <definedName name="OSRRefD22_5x_0" localSheetId="44">'204'!$D$44</definedName>
    <definedName name="OSRRefD22_5x_0" localSheetId="45">'205'!$D$38</definedName>
    <definedName name="OSRRefD22_5x_0" localSheetId="46">'206'!$D$42:$D$43</definedName>
    <definedName name="OSRRefD22_5x_0" localSheetId="48">'300'!$D$188:$D$189</definedName>
    <definedName name="OSRRefD22_5x_0" localSheetId="49">'300 &amp; 317'!$D$213:$D$214</definedName>
    <definedName name="OSRRefD22_5x_0" localSheetId="50">'301'!$D$44:$D$45</definedName>
    <definedName name="OSRRefD22_5x_0" localSheetId="51">'306'!$D$42</definedName>
    <definedName name="OSRRefD22_5x_0" localSheetId="54">'307'!$D$95</definedName>
    <definedName name="OSRRefD22_5x_0" localSheetId="56">'308'!$D$87</definedName>
    <definedName name="OSRRefD22_5x_0" localSheetId="68">'309'!$D$45</definedName>
    <definedName name="OSRRefD22_5x_0" localSheetId="67">'310'!$D$54:$D$55</definedName>
    <definedName name="OSRRefD22_5x_0" localSheetId="75">'310 &amp; 491'!$D$64:$D$66</definedName>
    <definedName name="OSRRefD22_5x_0" localSheetId="57">'311'!$D$86</definedName>
    <definedName name="OSRRefD22_5x_0" localSheetId="69">'313'!$D$50</definedName>
    <definedName name="OSRRefD22_5x_0" localSheetId="55">'314'!$D$76</definedName>
    <definedName name="OSRRefD22_5x_0" localSheetId="60">'315'!$D$78:$D$79</definedName>
    <definedName name="OSRRefD22_5x_0" localSheetId="63">'316'!$D$52</definedName>
    <definedName name="OSRRefD22_5x_0" localSheetId="66">'317'!$D$79</definedName>
    <definedName name="OSRRefD22_5x_0" localSheetId="64">'320'!$D$49</definedName>
    <definedName name="OSRRefD22_5x_0" localSheetId="70">'321'!$D$44</definedName>
    <definedName name="OSRRefD22_5x_0" localSheetId="71">'322'!$D$45</definedName>
    <definedName name="OSRRefD22_5x_0" localSheetId="72">'325'!$D$46:$D$47</definedName>
    <definedName name="OSRRefD22_5x_0" localSheetId="61">'326'!$D$81</definedName>
    <definedName name="OSRRefD22_5x_0" localSheetId="53">'330'!$D$103</definedName>
    <definedName name="OSRRefD22_5x_0" localSheetId="59">'331'!$D$96:$D$97</definedName>
    <definedName name="OSRRefD22_5x_0" localSheetId="62">'332'!$D$61</definedName>
    <definedName name="OSRRefD22_5x_0" localSheetId="77">'405'!$D$44:$D$45</definedName>
    <definedName name="OSRRefD22_5x_0" localSheetId="78">'406'!$D$45</definedName>
    <definedName name="OSRRefD22_5x_0" localSheetId="79">'411'!$D$45</definedName>
    <definedName name="OSRRefD22_5x_0" localSheetId="80">'412'!$D$46</definedName>
    <definedName name="OSRRefD22_5x_0" localSheetId="82">'413'!$D$45</definedName>
    <definedName name="OSRRefD22_5x_0" localSheetId="83">'414'!$D$46</definedName>
    <definedName name="OSRRefD22_5x_0" localSheetId="84">'415'!$D$46:$D$47</definedName>
    <definedName name="OSRRefD22_5x_0" localSheetId="85">'418'!$D$46:$D$47</definedName>
    <definedName name="OSRRefD22_5x_0" localSheetId="81">'420'!$D$43</definedName>
    <definedName name="OSRRefD22_5x_0" localSheetId="86">'423'!$D$38</definedName>
    <definedName name="OSRRefD22_5x_0" localSheetId="87">'424'!$D$40</definedName>
    <definedName name="OSRRefD22_5x_0" localSheetId="88">'425'!$D$48</definedName>
    <definedName name="OSRRefD22_5x_0" localSheetId="90">'430'!$D$37</definedName>
    <definedName name="OSRRefD22_5x_0" localSheetId="91">'433'!$D$49</definedName>
    <definedName name="OSRRefD22_5x_0" localSheetId="92">'435'!$D$39</definedName>
    <definedName name="OSRRefD22_5x_0" localSheetId="93">'444'!$D$48</definedName>
    <definedName name="OSRRefD22_5x_0" localSheetId="95">'450'!$D$48</definedName>
    <definedName name="OSRRefD22_5x_0" localSheetId="76">'491'!$D$57:$D$59</definedName>
    <definedName name="OSRRefD22_5x_0" localSheetId="89">'492'!$D$52</definedName>
    <definedName name="OSRRefD22_5x_0" localSheetId="98">'501'!$D$43:$D$44</definedName>
    <definedName name="OSRRefD22_5x_0" localSheetId="39">'Div 2'!$D$46:$D$47</definedName>
    <definedName name="OSRRefD22_5x_0" localSheetId="47">'Div 3'!$D$193:$D$194</definedName>
    <definedName name="OSRRefD22_5x_0" localSheetId="74">'Div 4'!$D$58:$D$60</definedName>
    <definedName name="OSRRefD22_5x_0" localSheetId="97">'Div 5'!$D$43:$D$44</definedName>
    <definedName name="OSRRefD22_5x_0" localSheetId="65">'Div 6'!$D$79</definedName>
    <definedName name="OSRRefD22_5x_0" localSheetId="2">Summary!$D$227:$D$229</definedName>
    <definedName name="OSRRefD22_6x_0" localSheetId="41">'201'!$D$42</definedName>
    <definedName name="OSRRefD22_6x_0" localSheetId="42">'202'!$D$42</definedName>
    <definedName name="OSRRefD22_6x_0" localSheetId="43">'203'!$D$44</definedName>
    <definedName name="OSRRefD22_6x_0" localSheetId="44">'204'!$D$46:$D$49</definedName>
    <definedName name="OSRRefD22_6x_0" localSheetId="45">'205'!$D$40:$D$41</definedName>
    <definedName name="OSRRefD22_6x_0" localSheetId="46">'206'!$D$45</definedName>
    <definedName name="OSRRefD22_6x_0" localSheetId="48">'300'!$D$191:$D$192</definedName>
    <definedName name="OSRRefD22_6x_0" localSheetId="49">'300 &amp; 317'!$D$216:$D$217</definedName>
    <definedName name="OSRRefD22_6x_0" localSheetId="50">'301'!$D$47:$D$48</definedName>
    <definedName name="OSRRefD22_6x_0" localSheetId="51">'306'!$D$44</definedName>
    <definedName name="OSRRefD22_6x_0" localSheetId="54">'307'!$D$97</definedName>
    <definedName name="OSRRefD22_6x_0" localSheetId="56">'308'!$D$89:$D$90</definedName>
    <definedName name="OSRRefD22_6x_0" localSheetId="68">'309'!$D$47</definedName>
    <definedName name="OSRRefD22_6x_0" localSheetId="67">'310'!$D$57</definedName>
    <definedName name="OSRRefD22_6x_0" localSheetId="75">'310 &amp; 491'!$D$68</definedName>
    <definedName name="OSRRefD22_6x_0" localSheetId="57">'311'!$D$88:$D$89</definedName>
    <definedName name="OSRRefD22_6x_0" localSheetId="69">'313'!$D$52</definedName>
    <definedName name="OSRRefD22_6x_0" localSheetId="55">'314'!$D$78</definedName>
    <definedName name="OSRRefD22_6x_0" localSheetId="60">'315'!$D$81</definedName>
    <definedName name="OSRRefD22_6x_0" localSheetId="63">'316'!$D$54</definedName>
    <definedName name="OSRRefD22_6x_0" localSheetId="66">'317'!$D$81</definedName>
    <definedName name="OSRRefD22_6x_0" localSheetId="64">'320'!$D$51</definedName>
    <definedName name="OSRRefD22_6x_0" localSheetId="70">'321'!$D$46:$D$48</definedName>
    <definedName name="OSRRefD22_6x_0" localSheetId="71">'322'!$D$47</definedName>
    <definedName name="OSRRefD22_6x_0" localSheetId="72">'325'!$D$49</definedName>
    <definedName name="OSRRefD22_6x_0" localSheetId="61">'326'!$D$83</definedName>
    <definedName name="OSRRefD22_6x_0" localSheetId="53">'330'!$D$105</definedName>
    <definedName name="OSRRefD22_6x_0" localSheetId="59">'331'!$D$99</definedName>
    <definedName name="OSRRefD22_6x_0" localSheetId="62">'332'!$D$63:$D$64</definedName>
    <definedName name="OSRRefD22_6x_0" localSheetId="77">'405'!$D$47</definedName>
    <definedName name="OSRRefD22_6x_0" localSheetId="78">'406'!$D$47</definedName>
    <definedName name="OSRRefD22_6x_0" localSheetId="79">'411'!$D$47</definedName>
    <definedName name="OSRRefD22_6x_0" localSheetId="80">'412'!$D$48</definedName>
    <definedName name="OSRRefD22_6x_0" localSheetId="82">'413'!$D$47</definedName>
    <definedName name="OSRRefD22_6x_0" localSheetId="83">'414'!$D$48</definedName>
    <definedName name="OSRRefD22_6x_0" localSheetId="84">'415'!$D$49</definedName>
    <definedName name="OSRRefD22_6x_0" localSheetId="85">'418'!$D$49</definedName>
    <definedName name="OSRRefD22_6x_0" localSheetId="87">'424'!$D$42</definedName>
    <definedName name="OSRRefD22_6x_0" localSheetId="88">'425'!$D$50</definedName>
    <definedName name="OSRRefD22_6x_0" localSheetId="90">'430'!$D$39:$D$40</definedName>
    <definedName name="OSRRefD22_6x_0" localSheetId="91">'433'!$D$51</definedName>
    <definedName name="OSRRefD22_6x_0" localSheetId="92">'435'!$D$41</definedName>
    <definedName name="OSRRefD22_6x_0" localSheetId="93">'444'!$D$50</definedName>
    <definedName name="OSRRefD22_6x_0" localSheetId="95">'450'!$D$50</definedName>
    <definedName name="OSRRefD22_6x_0" localSheetId="76">'491'!$D$61</definedName>
    <definedName name="OSRRefD22_6x_0" localSheetId="89">'492'!$D$54</definedName>
    <definedName name="OSRRefD22_6x_0" localSheetId="98">'501'!$D$46</definedName>
    <definedName name="OSRRefD22_6x_0" localSheetId="39">'Div 2'!$D$49</definedName>
    <definedName name="OSRRefD22_6x_0" localSheetId="47">'Div 3'!$D$196:$D$197</definedName>
    <definedName name="OSRRefD22_6x_0" localSheetId="74">'Div 4'!$D$62</definedName>
    <definedName name="OSRRefD22_6x_0" localSheetId="97">'Div 5'!$D$46</definedName>
    <definedName name="OSRRefD22_6x_0" localSheetId="65">'Div 6'!$D$81</definedName>
    <definedName name="OSRRefD22_6x_0" localSheetId="2">Summary!$D$231:$D$232</definedName>
    <definedName name="OSRRefD22_7x_0" localSheetId="41">'201'!$D$44</definedName>
    <definedName name="OSRRefD22_7x_0" localSheetId="42">'202'!$D$44</definedName>
    <definedName name="OSRRefD22_7x_0" localSheetId="43">'203'!$D$46</definedName>
    <definedName name="OSRRefD22_7x_0" localSheetId="44">'204'!$D$51:$D$52</definedName>
    <definedName name="OSRRefD22_7x_0" localSheetId="45">'205'!$D$43</definedName>
    <definedName name="OSRRefD22_7x_0" localSheetId="46">'206'!$D$47</definedName>
    <definedName name="OSRRefD22_7x_0" localSheetId="48">'300'!$D$194</definedName>
    <definedName name="OSRRefD22_7x_0" localSheetId="49">'300 &amp; 317'!$D$219</definedName>
    <definedName name="OSRRefD22_7x_0" localSheetId="50">'301'!$D$50</definedName>
    <definedName name="OSRRefD22_7x_0" localSheetId="51">'306'!$D$46:$D$47</definedName>
    <definedName name="OSRRefD22_7x_0" localSheetId="54">'307'!$D$99</definedName>
    <definedName name="OSRRefD22_7x_0" localSheetId="56">'308'!$D$92</definedName>
    <definedName name="OSRRefD22_7x_0" localSheetId="68">'309'!$D$49</definedName>
    <definedName name="OSRRefD22_7x_0" localSheetId="67">'310'!$D$59</definedName>
    <definedName name="OSRRefD22_7x_0" localSheetId="75">'310 &amp; 491'!$D$70</definedName>
    <definedName name="OSRRefD22_7x_0" localSheetId="57">'311'!$D$91</definedName>
    <definedName name="OSRRefD22_7x_0" localSheetId="69">'313'!$D$54</definedName>
    <definedName name="OSRRefD22_7x_0" localSheetId="55">'314'!$D$80:$D$81</definedName>
    <definedName name="OSRRefD22_7x_0" localSheetId="60">'315'!$D$83</definedName>
    <definedName name="OSRRefD22_7x_0" localSheetId="63">'316'!$D$56</definedName>
    <definedName name="OSRRefD22_7x_0" localSheetId="66">'317'!$D$83</definedName>
    <definedName name="OSRRefD22_7x_0" localSheetId="64">'320'!$D$53:$D$54</definedName>
    <definedName name="OSRRefD22_7x_0" localSheetId="70">'321'!$D$50</definedName>
    <definedName name="OSRRefD22_7x_0" localSheetId="71">'322'!$D$49</definedName>
    <definedName name="OSRRefD22_7x_0" localSheetId="72">'325'!$D$51</definedName>
    <definedName name="OSRRefD22_7x_0" localSheetId="61">'326'!$D$85</definedName>
    <definedName name="OSRRefD22_7x_0" localSheetId="53">'330'!$D$107</definedName>
    <definedName name="OSRRefD22_7x_0" localSheetId="59">'331'!$D$101</definedName>
    <definedName name="OSRRefD22_7x_0" localSheetId="62">'332'!$D$66</definedName>
    <definedName name="OSRRefD22_7x_0" localSheetId="77">'405'!$D$49</definedName>
    <definedName name="OSRRefD22_7x_0" localSheetId="78">'406'!$D$49</definedName>
    <definedName name="OSRRefD22_7x_0" localSheetId="79">'411'!$D$49</definedName>
    <definedName name="OSRRefD22_7x_0" localSheetId="80">'412'!$D$50</definedName>
    <definedName name="OSRRefD22_7x_0" localSheetId="82">'413'!$D$49:$D$51</definedName>
    <definedName name="OSRRefD22_7x_0" localSheetId="83">'414'!$D$50</definedName>
    <definedName name="OSRRefD22_7x_0" localSheetId="84">'415'!$D$51</definedName>
    <definedName name="OSRRefD22_7x_0" localSheetId="85">'418'!$D$51</definedName>
    <definedName name="OSRRefD22_7x_0" localSheetId="87">'424'!$D$44:$D$45</definedName>
    <definedName name="OSRRefD22_7x_0" localSheetId="88">'425'!$D$52</definedName>
    <definedName name="OSRRefD22_7x_0" localSheetId="90">'430'!$D$42</definedName>
    <definedName name="OSRRefD22_7x_0" localSheetId="91">'433'!$D$53</definedName>
    <definedName name="OSRRefD22_7x_0" localSheetId="92">'435'!$D$43:$D$46</definedName>
    <definedName name="OSRRefD22_7x_0" localSheetId="93">'444'!$D$52</definedName>
    <definedName name="OSRRefD22_7x_0" localSheetId="95">'450'!$D$52</definedName>
    <definedName name="OSRRefD22_7x_0" localSheetId="76">'491'!$D$63</definedName>
    <definedName name="OSRRefD22_7x_0" localSheetId="89">'492'!$D$56</definedName>
    <definedName name="OSRRefD22_7x_0" localSheetId="98">'501'!$D$48</definedName>
    <definedName name="OSRRefD22_7x_0" localSheetId="39">'Div 2'!$D$51</definedName>
    <definedName name="OSRRefD22_7x_0" localSheetId="47">'Div 3'!$D$199</definedName>
    <definedName name="OSRRefD22_7x_0" localSheetId="74">'Div 4'!$D$64</definedName>
    <definedName name="OSRRefD22_7x_0" localSheetId="97">'Div 5'!$D$48</definedName>
    <definedName name="OSRRefD22_7x_0" localSheetId="65">'Div 6'!$D$83</definedName>
    <definedName name="OSRRefD22_7x_0" localSheetId="2">Summary!$D$234</definedName>
    <definedName name="OSRRefD22_8x_0" localSheetId="41">'201'!$D$46</definedName>
    <definedName name="OSRRefD22_8x_0" localSheetId="42">'202'!$D$46</definedName>
    <definedName name="OSRRefD22_8x_0" localSheetId="43">'203'!$D$48</definedName>
    <definedName name="OSRRefD22_8x_0" localSheetId="44">'204'!$D$54:$D$55</definedName>
    <definedName name="OSRRefD22_8x_0" localSheetId="45">'205'!$D$45</definedName>
    <definedName name="OSRRefD22_8x_0" localSheetId="48">'300'!$D$196</definedName>
    <definedName name="OSRRefD22_8x_0" localSheetId="49">'300 &amp; 317'!$D$221</definedName>
    <definedName name="OSRRefD22_8x_0" localSheetId="50">'301'!$D$52</definedName>
    <definedName name="OSRRefD22_8x_0" localSheetId="51">'306'!$D$49:$D$53</definedName>
    <definedName name="OSRRefD22_8x_0" localSheetId="54">'307'!$D$101</definedName>
    <definedName name="OSRRefD22_8x_0" localSheetId="56">'308'!$D$94</definedName>
    <definedName name="OSRRefD22_8x_0" localSheetId="68">'309'!$D$51</definedName>
    <definedName name="OSRRefD22_8x_0" localSheetId="67">'310'!$D$61</definedName>
    <definedName name="OSRRefD22_8x_0" localSheetId="75">'310 &amp; 491'!$D$72</definedName>
    <definedName name="OSRRefD22_8x_0" localSheetId="57">'311'!$D$93</definedName>
    <definedName name="OSRRefD22_8x_0" localSheetId="69">'313'!$D$56</definedName>
    <definedName name="OSRRefD22_8x_0" localSheetId="55">'314'!$D$83</definedName>
    <definedName name="OSRRefD22_8x_0" localSheetId="60">'315'!$D$85:$D$86</definedName>
    <definedName name="OSRRefD22_8x_0" localSheetId="63">'316'!$D$58:$D$59</definedName>
    <definedName name="OSRRefD22_8x_0" localSheetId="66">'317'!$D$85</definedName>
    <definedName name="OSRRefD22_8x_0" localSheetId="64">'320'!$D$56</definedName>
    <definedName name="OSRRefD22_8x_0" localSheetId="70">'321'!$D$52:$D$54</definedName>
    <definedName name="OSRRefD22_8x_0" localSheetId="71">'322'!$D$51</definedName>
    <definedName name="OSRRefD22_8x_0" localSheetId="72">'325'!$D$53</definedName>
    <definedName name="OSRRefD22_8x_0" localSheetId="61">'326'!$D$87</definedName>
    <definedName name="OSRRefD22_8x_0" localSheetId="53">'330'!$D$109</definedName>
    <definedName name="OSRRefD22_8x_0" localSheetId="59">'331'!$D$103:$D$104</definedName>
    <definedName name="OSRRefD22_8x_0" localSheetId="62">'332'!$D$68</definedName>
    <definedName name="OSRRefD22_8x_0" localSheetId="77">'405'!$D$51</definedName>
    <definedName name="OSRRefD22_8x_0" localSheetId="78">'406'!$D$51</definedName>
    <definedName name="OSRRefD22_8x_0" localSheetId="79">'411'!$D$51</definedName>
    <definedName name="OSRRefD22_8x_0" localSheetId="80">'412'!$D$52</definedName>
    <definedName name="OSRRefD22_8x_0" localSheetId="82">'413'!$D$53:$D$54</definedName>
    <definedName name="OSRRefD22_8x_0" localSheetId="83">'414'!$D$52</definedName>
    <definedName name="OSRRefD22_8x_0" localSheetId="84">'415'!$D$53</definedName>
    <definedName name="OSRRefD22_8x_0" localSheetId="85">'418'!$D$53</definedName>
    <definedName name="OSRRefD22_8x_0" localSheetId="87">'424'!$D$47</definedName>
    <definedName name="OSRRefD22_8x_0" localSheetId="88">'425'!$D$54</definedName>
    <definedName name="OSRRefD22_8x_0" localSheetId="90">'430'!$D$44</definedName>
    <definedName name="OSRRefD22_8x_0" localSheetId="91">'433'!$D$55</definedName>
    <definedName name="OSRRefD22_8x_0" localSheetId="92">'435'!$D$48</definedName>
    <definedName name="OSRRefD22_8x_0" localSheetId="93">'444'!$D$54</definedName>
    <definedName name="OSRRefD22_8x_0" localSheetId="95">'450'!$D$54</definedName>
    <definedName name="OSRRefD22_8x_0" localSheetId="76">'491'!$D$65</definedName>
    <definedName name="OSRRefD22_8x_0" localSheetId="89">'492'!$D$58</definedName>
    <definedName name="OSRRefD22_8x_0" localSheetId="98">'501'!$D$50</definedName>
    <definedName name="OSRRefD22_8x_0" localSheetId="39">'Div 2'!$D$53</definedName>
    <definedName name="OSRRefD22_8x_0" localSheetId="47">'Div 3'!$D$201</definedName>
    <definedName name="OSRRefD22_8x_0" localSheetId="74">'Div 4'!$D$66</definedName>
    <definedName name="OSRRefD22_8x_0" localSheetId="97">'Div 5'!$D$50</definedName>
    <definedName name="OSRRefD22_8x_0" localSheetId="65">'Div 6'!$D$85</definedName>
    <definedName name="OSRRefD22_8x_0" localSheetId="2">Summary!$D$236</definedName>
    <definedName name="OSRRefD22_9x_0" localSheetId="41">'201'!$D$48</definedName>
    <definedName name="OSRRefD22_9x_0" localSheetId="42">'202'!$D$48</definedName>
    <definedName name="OSRRefD22_9x_0" localSheetId="43">'203'!$D$50:$D$52</definedName>
    <definedName name="OSRRefD22_9x_0" localSheetId="44">'204'!$D$57</definedName>
    <definedName name="OSRRefD22_9x_0" localSheetId="48">'300'!$D$198</definedName>
    <definedName name="OSRRefD22_9x_0" localSheetId="49">'300 &amp; 317'!$D$223</definedName>
    <definedName name="OSRRefD22_9x_0" localSheetId="50">'301'!$D$54</definedName>
    <definedName name="OSRRefD22_9x_0" localSheetId="51">'306'!$D$55</definedName>
    <definedName name="OSRRefD22_9x_0" localSheetId="54">'307'!$D$103:$D$104</definedName>
    <definedName name="OSRRefD22_9x_0" localSheetId="56">'308'!$D$96:$D$97</definedName>
    <definedName name="OSRRefD22_9x_0" localSheetId="68">'309'!$D$53:$D$54</definedName>
    <definedName name="OSRRefD22_9x_0" localSheetId="67">'310'!$D$63</definedName>
    <definedName name="OSRRefD22_9x_0" localSheetId="75">'310 &amp; 491'!$D$74</definedName>
    <definedName name="OSRRefD22_9x_0" localSheetId="57">'311'!$D$95:$D$96</definedName>
    <definedName name="OSRRefD22_9x_0" localSheetId="69">'313'!$D$58:$D$60</definedName>
    <definedName name="OSRRefD22_9x_0" localSheetId="55">'314'!$D$85</definedName>
    <definedName name="OSRRefD22_9x_0" localSheetId="60">'315'!$D$88:$D$89</definedName>
    <definedName name="OSRRefD22_9x_0" localSheetId="63">'316'!$D$61</definedName>
    <definedName name="OSRRefD22_9x_0" localSheetId="66">'317'!$D$87</definedName>
    <definedName name="OSRRefD22_9x_0" localSheetId="70">'321'!$D$56:$D$60</definedName>
    <definedName name="OSRRefD22_9x_0" localSheetId="71">'322'!$D$53:$D$54</definedName>
    <definedName name="OSRRefD22_9x_0" localSheetId="72">'325'!$D$55</definedName>
    <definedName name="OSRRefD22_9x_0" localSheetId="61">'326'!$D$89</definedName>
    <definedName name="OSRRefD22_9x_0" localSheetId="53">'330'!$D$111</definedName>
    <definedName name="OSRRefD22_9x_0" localSheetId="59">'331'!$D$106</definedName>
    <definedName name="OSRRefD22_9x_0" localSheetId="62">'332'!$D$70:$D$71</definedName>
    <definedName name="OSRRefD22_9x_0" localSheetId="77">'405'!$D$53</definedName>
    <definedName name="OSRRefD22_9x_0" localSheetId="78">'406'!$D$53:$D$55</definedName>
    <definedName name="OSRRefD22_9x_0" localSheetId="79">'411'!$D$53</definedName>
    <definedName name="OSRRefD22_9x_0" localSheetId="80">'412'!$D$54:$D$55</definedName>
    <definedName name="OSRRefD22_9x_0" localSheetId="82">'413'!$D$56:$D$60</definedName>
    <definedName name="OSRRefD22_9x_0" localSheetId="83">'414'!$D$54:$D$55</definedName>
    <definedName name="OSRRefD22_9x_0" localSheetId="84">'415'!$D$55</definedName>
    <definedName name="OSRRefD22_9x_0" localSheetId="85">'418'!$D$55:$D$56</definedName>
    <definedName name="OSRRefD22_9x_0" localSheetId="87">'424'!$D$49</definedName>
    <definedName name="OSRRefD22_9x_0" localSheetId="88">'425'!$D$56:$D$58</definedName>
    <definedName name="OSRRefD22_9x_0" localSheetId="90">'430'!$D$46</definedName>
    <definedName name="OSRRefD22_9x_0" localSheetId="91">'433'!$D$57</definedName>
    <definedName name="OSRRefD22_9x_0" localSheetId="93">'444'!$D$56</definedName>
    <definedName name="OSRRefD22_9x_0" localSheetId="95">'450'!$D$56</definedName>
    <definedName name="OSRRefD22_9x_0" localSheetId="76">'491'!$D$67</definedName>
    <definedName name="OSRRefD22_9x_0" localSheetId="89">'492'!$D$60</definedName>
    <definedName name="OSRRefD22_9x_0" localSheetId="98">'501'!$D$52</definedName>
    <definedName name="OSRRefD22_9x_0" localSheetId="39">'Div 2'!$D$55</definedName>
    <definedName name="OSRRefD22_9x_0" localSheetId="47">'Div 3'!$D$203</definedName>
    <definedName name="OSRRefD22_9x_0" localSheetId="74">'Div 4'!$D$68</definedName>
    <definedName name="OSRRefD22_9x_0" localSheetId="97">'Div 5'!$D$52</definedName>
    <definedName name="OSRRefD22_9x_0" localSheetId="65">'Div 6'!$D$87</definedName>
    <definedName name="OSRRefD22_9x_0" localSheetId="2">Summary!$D$238</definedName>
    <definedName name="OSRRefD22x_0" localSheetId="40">'200'!$D$20,'200'!$D$22,'200'!$D$24,'200'!$D$26,'200'!$D$28:$D$29</definedName>
    <definedName name="OSRRefD22x_0" localSheetId="41">'201'!$D$20:$D$28,'201'!$D$30:$D$32,'201'!$D$34,'201'!$D$36,'201'!$D$38,'201'!$D$40,'201'!$D$42,'201'!$D$44,'201'!$D$46,'201'!$D$48,'201'!$D$50:$D$52,'201'!$D$54:$D$56,'201'!$D$58,'201'!$D$60:$D$62,'201'!$D$64,'201'!$D$66,'201'!$D$68:$D$69</definedName>
    <definedName name="OSRRefD22x_0" localSheetId="42">'202'!$D$20:$D$27,'202'!$D$29:$D$32,'202'!$D$34,'202'!$D$36,'202'!$D$38,'202'!$D$40,'202'!$D$42,'202'!$D$44,'202'!$D$46,'202'!$D$48,'202'!$D$50:$D$52,'202'!$D$54,'202'!$D$56,'202'!$D$58:$D$60,'202'!$D$62,'202'!$D$64</definedName>
    <definedName name="OSRRefD22x_0" localSheetId="43">'203'!$D$20:$D$29,'203'!$D$31:$D$34,'203'!$D$36,'203'!$D$38,'203'!$D$40,'203'!$D$42,'203'!$D$44,'203'!$D$46,'203'!$D$48,'203'!$D$50:$D$52,'203'!$D$54:$D$55,'203'!$D$57,'203'!$D$59:$D$61,'203'!$D$63,'203'!$D$65,'203'!$D$67</definedName>
    <definedName name="OSRRefD22x_0" localSheetId="44">'204'!$D$20:$D$29,'204'!$D$31:$D$35,'204'!$D$37,'204'!$D$39:$D$40,'204'!$D$42,'204'!$D$44,'204'!$D$46:$D$49,'204'!$D$51:$D$52,'204'!$D$54:$D$55,'204'!$D$57,'204'!$D$59:$D$60</definedName>
    <definedName name="OSRRefD22x_0" localSheetId="45">'205'!$D$20:$D$27,'205'!$D$29,'205'!$D$31,'205'!$D$33,'205'!$D$35:$D$36,'205'!$D$38,'205'!$D$40:$D$41,'205'!$D$43,'205'!$D$45</definedName>
    <definedName name="OSRRefD22x_0" localSheetId="46">'206'!$D$20:$D$27,'206'!$D$29:$D$34,'206'!$D$36,'206'!$D$38,'206'!$D$40,'206'!$D$42:$D$43,'206'!$D$45,'206'!$D$47</definedName>
    <definedName name="OSRRefD22x_0" localSheetId="48">'300'!$D$163:$D$171,'300'!$D$173:$D$179,'300'!$D$181,'300'!$D$183:$D$184,'300'!$D$186,'300'!$D$188:$D$189,'300'!$D$191:$D$192,'300'!$D$194,'300'!$D$196,'300'!$D$198,'300'!$D$200:$D$201,'300'!$D$203,'300'!$D$205,'300'!$D$207,'300'!$D$209,'300'!$D$211,'300'!$D$213:$D$215,'300'!$D$217:$D$219,'300'!$D$221:$D$224,'300'!$D$226:$D$227,'300'!$D$229:$D$235,'300'!$D$237:$D$238,'300'!$D$240,'300'!$D$242:$D$244,'300'!$D$246</definedName>
    <definedName name="OSRRefD22x_0" localSheetId="49">'300 &amp; 317'!$D$188:$D$196,'300 &amp; 317'!$D$198:$D$204,'300 &amp; 317'!$D$206,'300 &amp; 317'!$D$208:$D$209,'300 &amp; 317'!$D$211,'300 &amp; 317'!$D$213:$D$214,'300 &amp; 317'!$D$216:$D$217,'300 &amp; 317'!$D$219,'300 &amp; 317'!$D$221,'300 &amp; 317'!$D$223,'300 &amp; 317'!$D$225:$D$226,'300 &amp; 317'!$D$228,'300 &amp; 317'!$D$230,'300 &amp; 317'!$D$232,'300 &amp; 317'!$D$234,'300 &amp; 317'!$D$236,'300 &amp; 317'!$D$238:$D$240,'300 &amp; 317'!$D$242:$D$244,'300 &amp; 317'!$D$246:$D$249,'300 &amp; 317'!$D$251:$D$252,'300 &amp; 317'!$D$254:$D$260,'300 &amp; 317'!$D$262:$D$263,'300 &amp; 317'!$D$265,'300 &amp; 317'!$D$267:$D$269,'300 &amp; 317'!$D$271</definedName>
    <definedName name="OSRRefD22x_0" localSheetId="50">'301'!$D$20:$D$27,'301'!$D$29:$D$35,'301'!$D$37,'301'!$D$39:$D$40,'301'!$D$42,'301'!$D$44:$D$45,'301'!$D$47:$D$48,'301'!$D$50,'301'!$D$52,'301'!$D$54,'301'!$D$56,'301'!$D$58,'301'!$D$60,'301'!$D$62,'301'!$D$64:$D$66,'301'!$D$68:$D$70,'301'!$D$72,'301'!$D$74:$D$78,'301'!$D$80,'301'!$D$82,'301'!$D$84:$D$86,'301'!$D$88</definedName>
    <definedName name="OSRRefD22x_0" localSheetId="51">'306'!$D$20:$D$28,'306'!$D$30:$D$34,'306'!$D$36,'306'!$D$38,'306'!$D$40,'306'!$D$42,'306'!$D$44,'306'!$D$46:$D$47,'306'!$D$49:$D$53,'306'!$D$55,'306'!$D$57</definedName>
    <definedName name="OSRRefD22x_0" localSheetId="54">'307'!$D$74:$D$81,'307'!$D$83:$D$86,'307'!$D$88,'307'!$D$90,'307'!$D$92:$D$93,'307'!$D$95,'307'!$D$97,'307'!$D$99,'307'!$D$101,'307'!$D$103:$D$104,'307'!$D$106:$D$107,'307'!$D$109:$D$110,'307'!$D$112,'307'!$D$114</definedName>
    <definedName name="OSRRefD22x_0" localSheetId="56">'308'!$D$64:$D$72,'308'!$D$74:$D$78,'308'!$D$80,'308'!$D$82:$D$83,'308'!$D$85,'308'!$D$87,'308'!$D$89:$D$90,'308'!$D$92,'308'!$D$94,'308'!$D$96:$D$97,'308'!$D$99,'308'!$D$101:$D$104,'308'!$D$106:$D$107,'308'!$D$109,'308'!$D$111</definedName>
    <definedName name="OSRRefD22x_0" localSheetId="68">'309'!$D$24:$D$31,'309'!$D$33:$D$37,'309'!$D$39,'309'!$D$41,'309'!$D$43,'309'!$D$45,'309'!$D$47,'309'!$D$49,'309'!$D$51,'309'!$D$53:$D$54,'309'!$D$56:$D$58,'309'!$D$60,'309'!$D$62:$D$67,'309'!$D$69</definedName>
    <definedName name="OSRRefD22x_0" localSheetId="67">'310'!$D$32:$D$39,'310'!$D$41:$D$46,'310'!$D$48,'310'!$D$50,'310'!$D$52,'310'!$D$54:$D$55,'310'!$D$57,'310'!$D$59,'310'!$D$61,'310'!$D$63,'310'!$D$65,'310'!$D$67,'310'!$D$69,'310'!$D$71,'310'!$D$73:$D$75,'310'!$D$77,'310'!$D$79:$D$82,'310'!$D$84:$D$85,'310'!$D$87:$D$93,'310'!$D$95,'310'!$D$97,'310'!$D$99</definedName>
    <definedName name="OSRRefD22x_0" localSheetId="75">'310 &amp; 491'!$D$40:$D$48,'310 &amp; 491'!$D$50:$D$56,'310 &amp; 491'!$D$58,'310 &amp; 491'!$D$60,'310 &amp; 491'!$D$62,'310 &amp; 491'!$D$64:$D$66,'310 &amp; 491'!$D$68,'310 &amp; 491'!$D$70,'310 &amp; 491'!$D$72,'310 &amp; 491'!$D$74,'310 &amp; 491'!$D$76:$D$77,'310 &amp; 491'!$D$79:$D$80,'310 &amp; 491'!$D$82,'310 &amp; 491'!$D$84,'310 &amp; 491'!$D$86,'310 &amp; 491'!$D$88,'310 &amp; 491'!$D$90:$D$92,'310 &amp; 491'!$D$94:$D$95,'310 &amp; 491'!$D$97:$D$101,'310 &amp; 491'!$D$103:$D$104,'310 &amp; 491'!$D$106:$D$113,'310 &amp; 491'!$D$115,'310 &amp; 491'!$D$117,'310 &amp; 491'!$D$119:$D$121,'310 &amp; 491'!$D$123</definedName>
    <definedName name="OSRRefD22x_0" localSheetId="57">'311'!$D$63:$D$71,'311'!$D$73:$D$77,'311'!$D$79,'311'!$D$81:$D$82,'311'!$D$84,'311'!$D$86,'311'!$D$88:$D$89,'311'!$D$91,'311'!$D$93,'311'!$D$95:$D$96,'311'!$D$98,'311'!$D$100:$D$103,'311'!$D$105:$D$106,'311'!$D$108,'311'!$D$110</definedName>
    <definedName name="OSRRefD22x_0" localSheetId="69">'313'!$D$29:$D$36,'313'!$D$38:$D$42,'313'!$D$44,'313'!$D$46,'313'!$D$48,'313'!$D$50,'313'!$D$52,'313'!$D$54,'313'!$D$56,'313'!$D$58:$D$60,'313'!$D$62,'313'!$D$64:$D$65,'313'!$D$67:$D$72,'313'!$D$74,'313'!$D$76</definedName>
    <definedName name="OSRRefD22x_0" localSheetId="55">'314'!$D$56:$D$62,'314'!$D$64:$D$67,'314'!$D$69,'314'!$D$71:$D$72,'314'!$D$74,'314'!$D$76,'314'!$D$78,'314'!$D$80:$D$81,'314'!$D$83,'314'!$D$85</definedName>
    <definedName name="OSRRefD22x_0" localSheetId="60">'315'!$D$55:$D$62,'315'!$D$64:$D$69,'315'!$D$71,'315'!$D$73:$D$74,'315'!$D$76,'315'!$D$78:$D$79,'315'!$D$81,'315'!$D$83,'315'!$D$85:$D$86,'315'!$D$88:$D$89,'315'!$D$91:$D$92,'315'!$D$94:$D$98,'315'!$D$100,'315'!$D$102,'315'!$D$104:$D$105</definedName>
    <definedName name="OSRRefD22x_0" localSheetId="63">'316'!$D$32:$D$39,'316'!$D$41:$D$44,'316'!$D$46,'316'!$D$48,'316'!$D$50,'316'!$D$52,'316'!$D$54,'316'!$D$56,'316'!$D$58:$D$59,'316'!$D$61,'316'!$D$63:$D$67,'316'!$D$69,'316'!$D$71</definedName>
    <definedName name="OSRRefD22x_0" localSheetId="66">'317'!$D$58:$D$66,'317'!$D$68:$D$71,'317'!$D$73,'317'!$D$75,'317'!$D$77,'317'!$D$79,'317'!$D$81,'317'!$D$83,'317'!$D$85,'317'!$D$87,'317'!$D$89,'317'!$D$91:$D$92,'317'!$D$94,'317'!$D$96,'317'!$D$98</definedName>
    <definedName name="OSRRefD22x_0" localSheetId="64">'320'!$D$29:$D$36,'320'!$D$38:$D$40,'320'!$D$42,'320'!$D$44,'320'!$D$46:$D$47,'320'!$D$49,'320'!$D$51,'320'!$D$53:$D$54,'320'!$D$56</definedName>
    <definedName name="OSRRefD22x_0" localSheetId="70">'321'!$D$24:$D$30,'321'!$D$32:$D$36,'321'!$D$38,'321'!$D$40,'321'!$D$42,'321'!$D$44,'321'!$D$46:$D$48,'321'!$D$50,'321'!$D$52:$D$54,'321'!$D$56:$D$60,'321'!$D$62,'321'!$D$64,'321'!$D$66</definedName>
    <definedName name="OSRRefD22x_0" localSheetId="71">'322'!$D$24:$D$31,'322'!$D$33:$D$37,'322'!$D$39,'322'!$D$41,'322'!$D$43,'322'!$D$45,'322'!$D$47,'322'!$D$49,'322'!$D$51,'322'!$D$53:$D$54,'322'!$D$56:$D$58,'322'!$D$60,'322'!$D$62:$D$67,'322'!$D$69,'322'!$D$71</definedName>
    <definedName name="OSRRefD22x_0" localSheetId="58">'324'!$D$25</definedName>
    <definedName name="OSRRefD22x_0" localSheetId="72">'325'!$D$24:$D$31,'325'!$D$33:$D$38,'325'!$D$40,'325'!$D$42,'325'!$D$44,'325'!$D$46:$D$47,'325'!$D$49,'325'!$D$51,'325'!$D$53,'325'!$D$55,'325'!$D$57,'325'!$D$59:$D$61,'325'!$D$63:$D$66,'325'!$D$68,'325'!$D$70:$D$75,'325'!$D$77,'325'!$D$79,'325'!$D$81</definedName>
    <definedName name="OSRRefD22x_0" localSheetId="61">'326'!$D$61:$D$68,'326'!$D$70:$D$73,'326'!$D$75,'326'!$D$77,'326'!$D$79,'326'!$D$81,'326'!$D$83,'326'!$D$85,'326'!$D$87,'326'!$D$89,'326'!$D$91,'326'!$D$93,'326'!$D$95,'326'!$D$97:$D$98,'326'!$D$100:$D$102,'326'!$D$104,'326'!$D$106:$D$110,'326'!$D$112,'326'!$D$114,'326'!$D$116</definedName>
    <definedName name="OSRRefD22x_0" localSheetId="73">'327'!$D$22,'327'!$D$24,'327'!$D$26</definedName>
    <definedName name="OSRRefD22x_0" localSheetId="53">'330'!$D$81:$D$88,'330'!$D$90:$D$94,'330'!$D$96,'330'!$D$98,'330'!$D$100:$D$101,'330'!$D$103,'330'!$D$105,'330'!$D$107,'330'!$D$109,'330'!$D$111,'330'!$D$113,'330'!$D$115:$D$116,'330'!$D$118:$D$119,'330'!$D$121,'330'!$D$123:$D$125,'330'!$D$127,'330'!$D$129,'330'!$D$131</definedName>
    <definedName name="OSRRefD22x_0" localSheetId="59">'331'!$D$74:$D$81,'331'!$D$83:$D$88,'331'!$D$90,'331'!$D$92,'331'!$D$94,'331'!$D$96:$D$97,'331'!$D$99,'331'!$D$101,'331'!$D$103:$D$104,'331'!$D$106,'331'!$D$108,'331'!$D$110,'331'!$D$112,'331'!$D$114,'331'!$D$116:$D$118,'331'!$D$120:$D$121,'331'!$D$123:$D$125,'331'!$D$127:$D$128,'331'!$D$130:$D$135,'331'!$D$137,'331'!$D$139,'331'!$D$141:$D$142,'331'!$D$144</definedName>
    <definedName name="OSRRefD22x_0" localSheetId="62">'332'!$D$41:$D$48,'332'!$D$50:$D$53,'332'!$D$55,'332'!$D$57,'332'!$D$59,'332'!$D$61,'332'!$D$63:$D$64,'332'!$D$66,'332'!$D$68,'332'!$D$70:$D$71,'332'!$D$73,'332'!$D$75:$D$79,'332'!$D$81,'332'!$D$83</definedName>
    <definedName name="OSRRefD22x_0" localSheetId="52">'335'!$D$20</definedName>
    <definedName name="OSRRefD22x_0" localSheetId="77">'405'!$D$24:$D$31,'405'!$D$33:$D$36,'405'!$D$38,'405'!$D$40,'405'!$D$42,'405'!$D$44:$D$45,'405'!$D$47,'405'!$D$49,'405'!$D$51,'405'!$D$53,'405'!$D$55:$D$56,'405'!$D$58,'405'!$D$60:$D$62,'405'!$D$64:$D$65,'405'!$D$67:$D$73,'405'!$D$75,'405'!$D$77,'405'!$D$79</definedName>
    <definedName name="OSRRefD22x_0" localSheetId="78">'406'!$D$24:$D$31,'406'!$D$33:$D$37,'406'!$D$39,'406'!$D$41,'406'!$D$43,'406'!$D$45,'406'!$D$47,'406'!$D$49,'406'!$D$51,'406'!$D$53:$D$55,'406'!$D$57:$D$58,'406'!$D$60:$D$65,'406'!$D$67,'406'!$D$69</definedName>
    <definedName name="OSRRefD22x_0" localSheetId="79">'411'!$D$20:$D$28,'411'!$D$30:$D$35,'411'!$D$37,'411'!$D$39:$D$41,'411'!$D$43,'411'!$D$45,'411'!$D$47,'411'!$D$49,'411'!$D$51,'411'!$D$53,'411'!$D$55,'411'!$D$57:$D$59,'411'!$D$61:$D$65,'411'!$D$67,'411'!$D$69:$D$75,'411'!$D$77,'411'!$D$79,'411'!$D$81:$D$83,'411'!$D$85</definedName>
    <definedName name="OSRRefD22x_0" localSheetId="80">'412'!$D$24:$D$31,'412'!$D$33:$D$38,'412'!$D$40,'412'!$D$42,'412'!$D$44,'412'!$D$46,'412'!$D$48,'412'!$D$50,'412'!$D$52,'412'!$D$54:$D$55,'412'!$D$57,'412'!$D$59:$D$61,'412'!$D$63:$D$69,'412'!$D$71,'412'!$D$73</definedName>
    <definedName name="OSRRefD22x_0" localSheetId="82">'413'!$D$24:$D$31,'413'!$D$33:$D$37,'413'!$D$39,'413'!$D$41,'413'!$D$43,'413'!$D$45,'413'!$D$47,'413'!$D$49:$D$51,'413'!$D$53:$D$54,'413'!$D$56:$D$60,'413'!$D$62</definedName>
    <definedName name="OSRRefD22x_0" localSheetId="83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4">'415'!$D$24:$D$31,'415'!$D$33:$D$38,'415'!$D$40,'415'!$D$42,'415'!$D$44,'415'!$D$46:$D$47,'415'!$D$49,'415'!$D$51,'415'!$D$53,'415'!$D$55,'415'!$D$57,'415'!$D$59:$D$61,'415'!$D$63:$D$67,'415'!$D$69:$D$70,'415'!$D$72:$D$78,'415'!$D$80,'415'!$D$82,'415'!$D$84</definedName>
    <definedName name="OSRRefD22x_0" localSheetId="85">'418'!$D$24:$D$31,'418'!$D$33:$D$38,'418'!$D$40,'418'!$D$42,'418'!$D$44,'418'!$D$46:$D$47,'418'!$D$49,'418'!$D$51,'418'!$D$53,'418'!$D$55:$D$56,'418'!$D$58:$D$60,'418'!$D$62:$D$64,'418'!$D$66:$D$67,'418'!$D$69:$D$75,'418'!$D$77,'418'!$D$79</definedName>
    <definedName name="OSRRefD22x_0" localSheetId="81">'420'!$D$23:$D$29,'420'!$D$31:$D$34,'420'!$D$36,'420'!$D$38,'420'!$D$40:$D$41,'420'!$D$43</definedName>
    <definedName name="OSRRefD22x_0" localSheetId="86">'423'!$D$21:$D$28,'423'!$D$30,'423'!$D$32,'423'!$D$34,'423'!$D$36,'423'!$D$38</definedName>
    <definedName name="OSRRefD22x_0" localSheetId="87">'424'!$D$24:$D$26,'424'!$D$28:$D$32,'424'!$D$34,'424'!$D$36,'424'!$D$38,'424'!$D$40,'424'!$D$42,'424'!$D$44:$D$45,'424'!$D$47,'424'!$D$49,'424'!$D$51:$D$55,'424'!$D$57</definedName>
    <definedName name="OSRRefD22x_0" localSheetId="88">'425'!$D$27:$D$34,'425'!$D$36:$D$40,'425'!$D$42,'425'!$D$44,'425'!$D$46,'425'!$D$48,'425'!$D$50,'425'!$D$52,'425'!$D$54,'425'!$D$56:$D$58,'425'!$D$60,'425'!$D$62:$D$63,'425'!$D$65:$D$71,'425'!$D$73,'425'!$D$75,'425'!$D$77</definedName>
    <definedName name="OSRRefD22x_0" localSheetId="90">'430'!$D$20:$D$27,'430'!$D$29,'430'!$D$31,'430'!$D$33,'430'!$D$35,'430'!$D$37,'430'!$D$39:$D$40,'430'!$D$42,'430'!$D$44,'430'!$D$46</definedName>
    <definedName name="OSRRefD22x_0" localSheetId="91">'433'!$D$26:$D$34,'433'!$D$36:$D$41,'433'!$D$43,'433'!$D$45,'433'!$D$47,'433'!$D$49,'433'!$D$51,'433'!$D$53,'433'!$D$55,'433'!$D$57,'433'!$D$59:$D$61,'433'!$D$63:$D$65,'433'!$D$67:$D$73,'433'!$D$75,'433'!$D$77,'433'!$D$79:$D$80</definedName>
    <definedName name="OSRRefD22x_0" localSheetId="92">'435'!$D$25:$D$27,'435'!$D$29:$D$31,'435'!$D$33,'435'!$D$35,'435'!$D$37,'435'!$D$39,'435'!$D$41,'435'!$D$43:$D$46,'435'!$D$48</definedName>
    <definedName name="OSRRefD22x_0" localSheetId="93">'444'!$D$25:$D$33,'444'!$D$35:$D$40,'444'!$D$42,'444'!$D$44,'444'!$D$46,'444'!$D$48,'444'!$D$50,'444'!$D$52,'444'!$D$54,'444'!$D$56,'444'!$D$58,'444'!$D$60:$D$62,'444'!$D$64:$D$66,'444'!$D$68:$D$75,'444'!$D$77,'444'!$D$79,'444'!$D$81</definedName>
    <definedName name="OSRRefD22x_0" localSheetId="94">'445'!$D$20</definedName>
    <definedName name="OSRRefD22x_0" localSheetId="95">'450'!$D$25:$D$33,'450'!$D$35:$D$40,'450'!$D$42,'450'!$D$44,'450'!$D$46,'450'!$D$48,'450'!$D$50,'450'!$D$52,'450'!$D$54,'450'!$D$56,'450'!$D$58,'450'!$D$60:$D$62,'450'!$D$64:$D$66,'450'!$D$68:$D$74,'450'!$D$76,'450'!$D$78,'450'!$D$80:$D$81</definedName>
    <definedName name="OSRRefD22x_0" localSheetId="96">'455'!$D$20:$D$26,'455'!$D$28:$D$29,'455'!$D$31</definedName>
    <definedName name="OSRRefD22x_0" localSheetId="76">'491'!$D$33:$D$41,'491'!$D$43:$D$49,'491'!$D$51,'491'!$D$53,'491'!$D$55,'491'!$D$57:$D$59,'491'!$D$61,'491'!$D$63,'491'!$D$65,'491'!$D$67,'491'!$D$69:$D$70,'491'!$D$72,'491'!$D$74,'491'!$D$76,'491'!$D$78,'491'!$D$80:$D$82,'491'!$D$84:$D$85,'491'!$D$87:$D$91,'491'!$D$93:$D$94,'491'!$D$96:$D$103,'491'!$D$105,'491'!$D$107,'491'!$D$109:$D$111,'491'!$D$113</definedName>
    <definedName name="OSRRefD22x_0" localSheetId="89">'492'!$D$28:$D$36,'492'!$D$38:$D$44,'492'!$D$46,'492'!$D$48,'492'!$D$50,'492'!$D$52,'492'!$D$54,'492'!$D$56,'492'!$D$58,'492'!$D$60,'492'!$D$62,'492'!$D$64,'492'!$D$66:$D$68,'492'!$D$70:$D$72,'492'!$D$74:$D$81,'492'!$D$83,'492'!$D$85,'492'!$D$87:$D$88</definedName>
    <definedName name="OSRRefD22x_0" localSheetId="98">'501'!$D$21:$D$28,'501'!$D$30:$D$35,'501'!$D$37,'501'!$D$39,'501'!$D$41,'501'!$D$43:$D$44,'501'!$D$46,'501'!$D$48,'501'!$D$50,'501'!$D$52,'501'!$D$54:$D$55,'501'!$D$57:$D$60,'501'!$D$62,'501'!$D$64</definedName>
    <definedName name="OSRRefD22x_0" localSheetId="39">'Div 2'!$D$20:$D$30,'Div 2'!$D$32:$D$38,'Div 2'!$D$40,'Div 2'!$D$42,'Div 2'!$D$44,'Div 2'!$D$46:$D$47,'Div 2'!$D$49,'Div 2'!$D$51,'Div 2'!$D$53,'Div 2'!$D$55,'Div 2'!$D$57,'Div 2'!$D$59,'Div 2'!$D$61:$D$64,'Div 2'!$D$66:$D$69,'Div 2'!$D$71:$D$72,'Div 2'!$D$74,'Div 2'!$D$76:$D$79,'Div 2'!$D$81:$D$82,'Div 2'!$D$84,'Div 2'!$D$86:$D$87</definedName>
    <definedName name="OSRRefD22x_0" localSheetId="47">'Div 3'!$D$168:$D$176,'Div 3'!$D$178:$D$184,'Div 3'!$D$186,'Div 3'!$D$188:$D$189,'Div 3'!$D$191,'Div 3'!$D$193:$D$194,'Div 3'!$D$196:$D$197,'Div 3'!$D$199,'Div 3'!$D$201,'Div 3'!$D$203,'Div 3'!$D$205:$D$206,'Div 3'!$D$208,'Div 3'!$D$210,'Div 3'!$D$212,'Div 3'!$D$214,'Div 3'!$D$216,'Div 3'!$D$218,'Div 3'!$D$220:$D$222,'Div 3'!$D$224:$D$226,'Div 3'!$D$228:$D$232,'Div 3'!$D$234:$D$235,'Div 3'!$D$237:$D$243,'Div 3'!$D$245:$D$246,'Div 3'!$D$248,'Div 3'!$D$250:$D$252,'Div 3'!$D$254</definedName>
    <definedName name="OSRRefD22x_0" localSheetId="74">'Div 4'!$D$34:$D$42,'Div 4'!$D$44:$D$50,'Div 4'!$D$52,'Div 4'!$D$54,'Div 4'!$D$56,'Div 4'!$D$58:$D$60,'Div 4'!$D$62,'Div 4'!$D$64,'Div 4'!$D$66,'Div 4'!$D$68,'Div 4'!$D$70:$D$71,'Div 4'!$D$73,'Div 4'!$D$75,'Div 4'!$D$77,'Div 4'!$D$79,'Div 4'!$D$81,'Div 4'!$D$83:$D$85,'Div 4'!$D$87:$D$88,'Div 4'!$D$90:$D$94,'Div 4'!$D$96:$D$97,'Div 4'!$D$99:$D$106,'Div 4'!$D$108,'Div 4'!$D$110,'Div 4'!$D$112:$D$114,'Div 4'!$D$116</definedName>
    <definedName name="OSRRefD22x_0" localSheetId="97">'Div 5'!$D$21:$D$28,'Div 5'!$D$30:$D$35,'Div 5'!$D$37,'Div 5'!$D$39,'Div 5'!$D$41,'Div 5'!$D$43:$D$44,'Div 5'!$D$46,'Div 5'!$D$48,'Div 5'!$D$50,'Div 5'!$D$52,'Div 5'!$D$54:$D$55,'Div 5'!$D$57:$D$60,'Div 5'!$D$62,'Div 5'!$D$64</definedName>
    <definedName name="OSRRefD22x_0" localSheetId="65">'Div 6'!$D$58:$D$66,'Div 6'!$D$68:$D$71,'Div 6'!$D$73,'Div 6'!$D$75,'Div 6'!$D$77,'Div 6'!$D$79,'Div 6'!$D$81,'Div 6'!$D$83,'Div 6'!$D$85,'Div 6'!$D$87,'Div 6'!$D$89,'Div 6'!$D$91:$D$92,'Div 6'!$D$94,'Div 6'!$D$96,'Div 6'!$D$98</definedName>
    <definedName name="OSRRefD22x_0" localSheetId="2">Summary!$D$202:$D$210,Summary!$D$212:$D$218,Summary!$D$220,Summary!$D$222:$D$223,Summary!$D$225,Summary!$D$227:$D$229,Summary!$D$231:$D$232,Summary!$D$234,Summary!$D$236,Summary!$D$238,Summary!$D$240:$D$241,Summary!$D$243:$D$244,Summary!$D$246,Summary!$D$248,Summary!$D$250,Summary!$D$252,Summary!$D$254,Summary!$D$256,Summary!$D$258:$D$260,Summary!$D$262:$D$264,Summary!$D$266:$D$270,Summary!$D$272:$D$273,Summary!$D$275:$D$282,Summary!$D$284:$D$285,Summary!$D$287,Summary!$D$289:$D$291,Summary!$D$293</definedName>
    <definedName name="OSRRefD25x_0" localSheetId="48">'300'!$D$249:$D$257</definedName>
    <definedName name="OSRRefD25x_0" localSheetId="49">'300 &amp; 317'!$D$274:$D$285</definedName>
    <definedName name="OSRRefD25x_0" localSheetId="50">'301'!$D$91:$D$93</definedName>
    <definedName name="OSRRefD25x_0" localSheetId="54">'307'!$D$117</definedName>
    <definedName name="OSRRefD25x_0" localSheetId="56">'308'!$D$114:$D$116</definedName>
    <definedName name="OSRRefD25x_0" localSheetId="75">'310 &amp; 491'!$D$126:$D$128</definedName>
    <definedName name="OSRRefD25x_0" localSheetId="57">'311'!$D$113:$D$115</definedName>
    <definedName name="OSRRefD25x_0" localSheetId="60">'315'!$D$108</definedName>
    <definedName name="OSRRefD25x_0" localSheetId="63">'316'!$D$74</definedName>
    <definedName name="OSRRefD25x_0" localSheetId="66">'317'!$D$101:$D$104</definedName>
    <definedName name="OSRRefD25x_0" localSheetId="64">'320'!$D$59:$D$63</definedName>
    <definedName name="OSRRefD25x_0" localSheetId="53">'330'!$D$134</definedName>
    <definedName name="OSRRefD25x_0" localSheetId="59">'331'!$D$147</definedName>
    <definedName name="OSRRefD25x_0" localSheetId="62">'332'!$D$86:$D$91</definedName>
    <definedName name="OSRRefD25x_0" localSheetId="79">'411'!$D$88:$D$89</definedName>
    <definedName name="OSRRefD25x_0" localSheetId="82">'413'!$D$65</definedName>
    <definedName name="OSRRefD25x_0" localSheetId="84">'415'!$D$87</definedName>
    <definedName name="OSRRefD25x_0" localSheetId="85">'418'!$D$82</definedName>
    <definedName name="OSRRefD25x_0" localSheetId="86">'423'!$D$41</definedName>
    <definedName name="OSRRefD25x_0" localSheetId="87">'424'!$D$60</definedName>
    <definedName name="OSRRefD25x_0" localSheetId="88">'425'!$D$80</definedName>
    <definedName name="OSRRefD25x_0" localSheetId="96">'455'!$D$34:$D$35</definedName>
    <definedName name="OSRRefD25x_0" localSheetId="76">'491'!$D$116:$D$118</definedName>
    <definedName name="OSRRefD25x_0" localSheetId="98">'501'!$D$67:$D$68</definedName>
    <definedName name="OSRRefD25x_0" localSheetId="47">'Div 3'!$D$257:$D$265</definedName>
    <definedName name="OSRRefD25x_0" localSheetId="74">'Div 4'!$D$119:$D$121</definedName>
    <definedName name="OSRRefD25x_0" localSheetId="97">'Div 5'!$D$67:$D$68</definedName>
    <definedName name="OSRRefD25x_0" localSheetId="65">'Div 6'!$D$101:$D$104</definedName>
    <definedName name="OSRRefD25x_0" localSheetId="2">Summary!$D$296:$D$308</definedName>
    <definedName name="OSRRefH13x_0" localSheetId="48">'300'!$H$13:$H$105</definedName>
    <definedName name="OSRRefH13x_0" localSheetId="49">'300 &amp; 317'!$H$13:$H$123</definedName>
    <definedName name="OSRRefH13x_0" localSheetId="54">'307'!$H$13:$H$46</definedName>
    <definedName name="OSRRefH13x_0" localSheetId="56">'308'!$H$13:$H$40</definedName>
    <definedName name="OSRRefH13x_0" localSheetId="68">'309'!$H$13:$H$14</definedName>
    <definedName name="OSRRefH13x_0" localSheetId="67">'310'!$H$13:$H$22</definedName>
    <definedName name="OSRRefH13x_0" localSheetId="75">'310 &amp; 491'!$H$13:$H$30</definedName>
    <definedName name="OSRRefH13x_0" localSheetId="57">'311'!$H$13:$H$39</definedName>
    <definedName name="OSRRefH13x_0" localSheetId="69">'313'!$H$13:$H$19</definedName>
    <definedName name="OSRRefH13x_0" localSheetId="55">'314'!$H$13:$H$33</definedName>
    <definedName name="OSRRefH13x_0" localSheetId="60">'315'!$H$13:$H$32</definedName>
    <definedName name="OSRRefH13x_0" localSheetId="63">'316'!$H$13:$H$24</definedName>
    <definedName name="OSRRefH13x_0" localSheetId="66">'317'!$H$13:$H$36</definedName>
    <definedName name="OSRRefH13x_0" localSheetId="64">'320'!$H$13:$H$16</definedName>
    <definedName name="OSRRefH13x_0" localSheetId="70">'321'!$H$13:$H$14</definedName>
    <definedName name="OSRRefH13x_0" localSheetId="71">'322'!$H$13:$H$14</definedName>
    <definedName name="OSRRefH13x_0" localSheetId="58">'324'!$H$13:$H$15</definedName>
    <definedName name="OSRRefH13x_0" localSheetId="72">'325'!$H$13:$H$14</definedName>
    <definedName name="OSRRefH13x_0" localSheetId="61">'326'!$H$13:$H$35</definedName>
    <definedName name="OSRRefH13x_0" localSheetId="73">'327'!$H$13</definedName>
    <definedName name="OSRRefH13x_0" localSheetId="53">'330'!$H$13:$H$50</definedName>
    <definedName name="OSRRefH13x_0" localSheetId="59">'331'!$H$13:$H$43</definedName>
    <definedName name="OSRRefH13x_0" localSheetId="62">'332'!$H$13:$H$28</definedName>
    <definedName name="OSRRefH13x_0" localSheetId="77">'405'!$H$13:$H$14</definedName>
    <definedName name="OSRRefH13x_0" localSheetId="78">'406'!$H$13:$H$14</definedName>
    <definedName name="OSRRefH13x_0" localSheetId="80">'412'!$H$13:$H$15</definedName>
    <definedName name="OSRRefH13x_0" localSheetId="82">'413'!$H$13:$H$14</definedName>
    <definedName name="OSRRefH13x_0" localSheetId="83">'414'!$H$13:$H$14</definedName>
    <definedName name="OSRRefH13x_0" localSheetId="84">'415'!$H$13:$H$14</definedName>
    <definedName name="OSRRefH13x_0" localSheetId="85">'418'!$H$13:$H$14</definedName>
    <definedName name="OSRRefH13x_0" localSheetId="81">'420'!$H$13:$H$14</definedName>
    <definedName name="OSRRefH13x_0" localSheetId="87">'424'!$H$13:$H$14</definedName>
    <definedName name="OSRRefH13x_0" localSheetId="88">'425'!$H$13:$H$17</definedName>
    <definedName name="OSRRefH13x_0" localSheetId="91">'433'!$H$13:$H$16</definedName>
    <definedName name="OSRRefH13x_0" localSheetId="92">'435'!$H$13:$H$15</definedName>
    <definedName name="OSRRefH13x_0" localSheetId="93">'444'!$H$13:$H$15</definedName>
    <definedName name="OSRRefH13x_0" localSheetId="95">'450'!$H$13:$H$15</definedName>
    <definedName name="OSRRefH13x_0" localSheetId="76">'491'!$H$13:$H$23</definedName>
    <definedName name="OSRRefH13x_0" localSheetId="89">'492'!$H$13:$H$18</definedName>
    <definedName name="OSRRefH13x_0" localSheetId="98">'501'!$H$13</definedName>
    <definedName name="OSRRefH13x_0" localSheetId="47">'Div 3'!$H$13:$H$108</definedName>
    <definedName name="OSRRefH13x_0" localSheetId="74">'Div 4'!$H$13:$H$24</definedName>
    <definedName name="OSRRefH13x_0" localSheetId="97">'Div 5'!$H$13</definedName>
    <definedName name="OSRRefH13x_0" localSheetId="65">'Div 6'!$H$13:$H$36</definedName>
    <definedName name="OSRRefH13x_0" localSheetId="2">Summary!$H$13:$H$135</definedName>
    <definedName name="OSRRefH16x_0" localSheetId="48">'300'!$H$108:$H$157</definedName>
    <definedName name="OSRRefH16x_0" localSheetId="49">'300 &amp; 317'!$H$126:$H$182</definedName>
    <definedName name="OSRRefH16x_0" localSheetId="54">'307'!$H$49:$H$68</definedName>
    <definedName name="OSRRefH16x_0" localSheetId="56">'308'!$H$43:$H$58</definedName>
    <definedName name="OSRRefH16x_0" localSheetId="68">'309'!$H$17:$H$18</definedName>
    <definedName name="OSRRefH16x_0" localSheetId="67">'310'!$H$25:$H$26</definedName>
    <definedName name="OSRRefH16x_0" localSheetId="75">'310 &amp; 491'!$H$33:$H$34</definedName>
    <definedName name="OSRRefH16x_0" localSheetId="57">'311'!$H$42:$H$57</definedName>
    <definedName name="OSRRefH16x_0" localSheetId="69">'313'!$H$22:$H$23</definedName>
    <definedName name="OSRRefH16x_0" localSheetId="55">'314'!$H$36:$H$50</definedName>
    <definedName name="OSRRefH16x_0" localSheetId="60">'315'!$H$35:$H$49</definedName>
    <definedName name="OSRRefH16x_0" localSheetId="66">'317'!$H$39:$H$52</definedName>
    <definedName name="OSRRefH16x_0" localSheetId="64">'320'!$H$19:$H$23</definedName>
    <definedName name="OSRRefH16x_0" localSheetId="70">'321'!$H$17:$H$18</definedName>
    <definedName name="OSRRefH16x_0" localSheetId="71">'322'!$H$17:$H$18</definedName>
    <definedName name="OSRRefH16x_0" localSheetId="58">'324'!$H$18:$H$19</definedName>
    <definedName name="OSRRefH16x_0" localSheetId="72">'325'!$H$17:$H$18</definedName>
    <definedName name="OSRRefH16x_0" localSheetId="61">'326'!$H$38:$H$55</definedName>
    <definedName name="OSRRefH16x_0" localSheetId="73">'327'!$H$16</definedName>
    <definedName name="OSRRefH16x_0" localSheetId="53">'330'!$H$53:$H$75</definedName>
    <definedName name="OSRRefH16x_0" localSheetId="59">'331'!$H$46:$H$68</definedName>
    <definedName name="OSRRefH16x_0" localSheetId="62">'332'!$H$31:$H$35</definedName>
    <definedName name="OSRRefH16x_0" localSheetId="77">'405'!$H$17:$H$18</definedName>
    <definedName name="OSRRefH16x_0" localSheetId="78">'406'!$H$17:$H$18</definedName>
    <definedName name="OSRRefH16x_0" localSheetId="80">'412'!$H$18</definedName>
    <definedName name="OSRRefH16x_0" localSheetId="82">'413'!$H$17:$H$18</definedName>
    <definedName name="OSRRefH16x_0" localSheetId="83">'414'!$H$17:$H$18</definedName>
    <definedName name="OSRRefH16x_0" localSheetId="84">'415'!$H$17:$H$18</definedName>
    <definedName name="OSRRefH16x_0" localSheetId="85">'418'!$H$17:$H$18</definedName>
    <definedName name="OSRRefH16x_0" localSheetId="81">'420'!$H$17</definedName>
    <definedName name="OSRRefH16x_0" localSheetId="86">'423'!$H$15</definedName>
    <definedName name="OSRRefH16x_0" localSheetId="87">'424'!$H$17:$H$18</definedName>
    <definedName name="OSRRefH16x_0" localSheetId="88">'425'!$H$20:$H$21</definedName>
    <definedName name="OSRRefH16x_0" localSheetId="91">'433'!$H$19:$H$20</definedName>
    <definedName name="OSRRefH16x_0" localSheetId="92">'435'!$H$18:$H$19</definedName>
    <definedName name="OSRRefH16x_0" localSheetId="93">'444'!$H$18:$H$19</definedName>
    <definedName name="OSRRefH16x_0" localSheetId="95">'450'!$H$18:$H$19</definedName>
    <definedName name="OSRRefH16x_0" localSheetId="76">'491'!$H$26:$H$27</definedName>
    <definedName name="OSRRefH16x_0" localSheetId="89">'492'!$H$21:$H$22</definedName>
    <definedName name="OSRRefH16x_0" localSheetId="47">'Div 3'!$H$111:$H$162</definedName>
    <definedName name="OSRRefH16x_0" localSheetId="74">'Div 4'!$H$27:$H$28</definedName>
    <definedName name="OSRRefH16x_0" localSheetId="65">'Div 6'!$H$39:$H$52</definedName>
    <definedName name="OSRRefH16x_0" localSheetId="2">Summary!$H$138:$H$196</definedName>
    <definedName name="OSRRefH22_0x_0" localSheetId="40">'200'!$H$20</definedName>
    <definedName name="OSRRefH22_0x_0" localSheetId="41">'201'!$H$20:$H$28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'300'!$H$163:$H$171</definedName>
    <definedName name="OSRRefH22_0x_0" localSheetId="49">'300 &amp; 317'!$H$188:$H$196</definedName>
    <definedName name="OSRRefH22_0x_0" localSheetId="50">'301'!$H$20:$H$27</definedName>
    <definedName name="OSRRefH22_0x_0" localSheetId="51">'306'!$H$20:$H$28</definedName>
    <definedName name="OSRRefH22_0x_0" localSheetId="54">'307'!$H$74:$H$81</definedName>
    <definedName name="OSRRefH22_0x_0" localSheetId="56">'308'!$H$64:$H$72</definedName>
    <definedName name="OSRRefH22_0x_0" localSheetId="68">'309'!$H$24:$H$31</definedName>
    <definedName name="OSRRefH22_0x_0" localSheetId="67">'310'!$H$32:$H$39</definedName>
    <definedName name="OSRRefH22_0x_0" localSheetId="75">'310 &amp; 491'!$H$40:$H$48</definedName>
    <definedName name="OSRRefH22_0x_0" localSheetId="57">'311'!$H$63:$H$71</definedName>
    <definedName name="OSRRefH22_0x_0" localSheetId="69">'313'!$H$29:$H$36</definedName>
    <definedName name="OSRRefH22_0x_0" localSheetId="55">'314'!$H$56:$H$62</definedName>
    <definedName name="OSRRefH22_0x_0" localSheetId="60">'315'!$H$55:$H$62</definedName>
    <definedName name="OSRRefH22_0x_0" localSheetId="63">'316'!$H$32:$H$39</definedName>
    <definedName name="OSRRefH22_0x_0" localSheetId="66">'317'!$H$58:$H$66</definedName>
    <definedName name="OSRRefH22_0x_0" localSheetId="64">'320'!$H$29:$H$36</definedName>
    <definedName name="OSRRefH22_0x_0" localSheetId="70">'321'!$H$24:$H$30</definedName>
    <definedName name="OSRRefH22_0x_0" localSheetId="71">'322'!$H$24:$H$31</definedName>
    <definedName name="OSRRefH22_0x_0" localSheetId="58">'324'!$H$25</definedName>
    <definedName name="OSRRefH22_0x_0" localSheetId="72">'325'!$H$24:$H$31</definedName>
    <definedName name="OSRRefH22_0x_0" localSheetId="61">'326'!$H$61:$H$68</definedName>
    <definedName name="OSRRefH22_0x_0" localSheetId="73">'327'!$H$22</definedName>
    <definedName name="OSRRefH22_0x_0" localSheetId="53">'330'!$H$81:$H$88</definedName>
    <definedName name="OSRRefH22_0x_0" localSheetId="59">'331'!$H$74:$H$81</definedName>
    <definedName name="OSRRefH22_0x_0" localSheetId="62">'332'!$H$41:$H$48</definedName>
    <definedName name="OSRRefH22_0x_0" localSheetId="52">'335'!$H$20</definedName>
    <definedName name="OSRRefH22_0x_0" localSheetId="77">'405'!$H$24:$H$31</definedName>
    <definedName name="OSRRefH22_0x_0" localSheetId="78">'406'!$H$24:$H$31</definedName>
    <definedName name="OSRRefH22_0x_0" localSheetId="79">'411'!$H$20:$H$28</definedName>
    <definedName name="OSRRefH22_0x_0" localSheetId="80">'412'!$H$24:$H$31</definedName>
    <definedName name="OSRRefH22_0x_0" localSheetId="82">'413'!$H$24:$H$31</definedName>
    <definedName name="OSRRefH22_0x_0" localSheetId="83">'414'!$H$24:$H$31</definedName>
    <definedName name="OSRRefH22_0x_0" localSheetId="84">'415'!$H$24:$H$31</definedName>
    <definedName name="OSRRefH22_0x_0" localSheetId="85">'418'!$H$24:$H$31</definedName>
    <definedName name="OSRRefH22_0x_0" localSheetId="81">'420'!$H$23:$H$29</definedName>
    <definedName name="OSRRefH22_0x_0" localSheetId="86">'423'!$H$21:$H$28</definedName>
    <definedName name="OSRRefH22_0x_0" localSheetId="87">'424'!$H$24:$H$26</definedName>
    <definedName name="OSRRefH22_0x_0" localSheetId="88">'425'!$H$27:$H$34</definedName>
    <definedName name="OSRRefH22_0x_0" localSheetId="90">'430'!$H$20:$H$27</definedName>
    <definedName name="OSRRefH22_0x_0" localSheetId="91">'433'!$H$26:$H$34</definedName>
    <definedName name="OSRRefH22_0x_0" localSheetId="92">'435'!$H$25:$H$27</definedName>
    <definedName name="OSRRefH22_0x_0" localSheetId="93">'444'!$H$25:$H$33</definedName>
    <definedName name="OSRRefH22_0x_0" localSheetId="94">'445'!$H$20</definedName>
    <definedName name="OSRRefH22_0x_0" localSheetId="95">'450'!$H$25:$H$33</definedName>
    <definedName name="OSRRefH22_0x_0" localSheetId="96">'455'!$H$20:$H$26</definedName>
    <definedName name="OSRRefH22_0x_0" localSheetId="76">'491'!$H$33:$H$41</definedName>
    <definedName name="OSRRefH22_0x_0" localSheetId="89">'492'!$H$28:$H$36</definedName>
    <definedName name="OSRRefH22_0x_0" localSheetId="98">'501'!$H$21:$H$28</definedName>
    <definedName name="OSRRefH22_0x_0" localSheetId="39">'Div 2'!$H$20:$H$30</definedName>
    <definedName name="OSRRefH22_0x_0" localSheetId="47">'Div 3'!$H$168:$H$176</definedName>
    <definedName name="OSRRefH22_0x_0" localSheetId="74">'Div 4'!$H$34:$H$42</definedName>
    <definedName name="OSRRefH22_0x_0" localSheetId="97">'Div 5'!$H$21:$H$28</definedName>
    <definedName name="OSRRefH22_0x_0" localSheetId="65">'Div 6'!$H$58:$H$66</definedName>
    <definedName name="OSRRefH22_0x_0" localSheetId="2">Summary!$H$202:$H$210</definedName>
    <definedName name="OSRRefH22_10x_0" localSheetId="41">'201'!$H$50:$H$52</definedName>
    <definedName name="OSRRefH22_10x_0" localSheetId="42">'202'!$H$50:$H$52</definedName>
    <definedName name="OSRRefH22_10x_0" localSheetId="43">'203'!$H$54:$H$55</definedName>
    <definedName name="OSRRefH22_10x_0" localSheetId="44">'204'!$H$59:$H$60</definedName>
    <definedName name="OSRRefH22_10x_0" localSheetId="48">'300'!$H$200:$H$201</definedName>
    <definedName name="OSRRefH22_10x_0" localSheetId="49">'300 &amp; 317'!$H$225:$H$226</definedName>
    <definedName name="OSRRefH22_10x_0" localSheetId="50">'301'!$H$56</definedName>
    <definedName name="OSRRefH22_10x_0" localSheetId="51">'306'!$H$57</definedName>
    <definedName name="OSRRefH22_10x_0" localSheetId="54">'307'!$H$106:$H$107</definedName>
    <definedName name="OSRRefH22_10x_0" localSheetId="56">'308'!$H$99</definedName>
    <definedName name="OSRRefH22_10x_0" localSheetId="68">'309'!$H$56:$H$58</definedName>
    <definedName name="OSRRefH22_10x_0" localSheetId="67">'310'!$H$65</definedName>
    <definedName name="OSRRefH22_10x_0" localSheetId="75">'310 &amp; 491'!$H$76:$H$77</definedName>
    <definedName name="OSRRefH22_10x_0" localSheetId="57">'311'!$H$98</definedName>
    <definedName name="OSRRefH22_10x_0" localSheetId="69">'313'!$H$62</definedName>
    <definedName name="OSRRefH22_10x_0" localSheetId="60">'315'!$H$91:$H$92</definedName>
    <definedName name="OSRRefH22_10x_0" localSheetId="63">'316'!$H$63:$H$67</definedName>
    <definedName name="OSRRefH22_10x_0" localSheetId="66">'317'!$H$89</definedName>
    <definedName name="OSRRefH22_10x_0" localSheetId="70">'321'!$H$62</definedName>
    <definedName name="OSRRefH22_10x_0" localSheetId="71">'322'!$H$56:$H$58</definedName>
    <definedName name="OSRRefH22_10x_0" localSheetId="72">'325'!$H$57</definedName>
    <definedName name="OSRRefH22_10x_0" localSheetId="61">'326'!$H$91</definedName>
    <definedName name="OSRRefH22_10x_0" localSheetId="53">'330'!$H$113</definedName>
    <definedName name="OSRRefH22_10x_0" localSheetId="59">'331'!$H$108</definedName>
    <definedName name="OSRRefH22_10x_0" localSheetId="62">'332'!$H$73</definedName>
    <definedName name="OSRRefH22_10x_0" localSheetId="77">'405'!$H$55:$H$56</definedName>
    <definedName name="OSRRefH22_10x_0" localSheetId="78">'406'!$H$57:$H$58</definedName>
    <definedName name="OSRRefH22_10x_0" localSheetId="79">'411'!$H$55</definedName>
    <definedName name="OSRRefH22_10x_0" localSheetId="80">'412'!$H$57</definedName>
    <definedName name="OSRRefH22_10x_0" localSheetId="82">'413'!$H$62</definedName>
    <definedName name="OSRRefH22_10x_0" localSheetId="83">'414'!$H$57</definedName>
    <definedName name="OSRRefH22_10x_0" localSheetId="84">'415'!$H$57</definedName>
    <definedName name="OSRRefH22_10x_0" localSheetId="85">'418'!$H$58:$H$60</definedName>
    <definedName name="OSRRefH22_10x_0" localSheetId="87">'424'!$H$51:$H$55</definedName>
    <definedName name="OSRRefH22_10x_0" localSheetId="88">'425'!$H$60</definedName>
    <definedName name="OSRRefH22_10x_0" localSheetId="91">'433'!$H$59:$H$61</definedName>
    <definedName name="OSRRefH22_10x_0" localSheetId="93">'444'!$H$58</definedName>
    <definedName name="OSRRefH22_10x_0" localSheetId="95">'450'!$H$58</definedName>
    <definedName name="OSRRefH22_10x_0" localSheetId="76">'491'!$H$69:$H$70</definedName>
    <definedName name="OSRRefH22_10x_0" localSheetId="89">'492'!$H$62</definedName>
    <definedName name="OSRRefH22_10x_0" localSheetId="98">'501'!$H$54:$H$55</definedName>
    <definedName name="OSRRefH22_10x_0" localSheetId="39">'Div 2'!$H$57</definedName>
    <definedName name="OSRRefH22_10x_0" localSheetId="47">'Div 3'!$H$205:$H$206</definedName>
    <definedName name="OSRRefH22_10x_0" localSheetId="74">'Div 4'!$H$70:$H$71</definedName>
    <definedName name="OSRRefH22_10x_0" localSheetId="97">'Div 5'!$H$54:$H$55</definedName>
    <definedName name="OSRRefH22_10x_0" localSheetId="65">'Div 6'!$H$89</definedName>
    <definedName name="OSRRefH22_10x_0" localSheetId="2">Summary!$H$240:$H$241</definedName>
    <definedName name="OSRRefH22_11x_0" localSheetId="41">'201'!$H$54:$H$56</definedName>
    <definedName name="OSRRefH22_11x_0" localSheetId="42">'202'!$H$54</definedName>
    <definedName name="OSRRefH22_11x_0" localSheetId="43">'203'!$H$57</definedName>
    <definedName name="OSRRefH22_11x_0" localSheetId="48">'300'!$H$203</definedName>
    <definedName name="OSRRefH22_11x_0" localSheetId="49">'300 &amp; 317'!$H$228</definedName>
    <definedName name="OSRRefH22_11x_0" localSheetId="50">'301'!$H$58</definedName>
    <definedName name="OSRRefH22_11x_0" localSheetId="54">'307'!$H$109:$H$110</definedName>
    <definedName name="OSRRefH22_11x_0" localSheetId="56">'308'!$H$101:$H$104</definedName>
    <definedName name="OSRRefH22_11x_0" localSheetId="68">'309'!$H$60</definedName>
    <definedName name="OSRRefH22_11x_0" localSheetId="67">'310'!$H$67</definedName>
    <definedName name="OSRRefH22_11x_0" localSheetId="75">'310 &amp; 491'!$H$79:$H$80</definedName>
    <definedName name="OSRRefH22_11x_0" localSheetId="57">'311'!$H$100:$H$103</definedName>
    <definedName name="OSRRefH22_11x_0" localSheetId="69">'313'!$H$64:$H$65</definedName>
    <definedName name="OSRRefH22_11x_0" localSheetId="60">'315'!$H$94:$H$98</definedName>
    <definedName name="OSRRefH22_11x_0" localSheetId="63">'316'!$H$69</definedName>
    <definedName name="OSRRefH22_11x_0" localSheetId="66">'317'!$H$91:$H$92</definedName>
    <definedName name="OSRRefH22_11x_0" localSheetId="70">'321'!$H$64</definedName>
    <definedName name="OSRRefH22_11x_0" localSheetId="71">'322'!$H$60</definedName>
    <definedName name="OSRRefH22_11x_0" localSheetId="72">'325'!$H$59:$H$61</definedName>
    <definedName name="OSRRefH22_11x_0" localSheetId="61">'326'!$H$93</definedName>
    <definedName name="OSRRefH22_11x_0" localSheetId="53">'330'!$H$115:$H$116</definedName>
    <definedName name="OSRRefH22_11x_0" localSheetId="59">'331'!$H$110</definedName>
    <definedName name="OSRRefH22_11x_0" localSheetId="62">'332'!$H$75:$H$79</definedName>
    <definedName name="OSRRefH22_11x_0" localSheetId="77">'405'!$H$58</definedName>
    <definedName name="OSRRefH22_11x_0" localSheetId="78">'406'!$H$60:$H$65</definedName>
    <definedName name="OSRRefH22_11x_0" localSheetId="79">'411'!$H$57:$H$59</definedName>
    <definedName name="OSRRefH22_11x_0" localSheetId="80">'412'!$H$59:$H$61</definedName>
    <definedName name="OSRRefH22_11x_0" localSheetId="83">'414'!$H$59</definedName>
    <definedName name="OSRRefH22_11x_0" localSheetId="84">'415'!$H$59:$H$61</definedName>
    <definedName name="OSRRefH22_11x_0" localSheetId="85">'418'!$H$62:$H$64</definedName>
    <definedName name="OSRRefH22_11x_0" localSheetId="87">'424'!$H$57</definedName>
    <definedName name="OSRRefH22_11x_0" localSheetId="88">'425'!$H$62:$H$63</definedName>
    <definedName name="OSRRefH22_11x_0" localSheetId="91">'433'!$H$63:$H$65</definedName>
    <definedName name="OSRRefH22_11x_0" localSheetId="93">'444'!$H$60:$H$62</definedName>
    <definedName name="OSRRefH22_11x_0" localSheetId="95">'450'!$H$60:$H$62</definedName>
    <definedName name="OSRRefH22_11x_0" localSheetId="76">'491'!$H$72</definedName>
    <definedName name="OSRRefH22_11x_0" localSheetId="89">'492'!$H$64</definedName>
    <definedName name="OSRRefH22_11x_0" localSheetId="98">'501'!$H$57:$H$60</definedName>
    <definedName name="OSRRefH22_11x_0" localSheetId="39">'Div 2'!$H$59</definedName>
    <definedName name="OSRRefH22_11x_0" localSheetId="47">'Div 3'!$H$208</definedName>
    <definedName name="OSRRefH22_11x_0" localSheetId="74">'Div 4'!$H$73</definedName>
    <definedName name="OSRRefH22_11x_0" localSheetId="97">'Div 5'!$H$57:$H$60</definedName>
    <definedName name="OSRRefH22_11x_0" localSheetId="65">'Div 6'!$H$91:$H$92</definedName>
    <definedName name="OSRRefH22_11x_0" localSheetId="2">Summary!$H$243:$H$244</definedName>
    <definedName name="OSRRefH22_12x_0" localSheetId="41">'201'!$H$58</definedName>
    <definedName name="OSRRefH22_12x_0" localSheetId="42">'202'!$H$56</definedName>
    <definedName name="OSRRefH22_12x_0" localSheetId="43">'203'!$H$59:$H$61</definedName>
    <definedName name="OSRRefH22_12x_0" localSheetId="48">'300'!$H$205</definedName>
    <definedName name="OSRRefH22_12x_0" localSheetId="49">'300 &amp; 317'!$H$230</definedName>
    <definedName name="OSRRefH22_12x_0" localSheetId="50">'301'!$H$60</definedName>
    <definedName name="OSRRefH22_12x_0" localSheetId="54">'307'!$H$112</definedName>
    <definedName name="OSRRefH22_12x_0" localSheetId="56">'308'!$H$106:$H$107</definedName>
    <definedName name="OSRRefH22_12x_0" localSheetId="68">'309'!$H$62:$H$67</definedName>
    <definedName name="OSRRefH22_12x_0" localSheetId="67">'310'!$H$69</definedName>
    <definedName name="OSRRefH22_12x_0" localSheetId="75">'310 &amp; 491'!$H$82</definedName>
    <definedName name="OSRRefH22_12x_0" localSheetId="57">'311'!$H$105:$H$106</definedName>
    <definedName name="OSRRefH22_12x_0" localSheetId="69">'313'!$H$67:$H$72</definedName>
    <definedName name="OSRRefH22_12x_0" localSheetId="60">'315'!$H$100</definedName>
    <definedName name="OSRRefH22_12x_0" localSheetId="63">'316'!$H$71</definedName>
    <definedName name="OSRRefH22_12x_0" localSheetId="66">'317'!$H$94</definedName>
    <definedName name="OSRRefH22_12x_0" localSheetId="70">'321'!$H$66</definedName>
    <definedName name="OSRRefH22_12x_0" localSheetId="71">'322'!$H$62:$H$67</definedName>
    <definedName name="OSRRefH22_12x_0" localSheetId="72">'325'!$H$63:$H$66</definedName>
    <definedName name="OSRRefH22_12x_0" localSheetId="61">'326'!$H$95</definedName>
    <definedName name="OSRRefH22_12x_0" localSheetId="53">'330'!$H$118:$H$119</definedName>
    <definedName name="OSRRefH22_12x_0" localSheetId="59">'331'!$H$112</definedName>
    <definedName name="OSRRefH22_12x_0" localSheetId="62">'332'!$H$81</definedName>
    <definedName name="OSRRefH22_12x_0" localSheetId="77">'405'!$H$60:$H$62</definedName>
    <definedName name="OSRRefH22_12x_0" localSheetId="78">'406'!$H$67</definedName>
    <definedName name="OSRRefH22_12x_0" localSheetId="79">'411'!$H$61:$H$65</definedName>
    <definedName name="OSRRefH22_12x_0" localSheetId="80">'412'!$H$63:$H$69</definedName>
    <definedName name="OSRRefH22_12x_0" localSheetId="83">'414'!$H$61</definedName>
    <definedName name="OSRRefH22_12x_0" localSheetId="84">'415'!$H$63:$H$67</definedName>
    <definedName name="OSRRefH22_12x_0" localSheetId="85">'418'!$H$66:$H$67</definedName>
    <definedName name="OSRRefH22_12x_0" localSheetId="88">'425'!$H$65:$H$71</definedName>
    <definedName name="OSRRefH22_12x_0" localSheetId="91">'433'!$H$67:$H$73</definedName>
    <definedName name="OSRRefH22_12x_0" localSheetId="93">'444'!$H$64:$H$66</definedName>
    <definedName name="OSRRefH22_12x_0" localSheetId="95">'450'!$H$64:$H$66</definedName>
    <definedName name="OSRRefH22_12x_0" localSheetId="76">'491'!$H$74</definedName>
    <definedName name="OSRRefH22_12x_0" localSheetId="89">'492'!$H$66:$H$68</definedName>
    <definedName name="OSRRefH22_12x_0" localSheetId="98">'501'!$H$62</definedName>
    <definedName name="OSRRefH22_12x_0" localSheetId="39">'Div 2'!$H$61:$H$64</definedName>
    <definedName name="OSRRefH22_12x_0" localSheetId="47">'Div 3'!$H$210</definedName>
    <definedName name="OSRRefH22_12x_0" localSheetId="74">'Div 4'!$H$75</definedName>
    <definedName name="OSRRefH22_12x_0" localSheetId="97">'Div 5'!$H$62</definedName>
    <definedName name="OSRRefH22_12x_0" localSheetId="65">'Div 6'!$H$94</definedName>
    <definedName name="OSRRefH22_12x_0" localSheetId="2">Summary!$H$246</definedName>
    <definedName name="OSRRefH22_13x_0" localSheetId="41">'201'!$H$60:$H$62</definedName>
    <definedName name="OSRRefH22_13x_0" localSheetId="42">'202'!$H$58:$H$60</definedName>
    <definedName name="OSRRefH22_13x_0" localSheetId="43">'203'!$H$63</definedName>
    <definedName name="OSRRefH22_13x_0" localSheetId="48">'300'!$H$207</definedName>
    <definedName name="OSRRefH22_13x_0" localSheetId="49">'300 &amp; 317'!$H$232</definedName>
    <definedName name="OSRRefH22_13x_0" localSheetId="50">'301'!$H$62</definedName>
    <definedName name="OSRRefH22_13x_0" localSheetId="54">'307'!$H$114</definedName>
    <definedName name="OSRRefH22_13x_0" localSheetId="56">'308'!$H$109</definedName>
    <definedName name="OSRRefH22_13x_0" localSheetId="68">'309'!$H$69</definedName>
    <definedName name="OSRRefH22_13x_0" localSheetId="67">'310'!$H$71</definedName>
    <definedName name="OSRRefH22_13x_0" localSheetId="75">'310 &amp; 491'!$H$84</definedName>
    <definedName name="OSRRefH22_13x_0" localSheetId="57">'311'!$H$108</definedName>
    <definedName name="OSRRefH22_13x_0" localSheetId="69">'313'!$H$74</definedName>
    <definedName name="OSRRefH22_13x_0" localSheetId="60">'315'!$H$102</definedName>
    <definedName name="OSRRefH22_13x_0" localSheetId="66">'317'!$H$96</definedName>
    <definedName name="OSRRefH22_13x_0" localSheetId="71">'322'!$H$69</definedName>
    <definedName name="OSRRefH22_13x_0" localSheetId="72">'325'!$H$68</definedName>
    <definedName name="OSRRefH22_13x_0" localSheetId="61">'326'!$H$97:$H$98</definedName>
    <definedName name="OSRRefH22_13x_0" localSheetId="53">'330'!$H$121</definedName>
    <definedName name="OSRRefH22_13x_0" localSheetId="59">'331'!$H$114</definedName>
    <definedName name="OSRRefH22_13x_0" localSheetId="62">'332'!$H$83</definedName>
    <definedName name="OSRRefH22_13x_0" localSheetId="77">'405'!$H$64:$H$65</definedName>
    <definedName name="OSRRefH22_13x_0" localSheetId="78">'406'!$H$69</definedName>
    <definedName name="OSRRefH22_13x_0" localSheetId="79">'411'!$H$67</definedName>
    <definedName name="OSRRefH22_13x_0" localSheetId="80">'412'!$H$71</definedName>
    <definedName name="OSRRefH22_13x_0" localSheetId="83">'414'!$H$63:$H$69</definedName>
    <definedName name="OSRRefH22_13x_0" localSheetId="84">'415'!$H$69:$H$70</definedName>
    <definedName name="OSRRefH22_13x_0" localSheetId="85">'418'!$H$69:$H$75</definedName>
    <definedName name="OSRRefH22_13x_0" localSheetId="88">'425'!$H$73</definedName>
    <definedName name="OSRRefH22_13x_0" localSheetId="91">'433'!$H$75</definedName>
    <definedName name="OSRRefH22_13x_0" localSheetId="93">'444'!$H$68:$H$75</definedName>
    <definedName name="OSRRefH22_13x_0" localSheetId="95">'450'!$H$68:$H$74</definedName>
    <definedName name="OSRRefH22_13x_0" localSheetId="76">'491'!$H$76</definedName>
    <definedName name="OSRRefH22_13x_0" localSheetId="89">'492'!$H$70:$H$72</definedName>
    <definedName name="OSRRefH22_13x_0" localSheetId="98">'501'!$H$64</definedName>
    <definedName name="OSRRefH22_13x_0" localSheetId="39">'Div 2'!$H$66:$H$69</definedName>
    <definedName name="OSRRefH22_13x_0" localSheetId="47">'Div 3'!$H$212</definedName>
    <definedName name="OSRRefH22_13x_0" localSheetId="74">'Div 4'!$H$77</definedName>
    <definedName name="OSRRefH22_13x_0" localSheetId="97">'Div 5'!$H$64</definedName>
    <definedName name="OSRRefH22_13x_0" localSheetId="65">'Div 6'!$H$96</definedName>
    <definedName name="OSRRefH22_13x_0" localSheetId="2">Summary!$H$248</definedName>
    <definedName name="OSRRefH22_14x_0" localSheetId="41">'201'!$H$64</definedName>
    <definedName name="OSRRefH22_14x_0" localSheetId="42">'202'!$H$62</definedName>
    <definedName name="OSRRefH22_14x_0" localSheetId="43">'203'!$H$65</definedName>
    <definedName name="OSRRefH22_14x_0" localSheetId="48">'300'!$H$209</definedName>
    <definedName name="OSRRefH22_14x_0" localSheetId="49">'300 &amp; 317'!$H$234</definedName>
    <definedName name="OSRRefH22_14x_0" localSheetId="50">'301'!$H$64:$H$66</definedName>
    <definedName name="OSRRefH22_14x_0" localSheetId="56">'308'!$H$111</definedName>
    <definedName name="OSRRefH22_14x_0" localSheetId="67">'310'!$H$73:$H$75</definedName>
    <definedName name="OSRRefH22_14x_0" localSheetId="75">'310 &amp; 491'!$H$86</definedName>
    <definedName name="OSRRefH22_14x_0" localSheetId="57">'311'!$H$110</definedName>
    <definedName name="OSRRefH22_14x_0" localSheetId="69">'313'!$H$76</definedName>
    <definedName name="OSRRefH22_14x_0" localSheetId="60">'315'!$H$104:$H$105</definedName>
    <definedName name="OSRRefH22_14x_0" localSheetId="66">'317'!$H$98</definedName>
    <definedName name="OSRRefH22_14x_0" localSheetId="71">'322'!$H$71</definedName>
    <definedName name="OSRRefH22_14x_0" localSheetId="72">'325'!$H$70:$H$75</definedName>
    <definedName name="OSRRefH22_14x_0" localSheetId="61">'326'!$H$100:$H$102</definedName>
    <definedName name="OSRRefH22_14x_0" localSheetId="53">'330'!$H$123:$H$125</definedName>
    <definedName name="OSRRefH22_14x_0" localSheetId="59">'331'!$H$116:$H$118</definedName>
    <definedName name="OSRRefH22_14x_0" localSheetId="77">'405'!$H$67:$H$73</definedName>
    <definedName name="OSRRefH22_14x_0" localSheetId="79">'411'!$H$69:$H$75</definedName>
    <definedName name="OSRRefH22_14x_0" localSheetId="80">'412'!$H$73</definedName>
    <definedName name="OSRRefH22_14x_0" localSheetId="83">'414'!$H$71</definedName>
    <definedName name="OSRRefH22_14x_0" localSheetId="84">'415'!$H$72:$H$78</definedName>
    <definedName name="OSRRefH22_14x_0" localSheetId="85">'418'!$H$77</definedName>
    <definedName name="OSRRefH22_14x_0" localSheetId="88">'425'!$H$75</definedName>
    <definedName name="OSRRefH22_14x_0" localSheetId="91">'433'!$H$77</definedName>
    <definedName name="OSRRefH22_14x_0" localSheetId="93">'444'!$H$77</definedName>
    <definedName name="OSRRefH22_14x_0" localSheetId="95">'450'!$H$76</definedName>
    <definedName name="OSRRefH22_14x_0" localSheetId="76">'491'!$H$78</definedName>
    <definedName name="OSRRefH22_14x_0" localSheetId="89">'492'!$H$74:$H$81</definedName>
    <definedName name="OSRRefH22_14x_0" localSheetId="39">'Div 2'!$H$71:$H$72</definedName>
    <definedName name="OSRRefH22_14x_0" localSheetId="47">'Div 3'!$H$214</definedName>
    <definedName name="OSRRefH22_14x_0" localSheetId="74">'Div 4'!$H$79</definedName>
    <definedName name="OSRRefH22_14x_0" localSheetId="65">'Div 6'!$H$98</definedName>
    <definedName name="OSRRefH22_14x_0" localSheetId="2">Summary!$H$250</definedName>
    <definedName name="OSRRefH22_15x_0" localSheetId="41">'201'!$H$66</definedName>
    <definedName name="OSRRefH22_15x_0" localSheetId="42">'202'!$H$64</definedName>
    <definedName name="OSRRefH22_15x_0" localSheetId="43">'203'!$H$67</definedName>
    <definedName name="OSRRefH22_15x_0" localSheetId="48">'300'!$H$211</definedName>
    <definedName name="OSRRefH22_15x_0" localSheetId="49">'300 &amp; 317'!$H$236</definedName>
    <definedName name="OSRRefH22_15x_0" localSheetId="50">'301'!$H$68:$H$70</definedName>
    <definedName name="OSRRefH22_15x_0" localSheetId="67">'310'!$H$77</definedName>
    <definedName name="OSRRefH22_15x_0" localSheetId="75">'310 &amp; 491'!$H$88</definedName>
    <definedName name="OSRRefH22_15x_0" localSheetId="72">'325'!$H$77</definedName>
    <definedName name="OSRRefH22_15x_0" localSheetId="61">'326'!$H$104</definedName>
    <definedName name="OSRRefH22_15x_0" localSheetId="53">'330'!$H$127</definedName>
    <definedName name="OSRRefH22_15x_0" localSheetId="59">'331'!$H$120:$H$121</definedName>
    <definedName name="OSRRefH22_15x_0" localSheetId="77">'405'!$H$75</definedName>
    <definedName name="OSRRefH22_15x_0" localSheetId="79">'411'!$H$77</definedName>
    <definedName name="OSRRefH22_15x_0" localSheetId="83">'414'!$H$73</definedName>
    <definedName name="OSRRefH22_15x_0" localSheetId="84">'415'!$H$80</definedName>
    <definedName name="OSRRefH22_15x_0" localSheetId="85">'418'!$H$79</definedName>
    <definedName name="OSRRefH22_15x_0" localSheetId="88">'425'!$H$77</definedName>
    <definedName name="OSRRefH22_15x_0" localSheetId="91">'433'!$H$79:$H$80</definedName>
    <definedName name="OSRRefH22_15x_0" localSheetId="93">'444'!$H$79</definedName>
    <definedName name="OSRRefH22_15x_0" localSheetId="95">'450'!$H$78</definedName>
    <definedName name="OSRRefH22_15x_0" localSheetId="76">'491'!$H$80:$H$82</definedName>
    <definedName name="OSRRefH22_15x_0" localSheetId="89">'492'!$H$83</definedName>
    <definedName name="OSRRefH22_15x_0" localSheetId="39">'Div 2'!$H$74</definedName>
    <definedName name="OSRRefH22_15x_0" localSheetId="47">'Div 3'!$H$216</definedName>
    <definedName name="OSRRefH22_15x_0" localSheetId="74">'Div 4'!$H$81</definedName>
    <definedName name="OSRRefH22_15x_0" localSheetId="2">Summary!$H$252</definedName>
    <definedName name="OSRRefH22_16x_0" localSheetId="41">'201'!$H$68:$H$69</definedName>
    <definedName name="OSRRefH22_16x_0" localSheetId="48">'300'!$H$213:$H$215</definedName>
    <definedName name="OSRRefH22_16x_0" localSheetId="49">'300 &amp; 317'!$H$238:$H$240</definedName>
    <definedName name="OSRRefH22_16x_0" localSheetId="50">'301'!$H$72</definedName>
    <definedName name="OSRRefH22_16x_0" localSheetId="67">'310'!$H$79:$H$82</definedName>
    <definedName name="OSRRefH22_16x_0" localSheetId="75">'310 &amp; 491'!$H$90:$H$92</definedName>
    <definedName name="OSRRefH22_16x_0" localSheetId="72">'325'!$H$79</definedName>
    <definedName name="OSRRefH22_16x_0" localSheetId="61">'326'!$H$106:$H$110</definedName>
    <definedName name="OSRRefH22_16x_0" localSheetId="53">'330'!$H$129</definedName>
    <definedName name="OSRRefH22_16x_0" localSheetId="59">'331'!$H$123:$H$125</definedName>
    <definedName name="OSRRefH22_16x_0" localSheetId="77">'405'!$H$77</definedName>
    <definedName name="OSRRefH22_16x_0" localSheetId="79">'411'!$H$79</definedName>
    <definedName name="OSRRefH22_16x_0" localSheetId="84">'415'!$H$82</definedName>
    <definedName name="OSRRefH22_16x_0" localSheetId="93">'444'!$H$81</definedName>
    <definedName name="OSRRefH22_16x_0" localSheetId="95">'450'!$H$80:$H$81</definedName>
    <definedName name="OSRRefH22_16x_0" localSheetId="76">'491'!$H$84:$H$85</definedName>
    <definedName name="OSRRefH22_16x_0" localSheetId="89">'492'!$H$85</definedName>
    <definedName name="OSRRefH22_16x_0" localSheetId="39">'Div 2'!$H$76:$H$79</definedName>
    <definedName name="OSRRefH22_16x_0" localSheetId="47">'Div 3'!$H$218</definedName>
    <definedName name="OSRRefH22_16x_0" localSheetId="74">'Div 4'!$H$83:$H$85</definedName>
    <definedName name="OSRRefH22_16x_0" localSheetId="2">Summary!$H$254</definedName>
    <definedName name="OSRRefH22_17x_0" localSheetId="48">'300'!$H$217:$H$219</definedName>
    <definedName name="OSRRefH22_17x_0" localSheetId="49">'300 &amp; 317'!$H$242:$H$244</definedName>
    <definedName name="OSRRefH22_17x_0" localSheetId="50">'301'!$H$74:$H$78</definedName>
    <definedName name="OSRRefH22_17x_0" localSheetId="67">'310'!$H$84:$H$85</definedName>
    <definedName name="OSRRefH22_17x_0" localSheetId="75">'310 &amp; 491'!$H$94:$H$95</definedName>
    <definedName name="OSRRefH22_17x_0" localSheetId="72">'325'!$H$81</definedName>
    <definedName name="OSRRefH22_17x_0" localSheetId="61">'326'!$H$112</definedName>
    <definedName name="OSRRefH22_17x_0" localSheetId="53">'330'!$H$131</definedName>
    <definedName name="OSRRefH22_17x_0" localSheetId="59">'331'!$H$127:$H$128</definedName>
    <definedName name="OSRRefH22_17x_0" localSheetId="77">'405'!$H$79</definedName>
    <definedName name="OSRRefH22_17x_0" localSheetId="79">'411'!$H$81:$H$83</definedName>
    <definedName name="OSRRefH22_17x_0" localSheetId="84">'415'!$H$84</definedName>
    <definedName name="OSRRefH22_17x_0" localSheetId="76">'491'!$H$87:$H$91</definedName>
    <definedName name="OSRRefH22_17x_0" localSheetId="89">'492'!$H$87:$H$88</definedName>
    <definedName name="OSRRefH22_17x_0" localSheetId="39">'Div 2'!$H$81:$H$82</definedName>
    <definedName name="OSRRefH22_17x_0" localSheetId="47">'Div 3'!$H$220:$H$222</definedName>
    <definedName name="OSRRefH22_17x_0" localSheetId="74">'Div 4'!$H$87:$H$88</definedName>
    <definedName name="OSRRefH22_17x_0" localSheetId="2">Summary!$H$256</definedName>
    <definedName name="OSRRefH22_18x_0" localSheetId="48">'300'!$H$221:$H$224</definedName>
    <definedName name="OSRRefH22_18x_0" localSheetId="49">'300 &amp; 317'!$H$246:$H$249</definedName>
    <definedName name="OSRRefH22_18x_0" localSheetId="50">'301'!$H$80</definedName>
    <definedName name="OSRRefH22_18x_0" localSheetId="67">'310'!$H$87:$H$93</definedName>
    <definedName name="OSRRefH22_18x_0" localSheetId="75">'310 &amp; 491'!$H$97:$H$101</definedName>
    <definedName name="OSRRefH22_18x_0" localSheetId="61">'326'!$H$114</definedName>
    <definedName name="OSRRefH22_18x_0" localSheetId="59">'331'!$H$130:$H$135</definedName>
    <definedName name="OSRRefH22_18x_0" localSheetId="79">'411'!$H$85</definedName>
    <definedName name="OSRRefH22_18x_0" localSheetId="76">'491'!$H$93:$H$94</definedName>
    <definedName name="OSRRefH22_18x_0" localSheetId="39">'Div 2'!$H$84</definedName>
    <definedName name="OSRRefH22_18x_0" localSheetId="47">'Div 3'!$H$224:$H$226</definedName>
    <definedName name="OSRRefH22_18x_0" localSheetId="74">'Div 4'!$H$90:$H$94</definedName>
    <definedName name="OSRRefH22_18x_0" localSheetId="2">Summary!$H$258:$H$260</definedName>
    <definedName name="OSRRefH22_19x_0" localSheetId="48">'300'!$H$226:$H$227</definedName>
    <definedName name="OSRRefH22_19x_0" localSheetId="49">'300 &amp; 317'!$H$251:$H$252</definedName>
    <definedName name="OSRRefH22_19x_0" localSheetId="50">'301'!$H$82</definedName>
    <definedName name="OSRRefH22_19x_0" localSheetId="67">'310'!$H$95</definedName>
    <definedName name="OSRRefH22_19x_0" localSheetId="75">'310 &amp; 491'!$H$103:$H$104</definedName>
    <definedName name="OSRRefH22_19x_0" localSheetId="61">'326'!$H$116</definedName>
    <definedName name="OSRRefH22_19x_0" localSheetId="59">'331'!$H$137</definedName>
    <definedName name="OSRRefH22_19x_0" localSheetId="76">'491'!$H$96:$H$103</definedName>
    <definedName name="OSRRefH22_19x_0" localSheetId="39">'Div 2'!$H$86:$H$87</definedName>
    <definedName name="OSRRefH22_19x_0" localSheetId="47">'Div 3'!$H$228:$H$232</definedName>
    <definedName name="OSRRefH22_19x_0" localSheetId="74">'Div 4'!$H$96:$H$97</definedName>
    <definedName name="OSRRefH22_19x_0" localSheetId="2">Summary!$H$262:$H$264</definedName>
    <definedName name="OSRRefH22_1x_0" localSheetId="40">'200'!$H$22</definedName>
    <definedName name="OSRRefH22_1x_0" localSheetId="41">'201'!$H$30:$H$32</definedName>
    <definedName name="OSRRefH22_1x_0" localSheetId="42">'202'!$H$29:$H$32</definedName>
    <definedName name="OSRRefH22_1x_0" localSheetId="43">'203'!$H$31:$H$34</definedName>
    <definedName name="OSRRefH22_1x_0" localSheetId="44">'204'!$H$31:$H$35</definedName>
    <definedName name="OSRRefH22_1x_0" localSheetId="45">'205'!$H$29</definedName>
    <definedName name="OSRRefH22_1x_0" localSheetId="46">'206'!$H$29:$H$34</definedName>
    <definedName name="OSRRefH22_1x_0" localSheetId="48">'300'!$H$173:$H$179</definedName>
    <definedName name="OSRRefH22_1x_0" localSheetId="49">'300 &amp; 317'!$H$198:$H$204</definedName>
    <definedName name="OSRRefH22_1x_0" localSheetId="50">'301'!$H$29:$H$35</definedName>
    <definedName name="OSRRefH22_1x_0" localSheetId="51">'306'!$H$30:$H$34</definedName>
    <definedName name="OSRRefH22_1x_0" localSheetId="54">'307'!$H$83:$H$86</definedName>
    <definedName name="OSRRefH22_1x_0" localSheetId="56">'308'!$H$74:$H$78</definedName>
    <definedName name="OSRRefH22_1x_0" localSheetId="68">'309'!$H$33:$H$37</definedName>
    <definedName name="OSRRefH22_1x_0" localSheetId="67">'310'!$H$41:$H$46</definedName>
    <definedName name="OSRRefH22_1x_0" localSheetId="75">'310 &amp; 491'!$H$50:$H$56</definedName>
    <definedName name="OSRRefH22_1x_0" localSheetId="57">'311'!$H$73:$H$77</definedName>
    <definedName name="OSRRefH22_1x_0" localSheetId="69">'313'!$H$38:$H$42</definedName>
    <definedName name="OSRRefH22_1x_0" localSheetId="55">'314'!$H$64:$H$67</definedName>
    <definedName name="OSRRefH22_1x_0" localSheetId="60">'315'!$H$64:$H$69</definedName>
    <definedName name="OSRRefH22_1x_0" localSheetId="63">'316'!$H$41:$H$44</definedName>
    <definedName name="OSRRefH22_1x_0" localSheetId="66">'317'!$H$68:$H$71</definedName>
    <definedName name="OSRRefH22_1x_0" localSheetId="64">'320'!$H$38:$H$40</definedName>
    <definedName name="OSRRefH22_1x_0" localSheetId="70">'321'!$H$32:$H$36</definedName>
    <definedName name="OSRRefH22_1x_0" localSheetId="71">'322'!$H$33:$H$37</definedName>
    <definedName name="OSRRefH22_1x_0" localSheetId="72">'325'!$H$33:$H$38</definedName>
    <definedName name="OSRRefH22_1x_0" localSheetId="61">'326'!$H$70:$H$73</definedName>
    <definedName name="OSRRefH22_1x_0" localSheetId="73">'327'!$H$24</definedName>
    <definedName name="OSRRefH22_1x_0" localSheetId="53">'330'!$H$90:$H$94</definedName>
    <definedName name="OSRRefH22_1x_0" localSheetId="59">'331'!$H$83:$H$88</definedName>
    <definedName name="OSRRefH22_1x_0" localSheetId="62">'332'!$H$50:$H$53</definedName>
    <definedName name="OSRRefH22_1x_0" localSheetId="77">'405'!$H$33:$H$36</definedName>
    <definedName name="OSRRefH22_1x_0" localSheetId="78">'406'!$H$33:$H$37</definedName>
    <definedName name="OSRRefH22_1x_0" localSheetId="79">'411'!$H$30:$H$35</definedName>
    <definedName name="OSRRefH22_1x_0" localSheetId="80">'412'!$H$33:$H$38</definedName>
    <definedName name="OSRRefH22_1x_0" localSheetId="82">'413'!$H$33:$H$37</definedName>
    <definedName name="OSRRefH22_1x_0" localSheetId="83">'414'!$H$33:$H$38</definedName>
    <definedName name="OSRRefH22_1x_0" localSheetId="84">'415'!$H$33:$H$38</definedName>
    <definedName name="OSRRefH22_1x_0" localSheetId="85">'418'!$H$33:$H$38</definedName>
    <definedName name="OSRRefH22_1x_0" localSheetId="81">'420'!$H$31:$H$34</definedName>
    <definedName name="OSRRefH22_1x_0" localSheetId="86">'423'!$H$30</definedName>
    <definedName name="OSRRefH22_1x_0" localSheetId="87">'424'!$H$28:$H$32</definedName>
    <definedName name="OSRRefH22_1x_0" localSheetId="88">'425'!$H$36:$H$40</definedName>
    <definedName name="OSRRefH22_1x_0" localSheetId="90">'430'!$H$29</definedName>
    <definedName name="OSRRefH22_1x_0" localSheetId="91">'433'!$H$36:$H$41</definedName>
    <definedName name="OSRRefH22_1x_0" localSheetId="92">'435'!$H$29:$H$31</definedName>
    <definedName name="OSRRefH22_1x_0" localSheetId="93">'444'!$H$35:$H$40</definedName>
    <definedName name="OSRRefH22_1x_0" localSheetId="95">'450'!$H$35:$H$40</definedName>
    <definedName name="OSRRefH22_1x_0" localSheetId="96">'455'!$H$28:$H$29</definedName>
    <definedName name="OSRRefH22_1x_0" localSheetId="76">'491'!$H$43:$H$49</definedName>
    <definedName name="OSRRefH22_1x_0" localSheetId="89">'492'!$H$38:$H$44</definedName>
    <definedName name="OSRRefH22_1x_0" localSheetId="98">'501'!$H$30:$H$35</definedName>
    <definedName name="OSRRefH22_1x_0" localSheetId="39">'Div 2'!$H$32:$H$38</definedName>
    <definedName name="OSRRefH22_1x_0" localSheetId="47">'Div 3'!$H$178:$H$184</definedName>
    <definedName name="OSRRefH22_1x_0" localSheetId="74">'Div 4'!$H$44:$H$50</definedName>
    <definedName name="OSRRefH22_1x_0" localSheetId="97">'Div 5'!$H$30:$H$35</definedName>
    <definedName name="OSRRefH22_1x_0" localSheetId="65">'Div 6'!$H$68:$H$71</definedName>
    <definedName name="OSRRefH22_1x_0" localSheetId="2">Summary!$H$212:$H$218</definedName>
    <definedName name="OSRRefH22_20x_0" localSheetId="48">'300'!$H$229:$H$235</definedName>
    <definedName name="OSRRefH22_20x_0" localSheetId="49">'300 &amp; 317'!$H$254:$H$260</definedName>
    <definedName name="OSRRefH22_20x_0" localSheetId="50">'301'!$H$84:$H$86</definedName>
    <definedName name="OSRRefH22_20x_0" localSheetId="67">'310'!$H$97</definedName>
    <definedName name="OSRRefH22_20x_0" localSheetId="75">'310 &amp; 491'!$H$106:$H$113</definedName>
    <definedName name="OSRRefH22_20x_0" localSheetId="59">'331'!$H$139</definedName>
    <definedName name="OSRRefH22_20x_0" localSheetId="76">'491'!$H$105</definedName>
    <definedName name="OSRRefH22_20x_0" localSheetId="47">'Div 3'!$H$234:$H$235</definedName>
    <definedName name="OSRRefH22_20x_0" localSheetId="74">'Div 4'!$H$99:$H$106</definedName>
    <definedName name="OSRRefH22_20x_0" localSheetId="2">Summary!$H$266:$H$270</definedName>
    <definedName name="OSRRefH22_21x_0" localSheetId="48">'300'!$H$237:$H$238</definedName>
    <definedName name="OSRRefH22_21x_0" localSheetId="49">'300 &amp; 317'!$H$262:$H$263</definedName>
    <definedName name="OSRRefH22_21x_0" localSheetId="50">'301'!$H$88</definedName>
    <definedName name="OSRRefH22_21x_0" localSheetId="67">'310'!$H$99</definedName>
    <definedName name="OSRRefH22_21x_0" localSheetId="75">'310 &amp; 491'!$H$115</definedName>
    <definedName name="OSRRefH22_21x_0" localSheetId="59">'331'!$H$141:$H$142</definedName>
    <definedName name="OSRRefH22_21x_0" localSheetId="76">'491'!$H$107</definedName>
    <definedName name="OSRRefH22_21x_0" localSheetId="47">'Div 3'!$H$237:$H$243</definedName>
    <definedName name="OSRRefH22_21x_0" localSheetId="74">'Div 4'!$H$108</definedName>
    <definedName name="OSRRefH22_21x_0" localSheetId="2">Summary!$H$272:$H$273</definedName>
    <definedName name="OSRRefH22_22x_0" localSheetId="48">'300'!$H$240</definedName>
    <definedName name="OSRRefH22_22x_0" localSheetId="49">'300 &amp; 317'!$H$265</definedName>
    <definedName name="OSRRefH22_22x_0" localSheetId="75">'310 &amp; 491'!$H$117</definedName>
    <definedName name="OSRRefH22_22x_0" localSheetId="59">'331'!$H$144</definedName>
    <definedName name="OSRRefH22_22x_0" localSheetId="76">'491'!$H$109:$H$111</definedName>
    <definedName name="OSRRefH22_22x_0" localSheetId="47">'Div 3'!$H$245:$H$246</definedName>
    <definedName name="OSRRefH22_22x_0" localSheetId="74">'Div 4'!$H$110</definedName>
    <definedName name="OSRRefH22_22x_0" localSheetId="2">Summary!$H$275:$H$282</definedName>
    <definedName name="OSRRefH22_23x_0" localSheetId="48">'300'!$H$242:$H$244</definedName>
    <definedName name="OSRRefH22_23x_0" localSheetId="49">'300 &amp; 317'!$H$267:$H$269</definedName>
    <definedName name="OSRRefH22_23x_0" localSheetId="75">'310 &amp; 491'!$H$119:$H$121</definedName>
    <definedName name="OSRRefH22_23x_0" localSheetId="76">'491'!$H$113</definedName>
    <definedName name="OSRRefH22_23x_0" localSheetId="47">'Div 3'!$H$248</definedName>
    <definedName name="OSRRefH22_23x_0" localSheetId="74">'Div 4'!$H$112:$H$114</definedName>
    <definedName name="OSRRefH22_23x_0" localSheetId="2">Summary!$H$284:$H$285</definedName>
    <definedName name="OSRRefH22_24x_0" localSheetId="48">'300'!$H$246</definedName>
    <definedName name="OSRRefH22_24x_0" localSheetId="49">'300 &amp; 317'!$H$271</definedName>
    <definedName name="OSRRefH22_24x_0" localSheetId="75">'310 &amp; 491'!$H$123</definedName>
    <definedName name="OSRRefH22_24x_0" localSheetId="47">'Div 3'!$H$250:$H$252</definedName>
    <definedName name="OSRRefH22_24x_0" localSheetId="74">'Div 4'!$H$116</definedName>
    <definedName name="OSRRefH22_24x_0" localSheetId="2">Summary!$H$287</definedName>
    <definedName name="OSRRefH22_25x_0" localSheetId="47">'Div 3'!$H$254</definedName>
    <definedName name="OSRRefH22_25x_0" localSheetId="2">Summary!$H$289:$H$291</definedName>
    <definedName name="OSRRefH22_26x_0" localSheetId="2">Summary!$H$293</definedName>
    <definedName name="OSRRefH22_2x_0" localSheetId="40">'200'!$H$24</definedName>
    <definedName name="OSRRefH22_2x_0" localSheetId="41">'201'!$H$34</definedName>
    <definedName name="OSRRefH22_2x_0" localSheetId="42">'202'!$H$34</definedName>
    <definedName name="OSRRefH22_2x_0" localSheetId="43">'203'!$H$36</definedName>
    <definedName name="OSRRefH22_2x_0" localSheetId="44">'204'!$H$37</definedName>
    <definedName name="OSRRefH22_2x_0" localSheetId="45">'205'!$H$31</definedName>
    <definedName name="OSRRefH22_2x_0" localSheetId="46">'206'!$H$36</definedName>
    <definedName name="OSRRefH22_2x_0" localSheetId="48">'300'!$H$181</definedName>
    <definedName name="OSRRefH22_2x_0" localSheetId="49">'300 &amp; 317'!$H$206</definedName>
    <definedName name="OSRRefH22_2x_0" localSheetId="50">'301'!$H$37</definedName>
    <definedName name="OSRRefH22_2x_0" localSheetId="51">'306'!$H$36</definedName>
    <definedName name="OSRRefH22_2x_0" localSheetId="54">'307'!$H$88</definedName>
    <definedName name="OSRRefH22_2x_0" localSheetId="56">'308'!$H$80</definedName>
    <definedName name="OSRRefH22_2x_0" localSheetId="68">'309'!$H$39</definedName>
    <definedName name="OSRRefH22_2x_0" localSheetId="67">'310'!$H$48</definedName>
    <definedName name="OSRRefH22_2x_0" localSheetId="75">'310 &amp; 491'!$H$58</definedName>
    <definedName name="OSRRefH22_2x_0" localSheetId="57">'311'!$H$79</definedName>
    <definedName name="OSRRefH22_2x_0" localSheetId="69">'313'!$H$44</definedName>
    <definedName name="OSRRefH22_2x_0" localSheetId="55">'314'!$H$69</definedName>
    <definedName name="OSRRefH22_2x_0" localSheetId="60">'315'!$H$71</definedName>
    <definedName name="OSRRefH22_2x_0" localSheetId="63">'316'!$H$46</definedName>
    <definedName name="OSRRefH22_2x_0" localSheetId="66">'317'!$H$73</definedName>
    <definedName name="OSRRefH22_2x_0" localSheetId="64">'320'!$H$42</definedName>
    <definedName name="OSRRefH22_2x_0" localSheetId="70">'321'!$H$38</definedName>
    <definedName name="OSRRefH22_2x_0" localSheetId="71">'322'!$H$39</definedName>
    <definedName name="OSRRefH22_2x_0" localSheetId="72">'325'!$H$40</definedName>
    <definedName name="OSRRefH22_2x_0" localSheetId="61">'326'!$H$75</definedName>
    <definedName name="OSRRefH22_2x_0" localSheetId="73">'327'!$H$26</definedName>
    <definedName name="OSRRefH22_2x_0" localSheetId="53">'330'!$H$96</definedName>
    <definedName name="OSRRefH22_2x_0" localSheetId="59">'331'!$H$90</definedName>
    <definedName name="OSRRefH22_2x_0" localSheetId="62">'332'!$H$55</definedName>
    <definedName name="OSRRefH22_2x_0" localSheetId="77">'405'!$H$38</definedName>
    <definedName name="OSRRefH22_2x_0" localSheetId="78">'406'!$H$39</definedName>
    <definedName name="OSRRefH22_2x_0" localSheetId="79">'411'!$H$37</definedName>
    <definedName name="OSRRefH22_2x_0" localSheetId="80">'412'!$H$40</definedName>
    <definedName name="OSRRefH22_2x_0" localSheetId="82">'413'!$H$39</definedName>
    <definedName name="OSRRefH22_2x_0" localSheetId="83">'414'!$H$40</definedName>
    <definedName name="OSRRefH22_2x_0" localSheetId="84">'415'!$H$40</definedName>
    <definedName name="OSRRefH22_2x_0" localSheetId="85">'418'!$H$40</definedName>
    <definedName name="OSRRefH22_2x_0" localSheetId="81">'420'!$H$36</definedName>
    <definedName name="OSRRefH22_2x_0" localSheetId="86">'423'!$H$32</definedName>
    <definedName name="OSRRefH22_2x_0" localSheetId="87">'424'!$H$34</definedName>
    <definedName name="OSRRefH22_2x_0" localSheetId="88">'425'!$H$42</definedName>
    <definedName name="OSRRefH22_2x_0" localSheetId="90">'430'!$H$31</definedName>
    <definedName name="OSRRefH22_2x_0" localSheetId="91">'433'!$H$43</definedName>
    <definedName name="OSRRefH22_2x_0" localSheetId="92">'435'!$H$33</definedName>
    <definedName name="OSRRefH22_2x_0" localSheetId="93">'444'!$H$42</definedName>
    <definedName name="OSRRefH22_2x_0" localSheetId="95">'450'!$H$42</definedName>
    <definedName name="OSRRefH22_2x_0" localSheetId="96">'455'!$H$31</definedName>
    <definedName name="OSRRefH22_2x_0" localSheetId="76">'491'!$H$51</definedName>
    <definedName name="OSRRefH22_2x_0" localSheetId="89">'492'!$H$46</definedName>
    <definedName name="OSRRefH22_2x_0" localSheetId="98">'501'!$H$37</definedName>
    <definedName name="OSRRefH22_2x_0" localSheetId="39">'Div 2'!$H$40</definedName>
    <definedName name="OSRRefH22_2x_0" localSheetId="47">'Div 3'!$H$186</definedName>
    <definedName name="OSRRefH22_2x_0" localSheetId="74">'Div 4'!$H$52</definedName>
    <definedName name="OSRRefH22_2x_0" localSheetId="97">'Div 5'!$H$37</definedName>
    <definedName name="OSRRefH22_2x_0" localSheetId="65">'Div 6'!$H$73</definedName>
    <definedName name="OSRRefH22_2x_0" localSheetId="2">Summary!$H$220</definedName>
    <definedName name="OSRRefH22_3x_0" localSheetId="40">'200'!$H$26</definedName>
    <definedName name="OSRRefH22_3x_0" localSheetId="41">'201'!$H$36</definedName>
    <definedName name="OSRRefH22_3x_0" localSheetId="42">'202'!$H$36</definedName>
    <definedName name="OSRRefH22_3x_0" localSheetId="43">'203'!$H$38</definedName>
    <definedName name="OSRRefH22_3x_0" localSheetId="44">'204'!$H$39:$H$40</definedName>
    <definedName name="OSRRefH22_3x_0" localSheetId="45">'205'!$H$33</definedName>
    <definedName name="OSRRefH22_3x_0" localSheetId="46">'206'!$H$38</definedName>
    <definedName name="OSRRefH22_3x_0" localSheetId="48">'300'!$H$183:$H$184</definedName>
    <definedName name="OSRRefH22_3x_0" localSheetId="49">'300 &amp; 317'!$H$208:$H$209</definedName>
    <definedName name="OSRRefH22_3x_0" localSheetId="50">'301'!$H$39:$H$40</definedName>
    <definedName name="OSRRefH22_3x_0" localSheetId="51">'306'!$H$38</definedName>
    <definedName name="OSRRefH22_3x_0" localSheetId="54">'307'!$H$90</definedName>
    <definedName name="OSRRefH22_3x_0" localSheetId="56">'308'!$H$82:$H$83</definedName>
    <definedName name="OSRRefH22_3x_0" localSheetId="68">'309'!$H$41</definedName>
    <definedName name="OSRRefH22_3x_0" localSheetId="67">'310'!$H$50</definedName>
    <definedName name="OSRRefH22_3x_0" localSheetId="75">'310 &amp; 491'!$H$60</definedName>
    <definedName name="OSRRefH22_3x_0" localSheetId="57">'311'!$H$81:$H$82</definedName>
    <definedName name="OSRRefH22_3x_0" localSheetId="69">'313'!$H$46</definedName>
    <definedName name="OSRRefH22_3x_0" localSheetId="55">'314'!$H$71:$H$72</definedName>
    <definedName name="OSRRefH22_3x_0" localSheetId="60">'315'!$H$73:$H$74</definedName>
    <definedName name="OSRRefH22_3x_0" localSheetId="63">'316'!$H$48</definedName>
    <definedName name="OSRRefH22_3x_0" localSheetId="66">'317'!$H$75</definedName>
    <definedName name="OSRRefH22_3x_0" localSheetId="64">'320'!$H$44</definedName>
    <definedName name="OSRRefH22_3x_0" localSheetId="70">'321'!$H$40</definedName>
    <definedName name="OSRRefH22_3x_0" localSheetId="71">'322'!$H$41</definedName>
    <definedName name="OSRRefH22_3x_0" localSheetId="72">'325'!$H$42</definedName>
    <definedName name="OSRRefH22_3x_0" localSheetId="61">'326'!$H$77</definedName>
    <definedName name="OSRRefH22_3x_0" localSheetId="53">'330'!$H$98</definedName>
    <definedName name="OSRRefH22_3x_0" localSheetId="59">'331'!$H$92</definedName>
    <definedName name="OSRRefH22_3x_0" localSheetId="62">'332'!$H$57</definedName>
    <definedName name="OSRRefH22_3x_0" localSheetId="77">'405'!$H$40</definedName>
    <definedName name="OSRRefH22_3x_0" localSheetId="78">'406'!$H$41</definedName>
    <definedName name="OSRRefH22_3x_0" localSheetId="79">'411'!$H$39:$H$41</definedName>
    <definedName name="OSRRefH22_3x_0" localSheetId="80">'412'!$H$42</definedName>
    <definedName name="OSRRefH22_3x_0" localSheetId="82">'413'!$H$41</definedName>
    <definedName name="OSRRefH22_3x_0" localSheetId="83">'414'!$H$42</definedName>
    <definedName name="OSRRefH22_3x_0" localSheetId="84">'415'!$H$42</definedName>
    <definedName name="OSRRefH22_3x_0" localSheetId="85">'418'!$H$42</definedName>
    <definedName name="OSRRefH22_3x_0" localSheetId="81">'420'!$H$38</definedName>
    <definedName name="OSRRefH22_3x_0" localSheetId="86">'423'!$H$34</definedName>
    <definedName name="OSRRefH22_3x_0" localSheetId="87">'424'!$H$36</definedName>
    <definedName name="OSRRefH22_3x_0" localSheetId="88">'425'!$H$44</definedName>
    <definedName name="OSRRefH22_3x_0" localSheetId="90">'430'!$H$33</definedName>
    <definedName name="OSRRefH22_3x_0" localSheetId="91">'433'!$H$45</definedName>
    <definedName name="OSRRefH22_3x_0" localSheetId="92">'435'!$H$35</definedName>
    <definedName name="OSRRefH22_3x_0" localSheetId="93">'444'!$H$44</definedName>
    <definedName name="OSRRefH22_3x_0" localSheetId="95">'450'!$H$44</definedName>
    <definedName name="OSRRefH22_3x_0" localSheetId="76">'491'!$H$53</definedName>
    <definedName name="OSRRefH22_3x_0" localSheetId="89">'492'!$H$48</definedName>
    <definedName name="OSRRefH22_3x_0" localSheetId="98">'501'!$H$39</definedName>
    <definedName name="OSRRefH22_3x_0" localSheetId="39">'Div 2'!$H$42</definedName>
    <definedName name="OSRRefH22_3x_0" localSheetId="47">'Div 3'!$H$188:$H$189</definedName>
    <definedName name="OSRRefH22_3x_0" localSheetId="74">'Div 4'!$H$54</definedName>
    <definedName name="OSRRefH22_3x_0" localSheetId="97">'Div 5'!$H$39</definedName>
    <definedName name="OSRRefH22_3x_0" localSheetId="65">'Div 6'!$H$75</definedName>
    <definedName name="OSRRefH22_3x_0" localSheetId="2">Summary!$H$222:$H$223</definedName>
    <definedName name="OSRRefH22_4x_0" localSheetId="40">'200'!$H$28:$H$29</definedName>
    <definedName name="OSRRefH22_4x_0" localSheetId="41">'201'!$H$38</definedName>
    <definedName name="OSRRefH22_4x_0" localSheetId="42">'202'!$H$38</definedName>
    <definedName name="OSRRefH22_4x_0" localSheetId="43">'203'!$H$40</definedName>
    <definedName name="OSRRefH22_4x_0" localSheetId="44">'204'!$H$42</definedName>
    <definedName name="OSRRefH22_4x_0" localSheetId="45">'205'!$H$35:$H$36</definedName>
    <definedName name="OSRRefH22_4x_0" localSheetId="46">'206'!$H$40</definedName>
    <definedName name="OSRRefH22_4x_0" localSheetId="48">'300'!$H$186</definedName>
    <definedName name="OSRRefH22_4x_0" localSheetId="49">'300 &amp; 317'!$H$211</definedName>
    <definedName name="OSRRefH22_4x_0" localSheetId="50">'301'!$H$42</definedName>
    <definedName name="OSRRefH22_4x_0" localSheetId="51">'306'!$H$40</definedName>
    <definedName name="OSRRefH22_4x_0" localSheetId="54">'307'!$H$92:$H$93</definedName>
    <definedName name="OSRRefH22_4x_0" localSheetId="56">'308'!$H$85</definedName>
    <definedName name="OSRRefH22_4x_0" localSheetId="68">'309'!$H$43</definedName>
    <definedName name="OSRRefH22_4x_0" localSheetId="67">'310'!$H$52</definedName>
    <definedName name="OSRRefH22_4x_0" localSheetId="75">'310 &amp; 491'!$H$62</definedName>
    <definedName name="OSRRefH22_4x_0" localSheetId="57">'311'!$H$84</definedName>
    <definedName name="OSRRefH22_4x_0" localSheetId="69">'313'!$H$48</definedName>
    <definedName name="OSRRefH22_4x_0" localSheetId="55">'314'!$H$74</definedName>
    <definedName name="OSRRefH22_4x_0" localSheetId="60">'315'!$H$76</definedName>
    <definedName name="OSRRefH22_4x_0" localSheetId="63">'316'!$H$50</definedName>
    <definedName name="OSRRefH22_4x_0" localSheetId="66">'317'!$H$77</definedName>
    <definedName name="OSRRefH22_4x_0" localSheetId="64">'320'!$H$46:$H$47</definedName>
    <definedName name="OSRRefH22_4x_0" localSheetId="70">'321'!$H$42</definedName>
    <definedName name="OSRRefH22_4x_0" localSheetId="71">'322'!$H$43</definedName>
    <definedName name="OSRRefH22_4x_0" localSheetId="72">'325'!$H$44</definedName>
    <definedName name="OSRRefH22_4x_0" localSheetId="61">'326'!$H$79</definedName>
    <definedName name="OSRRefH22_4x_0" localSheetId="53">'330'!$H$100:$H$101</definedName>
    <definedName name="OSRRefH22_4x_0" localSheetId="59">'331'!$H$94</definedName>
    <definedName name="OSRRefH22_4x_0" localSheetId="62">'332'!$H$59</definedName>
    <definedName name="OSRRefH22_4x_0" localSheetId="77">'405'!$H$42</definedName>
    <definedName name="OSRRefH22_4x_0" localSheetId="78">'406'!$H$43</definedName>
    <definedName name="OSRRefH22_4x_0" localSheetId="79">'411'!$H$43</definedName>
    <definedName name="OSRRefH22_4x_0" localSheetId="80">'412'!$H$44</definedName>
    <definedName name="OSRRefH22_4x_0" localSheetId="82">'413'!$H$43</definedName>
    <definedName name="OSRRefH22_4x_0" localSheetId="83">'414'!$H$44</definedName>
    <definedName name="OSRRefH22_4x_0" localSheetId="84">'415'!$H$44</definedName>
    <definedName name="OSRRefH22_4x_0" localSheetId="85">'418'!$H$44</definedName>
    <definedName name="OSRRefH22_4x_0" localSheetId="81">'420'!$H$40:$H$41</definedName>
    <definedName name="OSRRefH22_4x_0" localSheetId="86">'423'!$H$36</definedName>
    <definedName name="OSRRefH22_4x_0" localSheetId="87">'424'!$H$38</definedName>
    <definedName name="OSRRefH22_4x_0" localSheetId="88">'425'!$H$46</definedName>
    <definedName name="OSRRefH22_4x_0" localSheetId="90">'430'!$H$35</definedName>
    <definedName name="OSRRefH22_4x_0" localSheetId="91">'433'!$H$47</definedName>
    <definedName name="OSRRefH22_4x_0" localSheetId="92">'435'!$H$37</definedName>
    <definedName name="OSRRefH22_4x_0" localSheetId="93">'444'!$H$46</definedName>
    <definedName name="OSRRefH22_4x_0" localSheetId="95">'450'!$H$46</definedName>
    <definedName name="OSRRefH22_4x_0" localSheetId="76">'491'!$H$55</definedName>
    <definedName name="OSRRefH22_4x_0" localSheetId="89">'492'!$H$50</definedName>
    <definedName name="OSRRefH22_4x_0" localSheetId="98">'501'!$H$41</definedName>
    <definedName name="OSRRefH22_4x_0" localSheetId="39">'Div 2'!$H$44</definedName>
    <definedName name="OSRRefH22_4x_0" localSheetId="47">'Div 3'!$H$191</definedName>
    <definedName name="OSRRefH22_4x_0" localSheetId="74">'Div 4'!$H$56</definedName>
    <definedName name="OSRRefH22_4x_0" localSheetId="97">'Div 5'!$H$41</definedName>
    <definedName name="OSRRefH22_4x_0" localSheetId="65">'Div 6'!$H$77</definedName>
    <definedName name="OSRRefH22_4x_0" localSheetId="2">Summary!$H$225</definedName>
    <definedName name="OSRRefH22_5x_0" localSheetId="41">'201'!$H$40</definedName>
    <definedName name="OSRRefH22_5x_0" localSheetId="42">'202'!$H$40</definedName>
    <definedName name="OSRRefH22_5x_0" localSheetId="43">'203'!$H$42</definedName>
    <definedName name="OSRRefH22_5x_0" localSheetId="44">'204'!$H$44</definedName>
    <definedName name="OSRRefH22_5x_0" localSheetId="45">'205'!$H$38</definedName>
    <definedName name="OSRRefH22_5x_0" localSheetId="46">'206'!$H$42:$H$43</definedName>
    <definedName name="OSRRefH22_5x_0" localSheetId="48">'300'!$H$188:$H$189</definedName>
    <definedName name="OSRRefH22_5x_0" localSheetId="49">'300 &amp; 317'!$H$213:$H$214</definedName>
    <definedName name="OSRRefH22_5x_0" localSheetId="50">'301'!$H$44:$H$45</definedName>
    <definedName name="OSRRefH22_5x_0" localSheetId="51">'306'!$H$42</definedName>
    <definedName name="OSRRefH22_5x_0" localSheetId="54">'307'!$H$95</definedName>
    <definedName name="OSRRefH22_5x_0" localSheetId="56">'308'!$H$87</definedName>
    <definedName name="OSRRefH22_5x_0" localSheetId="68">'309'!$H$45</definedName>
    <definedName name="OSRRefH22_5x_0" localSheetId="67">'310'!$H$54:$H$55</definedName>
    <definedName name="OSRRefH22_5x_0" localSheetId="75">'310 &amp; 491'!$H$64:$H$66</definedName>
    <definedName name="OSRRefH22_5x_0" localSheetId="57">'311'!$H$86</definedName>
    <definedName name="OSRRefH22_5x_0" localSheetId="69">'313'!$H$50</definedName>
    <definedName name="OSRRefH22_5x_0" localSheetId="55">'314'!$H$76</definedName>
    <definedName name="OSRRefH22_5x_0" localSheetId="60">'315'!$H$78:$H$79</definedName>
    <definedName name="OSRRefH22_5x_0" localSheetId="63">'316'!$H$52</definedName>
    <definedName name="OSRRefH22_5x_0" localSheetId="66">'317'!$H$79</definedName>
    <definedName name="OSRRefH22_5x_0" localSheetId="64">'320'!$H$49</definedName>
    <definedName name="OSRRefH22_5x_0" localSheetId="70">'321'!$H$44</definedName>
    <definedName name="OSRRefH22_5x_0" localSheetId="71">'322'!$H$45</definedName>
    <definedName name="OSRRefH22_5x_0" localSheetId="72">'325'!$H$46:$H$47</definedName>
    <definedName name="OSRRefH22_5x_0" localSheetId="61">'326'!$H$81</definedName>
    <definedName name="OSRRefH22_5x_0" localSheetId="53">'330'!$H$103</definedName>
    <definedName name="OSRRefH22_5x_0" localSheetId="59">'331'!$H$96:$H$97</definedName>
    <definedName name="OSRRefH22_5x_0" localSheetId="62">'332'!$H$61</definedName>
    <definedName name="OSRRefH22_5x_0" localSheetId="77">'405'!$H$44:$H$45</definedName>
    <definedName name="OSRRefH22_5x_0" localSheetId="78">'406'!$H$45</definedName>
    <definedName name="OSRRefH22_5x_0" localSheetId="79">'411'!$H$45</definedName>
    <definedName name="OSRRefH22_5x_0" localSheetId="80">'412'!$H$46</definedName>
    <definedName name="OSRRefH22_5x_0" localSheetId="82">'413'!$H$45</definedName>
    <definedName name="OSRRefH22_5x_0" localSheetId="83">'414'!$H$46</definedName>
    <definedName name="OSRRefH22_5x_0" localSheetId="84">'415'!$H$46:$H$47</definedName>
    <definedName name="OSRRefH22_5x_0" localSheetId="85">'418'!$H$46:$H$47</definedName>
    <definedName name="OSRRefH22_5x_0" localSheetId="81">'420'!$H$43</definedName>
    <definedName name="OSRRefH22_5x_0" localSheetId="86">'423'!$H$38</definedName>
    <definedName name="OSRRefH22_5x_0" localSheetId="87">'424'!$H$40</definedName>
    <definedName name="OSRRefH22_5x_0" localSheetId="88">'425'!$H$48</definedName>
    <definedName name="OSRRefH22_5x_0" localSheetId="90">'430'!$H$37</definedName>
    <definedName name="OSRRefH22_5x_0" localSheetId="91">'433'!$H$49</definedName>
    <definedName name="OSRRefH22_5x_0" localSheetId="92">'435'!$H$39</definedName>
    <definedName name="OSRRefH22_5x_0" localSheetId="93">'444'!$H$48</definedName>
    <definedName name="OSRRefH22_5x_0" localSheetId="95">'450'!$H$48</definedName>
    <definedName name="OSRRefH22_5x_0" localSheetId="76">'491'!$H$57:$H$59</definedName>
    <definedName name="OSRRefH22_5x_0" localSheetId="89">'492'!$H$52</definedName>
    <definedName name="OSRRefH22_5x_0" localSheetId="98">'501'!$H$43:$H$44</definedName>
    <definedName name="OSRRefH22_5x_0" localSheetId="39">'Div 2'!$H$46:$H$47</definedName>
    <definedName name="OSRRefH22_5x_0" localSheetId="47">'Div 3'!$H$193:$H$194</definedName>
    <definedName name="OSRRefH22_5x_0" localSheetId="74">'Div 4'!$H$58:$H$60</definedName>
    <definedName name="OSRRefH22_5x_0" localSheetId="97">'Div 5'!$H$43:$H$44</definedName>
    <definedName name="OSRRefH22_5x_0" localSheetId="65">'Div 6'!$H$79</definedName>
    <definedName name="OSRRefH22_5x_0" localSheetId="2">Summary!$H$227:$H$229</definedName>
    <definedName name="OSRRefH22_6x_0" localSheetId="41">'201'!$H$42</definedName>
    <definedName name="OSRRefH22_6x_0" localSheetId="42">'202'!$H$42</definedName>
    <definedName name="OSRRefH22_6x_0" localSheetId="43">'203'!$H$44</definedName>
    <definedName name="OSRRefH22_6x_0" localSheetId="44">'204'!$H$46:$H$49</definedName>
    <definedName name="OSRRefH22_6x_0" localSheetId="45">'205'!$H$40:$H$41</definedName>
    <definedName name="OSRRefH22_6x_0" localSheetId="46">'206'!$H$45</definedName>
    <definedName name="OSRRefH22_6x_0" localSheetId="48">'300'!$H$191:$H$192</definedName>
    <definedName name="OSRRefH22_6x_0" localSheetId="49">'300 &amp; 317'!$H$216:$H$217</definedName>
    <definedName name="OSRRefH22_6x_0" localSheetId="50">'301'!$H$47:$H$48</definedName>
    <definedName name="OSRRefH22_6x_0" localSheetId="51">'306'!$H$44</definedName>
    <definedName name="OSRRefH22_6x_0" localSheetId="54">'307'!$H$97</definedName>
    <definedName name="OSRRefH22_6x_0" localSheetId="56">'308'!$H$89:$H$90</definedName>
    <definedName name="OSRRefH22_6x_0" localSheetId="68">'309'!$H$47</definedName>
    <definedName name="OSRRefH22_6x_0" localSheetId="67">'310'!$H$57</definedName>
    <definedName name="OSRRefH22_6x_0" localSheetId="75">'310 &amp; 491'!$H$68</definedName>
    <definedName name="OSRRefH22_6x_0" localSheetId="57">'311'!$H$88:$H$89</definedName>
    <definedName name="OSRRefH22_6x_0" localSheetId="69">'313'!$H$52</definedName>
    <definedName name="OSRRefH22_6x_0" localSheetId="55">'314'!$H$78</definedName>
    <definedName name="OSRRefH22_6x_0" localSheetId="60">'315'!$H$81</definedName>
    <definedName name="OSRRefH22_6x_0" localSheetId="63">'316'!$H$54</definedName>
    <definedName name="OSRRefH22_6x_0" localSheetId="66">'317'!$H$81</definedName>
    <definedName name="OSRRefH22_6x_0" localSheetId="64">'320'!$H$51</definedName>
    <definedName name="OSRRefH22_6x_0" localSheetId="70">'321'!$H$46:$H$48</definedName>
    <definedName name="OSRRefH22_6x_0" localSheetId="71">'322'!$H$47</definedName>
    <definedName name="OSRRefH22_6x_0" localSheetId="72">'325'!$H$49</definedName>
    <definedName name="OSRRefH22_6x_0" localSheetId="61">'326'!$H$83</definedName>
    <definedName name="OSRRefH22_6x_0" localSheetId="53">'330'!$H$105</definedName>
    <definedName name="OSRRefH22_6x_0" localSheetId="59">'331'!$H$99</definedName>
    <definedName name="OSRRefH22_6x_0" localSheetId="62">'332'!$H$63:$H$64</definedName>
    <definedName name="OSRRefH22_6x_0" localSheetId="77">'405'!$H$47</definedName>
    <definedName name="OSRRefH22_6x_0" localSheetId="78">'406'!$H$47</definedName>
    <definedName name="OSRRefH22_6x_0" localSheetId="79">'411'!$H$47</definedName>
    <definedName name="OSRRefH22_6x_0" localSheetId="80">'412'!$H$48</definedName>
    <definedName name="OSRRefH22_6x_0" localSheetId="82">'413'!$H$47</definedName>
    <definedName name="OSRRefH22_6x_0" localSheetId="83">'414'!$H$48</definedName>
    <definedName name="OSRRefH22_6x_0" localSheetId="84">'415'!$H$49</definedName>
    <definedName name="OSRRefH22_6x_0" localSheetId="85">'418'!$H$49</definedName>
    <definedName name="OSRRefH22_6x_0" localSheetId="87">'424'!$H$42</definedName>
    <definedName name="OSRRefH22_6x_0" localSheetId="88">'425'!$H$50</definedName>
    <definedName name="OSRRefH22_6x_0" localSheetId="90">'430'!$H$39:$H$40</definedName>
    <definedName name="OSRRefH22_6x_0" localSheetId="91">'433'!$H$51</definedName>
    <definedName name="OSRRefH22_6x_0" localSheetId="92">'435'!$H$41</definedName>
    <definedName name="OSRRefH22_6x_0" localSheetId="93">'444'!$H$50</definedName>
    <definedName name="OSRRefH22_6x_0" localSheetId="95">'450'!$H$50</definedName>
    <definedName name="OSRRefH22_6x_0" localSheetId="76">'491'!$H$61</definedName>
    <definedName name="OSRRefH22_6x_0" localSheetId="89">'492'!$H$54</definedName>
    <definedName name="OSRRefH22_6x_0" localSheetId="98">'501'!$H$46</definedName>
    <definedName name="OSRRefH22_6x_0" localSheetId="39">'Div 2'!$H$49</definedName>
    <definedName name="OSRRefH22_6x_0" localSheetId="47">'Div 3'!$H$196:$H$197</definedName>
    <definedName name="OSRRefH22_6x_0" localSheetId="74">'Div 4'!$H$62</definedName>
    <definedName name="OSRRefH22_6x_0" localSheetId="97">'Div 5'!$H$46</definedName>
    <definedName name="OSRRefH22_6x_0" localSheetId="65">'Div 6'!$H$81</definedName>
    <definedName name="OSRRefH22_6x_0" localSheetId="2">Summary!$H$231:$H$232</definedName>
    <definedName name="OSRRefH22_7x_0" localSheetId="41">'201'!$H$44</definedName>
    <definedName name="OSRRefH22_7x_0" localSheetId="42">'202'!$H$44</definedName>
    <definedName name="OSRRefH22_7x_0" localSheetId="43">'203'!$H$46</definedName>
    <definedName name="OSRRefH22_7x_0" localSheetId="44">'204'!$H$51:$H$52</definedName>
    <definedName name="OSRRefH22_7x_0" localSheetId="45">'205'!$H$43</definedName>
    <definedName name="OSRRefH22_7x_0" localSheetId="46">'206'!$H$47</definedName>
    <definedName name="OSRRefH22_7x_0" localSheetId="48">'300'!$H$194</definedName>
    <definedName name="OSRRefH22_7x_0" localSheetId="49">'300 &amp; 317'!$H$219</definedName>
    <definedName name="OSRRefH22_7x_0" localSheetId="50">'301'!$H$50</definedName>
    <definedName name="OSRRefH22_7x_0" localSheetId="51">'306'!$H$46:$H$47</definedName>
    <definedName name="OSRRefH22_7x_0" localSheetId="54">'307'!$H$99</definedName>
    <definedName name="OSRRefH22_7x_0" localSheetId="56">'308'!$H$92</definedName>
    <definedName name="OSRRefH22_7x_0" localSheetId="68">'309'!$H$49</definedName>
    <definedName name="OSRRefH22_7x_0" localSheetId="67">'310'!$H$59</definedName>
    <definedName name="OSRRefH22_7x_0" localSheetId="75">'310 &amp; 491'!$H$70</definedName>
    <definedName name="OSRRefH22_7x_0" localSheetId="57">'311'!$H$91</definedName>
    <definedName name="OSRRefH22_7x_0" localSheetId="69">'313'!$H$54</definedName>
    <definedName name="OSRRefH22_7x_0" localSheetId="55">'314'!$H$80:$H$81</definedName>
    <definedName name="OSRRefH22_7x_0" localSheetId="60">'315'!$H$83</definedName>
    <definedName name="OSRRefH22_7x_0" localSheetId="63">'316'!$H$56</definedName>
    <definedName name="OSRRefH22_7x_0" localSheetId="66">'317'!$H$83</definedName>
    <definedName name="OSRRefH22_7x_0" localSheetId="64">'320'!$H$53:$H$54</definedName>
    <definedName name="OSRRefH22_7x_0" localSheetId="70">'321'!$H$50</definedName>
    <definedName name="OSRRefH22_7x_0" localSheetId="71">'322'!$H$49</definedName>
    <definedName name="OSRRefH22_7x_0" localSheetId="72">'325'!$H$51</definedName>
    <definedName name="OSRRefH22_7x_0" localSheetId="61">'326'!$H$85</definedName>
    <definedName name="OSRRefH22_7x_0" localSheetId="53">'330'!$H$107</definedName>
    <definedName name="OSRRefH22_7x_0" localSheetId="59">'331'!$H$101</definedName>
    <definedName name="OSRRefH22_7x_0" localSheetId="62">'332'!$H$66</definedName>
    <definedName name="OSRRefH22_7x_0" localSheetId="77">'405'!$H$49</definedName>
    <definedName name="OSRRefH22_7x_0" localSheetId="78">'406'!$H$49</definedName>
    <definedName name="OSRRefH22_7x_0" localSheetId="79">'411'!$H$49</definedName>
    <definedName name="OSRRefH22_7x_0" localSheetId="80">'412'!$H$50</definedName>
    <definedName name="OSRRefH22_7x_0" localSheetId="82">'413'!$H$49:$H$51</definedName>
    <definedName name="OSRRefH22_7x_0" localSheetId="83">'414'!$H$50</definedName>
    <definedName name="OSRRefH22_7x_0" localSheetId="84">'415'!$H$51</definedName>
    <definedName name="OSRRefH22_7x_0" localSheetId="85">'418'!$H$51</definedName>
    <definedName name="OSRRefH22_7x_0" localSheetId="87">'424'!$H$44:$H$45</definedName>
    <definedName name="OSRRefH22_7x_0" localSheetId="88">'425'!$H$52</definedName>
    <definedName name="OSRRefH22_7x_0" localSheetId="90">'430'!$H$42</definedName>
    <definedName name="OSRRefH22_7x_0" localSheetId="91">'433'!$H$53</definedName>
    <definedName name="OSRRefH22_7x_0" localSheetId="92">'435'!$H$43:$H$46</definedName>
    <definedName name="OSRRefH22_7x_0" localSheetId="93">'444'!$H$52</definedName>
    <definedName name="OSRRefH22_7x_0" localSheetId="95">'450'!$H$52</definedName>
    <definedName name="OSRRefH22_7x_0" localSheetId="76">'491'!$H$63</definedName>
    <definedName name="OSRRefH22_7x_0" localSheetId="89">'492'!$H$56</definedName>
    <definedName name="OSRRefH22_7x_0" localSheetId="98">'501'!$H$48</definedName>
    <definedName name="OSRRefH22_7x_0" localSheetId="39">'Div 2'!$H$51</definedName>
    <definedName name="OSRRefH22_7x_0" localSheetId="47">'Div 3'!$H$199</definedName>
    <definedName name="OSRRefH22_7x_0" localSheetId="74">'Div 4'!$H$64</definedName>
    <definedName name="OSRRefH22_7x_0" localSheetId="97">'Div 5'!$H$48</definedName>
    <definedName name="OSRRefH22_7x_0" localSheetId="65">'Div 6'!$H$83</definedName>
    <definedName name="OSRRefH22_7x_0" localSheetId="2">Summary!$H$234</definedName>
    <definedName name="OSRRefH22_8x_0" localSheetId="41">'201'!$H$46</definedName>
    <definedName name="OSRRefH22_8x_0" localSheetId="42">'202'!$H$46</definedName>
    <definedName name="OSRRefH22_8x_0" localSheetId="43">'203'!$H$48</definedName>
    <definedName name="OSRRefH22_8x_0" localSheetId="44">'204'!$H$54:$H$55</definedName>
    <definedName name="OSRRefH22_8x_0" localSheetId="45">'205'!$H$45</definedName>
    <definedName name="OSRRefH22_8x_0" localSheetId="48">'300'!$H$196</definedName>
    <definedName name="OSRRefH22_8x_0" localSheetId="49">'300 &amp; 317'!$H$221</definedName>
    <definedName name="OSRRefH22_8x_0" localSheetId="50">'301'!$H$52</definedName>
    <definedName name="OSRRefH22_8x_0" localSheetId="51">'306'!$H$49:$H$53</definedName>
    <definedName name="OSRRefH22_8x_0" localSheetId="54">'307'!$H$101</definedName>
    <definedName name="OSRRefH22_8x_0" localSheetId="56">'308'!$H$94</definedName>
    <definedName name="OSRRefH22_8x_0" localSheetId="68">'309'!$H$51</definedName>
    <definedName name="OSRRefH22_8x_0" localSheetId="67">'310'!$H$61</definedName>
    <definedName name="OSRRefH22_8x_0" localSheetId="75">'310 &amp; 491'!$H$72</definedName>
    <definedName name="OSRRefH22_8x_0" localSheetId="57">'311'!$H$93</definedName>
    <definedName name="OSRRefH22_8x_0" localSheetId="69">'313'!$H$56</definedName>
    <definedName name="OSRRefH22_8x_0" localSheetId="55">'314'!$H$83</definedName>
    <definedName name="OSRRefH22_8x_0" localSheetId="60">'315'!$H$85:$H$86</definedName>
    <definedName name="OSRRefH22_8x_0" localSheetId="63">'316'!$H$58:$H$59</definedName>
    <definedName name="OSRRefH22_8x_0" localSheetId="66">'317'!$H$85</definedName>
    <definedName name="OSRRefH22_8x_0" localSheetId="64">'320'!$H$56</definedName>
    <definedName name="OSRRefH22_8x_0" localSheetId="70">'321'!$H$52:$H$54</definedName>
    <definedName name="OSRRefH22_8x_0" localSheetId="71">'322'!$H$51</definedName>
    <definedName name="OSRRefH22_8x_0" localSheetId="72">'325'!$H$53</definedName>
    <definedName name="OSRRefH22_8x_0" localSheetId="61">'326'!$H$87</definedName>
    <definedName name="OSRRefH22_8x_0" localSheetId="53">'330'!$H$109</definedName>
    <definedName name="OSRRefH22_8x_0" localSheetId="59">'331'!$H$103:$H$104</definedName>
    <definedName name="OSRRefH22_8x_0" localSheetId="62">'332'!$H$68</definedName>
    <definedName name="OSRRefH22_8x_0" localSheetId="77">'405'!$H$51</definedName>
    <definedName name="OSRRefH22_8x_0" localSheetId="78">'406'!$H$51</definedName>
    <definedName name="OSRRefH22_8x_0" localSheetId="79">'411'!$H$51</definedName>
    <definedName name="OSRRefH22_8x_0" localSheetId="80">'412'!$H$52</definedName>
    <definedName name="OSRRefH22_8x_0" localSheetId="82">'413'!$H$53:$H$54</definedName>
    <definedName name="OSRRefH22_8x_0" localSheetId="83">'414'!$H$52</definedName>
    <definedName name="OSRRefH22_8x_0" localSheetId="84">'415'!$H$53</definedName>
    <definedName name="OSRRefH22_8x_0" localSheetId="85">'418'!$H$53</definedName>
    <definedName name="OSRRefH22_8x_0" localSheetId="87">'424'!$H$47</definedName>
    <definedName name="OSRRefH22_8x_0" localSheetId="88">'425'!$H$54</definedName>
    <definedName name="OSRRefH22_8x_0" localSheetId="90">'430'!$H$44</definedName>
    <definedName name="OSRRefH22_8x_0" localSheetId="91">'433'!$H$55</definedName>
    <definedName name="OSRRefH22_8x_0" localSheetId="92">'435'!$H$48</definedName>
    <definedName name="OSRRefH22_8x_0" localSheetId="93">'444'!$H$54</definedName>
    <definedName name="OSRRefH22_8x_0" localSheetId="95">'450'!$H$54</definedName>
    <definedName name="OSRRefH22_8x_0" localSheetId="76">'491'!$H$65</definedName>
    <definedName name="OSRRefH22_8x_0" localSheetId="89">'492'!$H$58</definedName>
    <definedName name="OSRRefH22_8x_0" localSheetId="98">'501'!$H$50</definedName>
    <definedName name="OSRRefH22_8x_0" localSheetId="39">'Div 2'!$H$53</definedName>
    <definedName name="OSRRefH22_8x_0" localSheetId="47">'Div 3'!$H$201</definedName>
    <definedName name="OSRRefH22_8x_0" localSheetId="74">'Div 4'!$H$66</definedName>
    <definedName name="OSRRefH22_8x_0" localSheetId="97">'Div 5'!$H$50</definedName>
    <definedName name="OSRRefH22_8x_0" localSheetId="65">'Div 6'!$H$85</definedName>
    <definedName name="OSRRefH22_8x_0" localSheetId="2">Summary!$H$236</definedName>
    <definedName name="OSRRefH22_9x_0" localSheetId="41">'201'!$H$48</definedName>
    <definedName name="OSRRefH22_9x_0" localSheetId="42">'202'!$H$48</definedName>
    <definedName name="OSRRefH22_9x_0" localSheetId="43">'203'!$H$50:$H$52</definedName>
    <definedName name="OSRRefH22_9x_0" localSheetId="44">'204'!$H$57</definedName>
    <definedName name="OSRRefH22_9x_0" localSheetId="48">'300'!$H$198</definedName>
    <definedName name="OSRRefH22_9x_0" localSheetId="49">'300 &amp; 317'!$H$223</definedName>
    <definedName name="OSRRefH22_9x_0" localSheetId="50">'301'!$H$54</definedName>
    <definedName name="OSRRefH22_9x_0" localSheetId="51">'306'!$H$55</definedName>
    <definedName name="OSRRefH22_9x_0" localSheetId="54">'307'!$H$103:$H$104</definedName>
    <definedName name="OSRRefH22_9x_0" localSheetId="56">'308'!$H$96:$H$97</definedName>
    <definedName name="OSRRefH22_9x_0" localSheetId="68">'309'!$H$53:$H$54</definedName>
    <definedName name="OSRRefH22_9x_0" localSheetId="67">'310'!$H$63</definedName>
    <definedName name="OSRRefH22_9x_0" localSheetId="75">'310 &amp; 491'!$H$74</definedName>
    <definedName name="OSRRefH22_9x_0" localSheetId="57">'311'!$H$95:$H$96</definedName>
    <definedName name="OSRRefH22_9x_0" localSheetId="69">'313'!$H$58:$H$60</definedName>
    <definedName name="OSRRefH22_9x_0" localSheetId="55">'314'!$H$85</definedName>
    <definedName name="OSRRefH22_9x_0" localSheetId="60">'315'!$H$88:$H$89</definedName>
    <definedName name="OSRRefH22_9x_0" localSheetId="63">'316'!$H$61</definedName>
    <definedName name="OSRRefH22_9x_0" localSheetId="66">'317'!$H$87</definedName>
    <definedName name="OSRRefH22_9x_0" localSheetId="70">'321'!$H$56:$H$60</definedName>
    <definedName name="OSRRefH22_9x_0" localSheetId="71">'322'!$H$53:$H$54</definedName>
    <definedName name="OSRRefH22_9x_0" localSheetId="72">'325'!$H$55</definedName>
    <definedName name="OSRRefH22_9x_0" localSheetId="61">'326'!$H$89</definedName>
    <definedName name="OSRRefH22_9x_0" localSheetId="53">'330'!$H$111</definedName>
    <definedName name="OSRRefH22_9x_0" localSheetId="59">'331'!$H$106</definedName>
    <definedName name="OSRRefH22_9x_0" localSheetId="62">'332'!$H$70:$H$71</definedName>
    <definedName name="OSRRefH22_9x_0" localSheetId="77">'405'!$H$53</definedName>
    <definedName name="OSRRefH22_9x_0" localSheetId="78">'406'!$H$53:$H$55</definedName>
    <definedName name="OSRRefH22_9x_0" localSheetId="79">'411'!$H$53</definedName>
    <definedName name="OSRRefH22_9x_0" localSheetId="80">'412'!$H$54:$H$55</definedName>
    <definedName name="OSRRefH22_9x_0" localSheetId="82">'413'!$H$56:$H$60</definedName>
    <definedName name="OSRRefH22_9x_0" localSheetId="83">'414'!$H$54:$H$55</definedName>
    <definedName name="OSRRefH22_9x_0" localSheetId="84">'415'!$H$55</definedName>
    <definedName name="OSRRefH22_9x_0" localSheetId="85">'418'!$H$55:$H$56</definedName>
    <definedName name="OSRRefH22_9x_0" localSheetId="87">'424'!$H$49</definedName>
    <definedName name="OSRRefH22_9x_0" localSheetId="88">'425'!$H$56:$H$58</definedName>
    <definedName name="OSRRefH22_9x_0" localSheetId="90">'430'!$H$46</definedName>
    <definedName name="OSRRefH22_9x_0" localSheetId="91">'433'!$H$57</definedName>
    <definedName name="OSRRefH22_9x_0" localSheetId="93">'444'!$H$56</definedName>
    <definedName name="OSRRefH22_9x_0" localSheetId="95">'450'!$H$56</definedName>
    <definedName name="OSRRefH22_9x_0" localSheetId="76">'491'!$H$67</definedName>
    <definedName name="OSRRefH22_9x_0" localSheetId="89">'492'!$H$60</definedName>
    <definedName name="OSRRefH22_9x_0" localSheetId="98">'501'!$H$52</definedName>
    <definedName name="OSRRefH22_9x_0" localSheetId="39">'Div 2'!$H$55</definedName>
    <definedName name="OSRRefH22_9x_0" localSheetId="47">'Div 3'!$H$203</definedName>
    <definedName name="OSRRefH22_9x_0" localSheetId="74">'Div 4'!$H$68</definedName>
    <definedName name="OSRRefH22_9x_0" localSheetId="97">'Div 5'!$H$52</definedName>
    <definedName name="OSRRefH22_9x_0" localSheetId="65">'Div 6'!$H$87</definedName>
    <definedName name="OSRRefH22_9x_0" localSheetId="2">Summary!$H$238</definedName>
    <definedName name="OSRRefH22x_0" localSheetId="40">'200'!$H$20,'200'!$H$22,'200'!$H$24,'200'!$H$26,'200'!$H$28:$H$29</definedName>
    <definedName name="OSRRefH22x_0" localSheetId="41">'201'!$H$20:$H$28,'201'!$H$30:$H$32,'201'!$H$34,'201'!$H$36,'201'!$H$38,'201'!$H$40,'201'!$H$42,'201'!$H$44,'201'!$H$46,'201'!$H$48,'201'!$H$50:$H$52,'201'!$H$54:$H$56,'201'!$H$58,'201'!$H$60:$H$62,'201'!$H$64,'201'!$H$66,'201'!$H$68:$H$69</definedName>
    <definedName name="OSRRefH22x_0" localSheetId="42">'202'!$H$20:$H$27,'202'!$H$29:$H$32,'202'!$H$34,'202'!$H$36,'202'!$H$38,'202'!$H$40,'202'!$H$42,'202'!$H$44,'202'!$H$46,'202'!$H$48,'202'!$H$50:$H$52,'202'!$H$54,'202'!$H$56,'202'!$H$58:$H$60,'202'!$H$62,'202'!$H$64</definedName>
    <definedName name="OSRRefH22x_0" localSheetId="43">'203'!$H$20:$H$29,'203'!$H$31:$H$34,'203'!$H$36,'203'!$H$38,'203'!$H$40,'203'!$H$42,'203'!$H$44,'203'!$H$46,'203'!$H$48,'203'!$H$50:$H$52,'203'!$H$54:$H$55,'203'!$H$57,'203'!$H$59:$H$61,'203'!$H$63,'203'!$H$65,'203'!$H$67</definedName>
    <definedName name="OSRRefH22x_0" localSheetId="44">'204'!$H$20:$H$29,'204'!$H$31:$H$35,'204'!$H$37,'204'!$H$39:$H$40,'204'!$H$42,'204'!$H$44,'204'!$H$46:$H$49,'204'!$H$51:$H$52,'204'!$H$54:$H$55,'204'!$H$57,'204'!$H$59:$H$60</definedName>
    <definedName name="OSRRefH22x_0" localSheetId="45">'205'!$H$20:$H$27,'205'!$H$29,'205'!$H$31,'205'!$H$33,'205'!$H$35:$H$36,'205'!$H$38,'205'!$H$40:$H$41,'205'!$H$43,'205'!$H$45</definedName>
    <definedName name="OSRRefH22x_0" localSheetId="46">'206'!$H$20:$H$27,'206'!$H$29:$H$34,'206'!$H$36,'206'!$H$38,'206'!$H$40,'206'!$H$42:$H$43,'206'!$H$45,'206'!$H$47</definedName>
    <definedName name="OSRRefH22x_0" localSheetId="48">'300'!$H$163:$H$171,'300'!$H$173:$H$179,'300'!$H$181,'300'!$H$183:$H$184,'300'!$H$186,'300'!$H$188:$H$189,'300'!$H$191:$H$192,'300'!$H$194,'300'!$H$196,'300'!$H$198,'300'!$H$200:$H$201,'300'!$H$203,'300'!$H$205,'300'!$H$207,'300'!$H$209,'300'!$H$211,'300'!$H$213:$H$215,'300'!$H$217:$H$219,'300'!$H$221:$H$224,'300'!$H$226:$H$227,'300'!$H$229:$H$235,'300'!$H$237:$H$238,'300'!$H$240,'300'!$H$242:$H$244,'300'!$H$246</definedName>
    <definedName name="OSRRefH22x_0" localSheetId="49">'300 &amp; 317'!$H$188:$H$196,'300 &amp; 317'!$H$198:$H$204,'300 &amp; 317'!$H$206,'300 &amp; 317'!$H$208:$H$209,'300 &amp; 317'!$H$211,'300 &amp; 317'!$H$213:$H$214,'300 &amp; 317'!$H$216:$H$217,'300 &amp; 317'!$H$219,'300 &amp; 317'!$H$221,'300 &amp; 317'!$H$223,'300 &amp; 317'!$H$225:$H$226,'300 &amp; 317'!$H$228,'300 &amp; 317'!$H$230,'300 &amp; 317'!$H$232,'300 &amp; 317'!$H$234,'300 &amp; 317'!$H$236,'300 &amp; 317'!$H$238:$H$240,'300 &amp; 317'!$H$242:$H$244,'300 &amp; 317'!$H$246:$H$249,'300 &amp; 317'!$H$251:$H$252,'300 &amp; 317'!$H$254:$H$260,'300 &amp; 317'!$H$262:$H$263,'300 &amp; 317'!$H$265,'300 &amp; 317'!$H$267:$H$269,'300 &amp; 317'!$H$271</definedName>
    <definedName name="OSRRefH22x_0" localSheetId="50">'301'!$H$20:$H$27,'301'!$H$29:$H$35,'301'!$H$37,'301'!$H$39:$H$40,'301'!$H$42,'301'!$H$44:$H$45,'301'!$H$47:$H$48,'301'!$H$50,'301'!$H$52,'301'!$H$54,'301'!$H$56,'301'!$H$58,'301'!$H$60,'301'!$H$62,'301'!$H$64:$H$66,'301'!$H$68:$H$70,'301'!$H$72,'301'!$H$74:$H$78,'301'!$H$80,'301'!$H$82,'301'!$H$84:$H$86,'301'!$H$88</definedName>
    <definedName name="OSRRefH22x_0" localSheetId="51">'306'!$H$20:$H$28,'306'!$H$30:$H$34,'306'!$H$36,'306'!$H$38,'306'!$H$40,'306'!$H$42,'306'!$H$44,'306'!$H$46:$H$47,'306'!$H$49:$H$53,'306'!$H$55,'306'!$H$57</definedName>
    <definedName name="OSRRefH22x_0" localSheetId="54">'307'!$H$74:$H$81,'307'!$H$83:$H$86,'307'!$H$88,'307'!$H$90,'307'!$H$92:$H$93,'307'!$H$95,'307'!$H$97,'307'!$H$99,'307'!$H$101,'307'!$H$103:$H$104,'307'!$H$106:$H$107,'307'!$H$109:$H$110,'307'!$H$112,'307'!$H$114</definedName>
    <definedName name="OSRRefH22x_0" localSheetId="56">'308'!$H$64:$H$72,'308'!$H$74:$H$78,'308'!$H$80,'308'!$H$82:$H$83,'308'!$H$85,'308'!$H$87,'308'!$H$89:$H$90,'308'!$H$92,'308'!$H$94,'308'!$H$96:$H$97,'308'!$H$99,'308'!$H$101:$H$104,'308'!$H$106:$H$107,'308'!$H$109,'308'!$H$111</definedName>
    <definedName name="OSRRefH22x_0" localSheetId="68">'309'!$H$24:$H$31,'309'!$H$33:$H$37,'309'!$H$39,'309'!$H$41,'309'!$H$43,'309'!$H$45,'309'!$H$47,'309'!$H$49,'309'!$H$51,'309'!$H$53:$H$54,'309'!$H$56:$H$58,'309'!$H$60,'309'!$H$62:$H$67,'309'!$H$69</definedName>
    <definedName name="OSRRefH22x_0" localSheetId="67">'310'!$H$32:$H$39,'310'!$H$41:$H$46,'310'!$H$48,'310'!$H$50,'310'!$H$52,'310'!$H$54:$H$55,'310'!$H$57,'310'!$H$59,'310'!$H$61,'310'!$H$63,'310'!$H$65,'310'!$H$67,'310'!$H$69,'310'!$H$71,'310'!$H$73:$H$75,'310'!$H$77,'310'!$H$79:$H$82,'310'!$H$84:$H$85,'310'!$H$87:$H$93,'310'!$H$95,'310'!$H$97,'310'!$H$99</definedName>
    <definedName name="OSRRefH22x_0" localSheetId="75">'310 &amp; 491'!$H$40:$H$48,'310 &amp; 491'!$H$50:$H$56,'310 &amp; 491'!$H$58,'310 &amp; 491'!$H$60,'310 &amp; 491'!$H$62,'310 &amp; 491'!$H$64:$H$66,'310 &amp; 491'!$H$68,'310 &amp; 491'!$H$70,'310 &amp; 491'!$H$72,'310 &amp; 491'!$H$74,'310 &amp; 491'!$H$76:$H$77,'310 &amp; 491'!$H$79:$H$80,'310 &amp; 491'!$H$82,'310 &amp; 491'!$H$84,'310 &amp; 491'!$H$86,'310 &amp; 491'!$H$88,'310 &amp; 491'!$H$90:$H$92,'310 &amp; 491'!$H$94:$H$95,'310 &amp; 491'!$H$97:$H$101,'310 &amp; 491'!$H$103:$H$104,'310 &amp; 491'!$H$106:$H$113,'310 &amp; 491'!$H$115,'310 &amp; 491'!$H$117,'310 &amp; 491'!$H$119:$H$121,'310 &amp; 491'!$H$123</definedName>
    <definedName name="OSRRefH22x_0" localSheetId="57">'311'!$H$63:$H$71,'311'!$H$73:$H$77,'311'!$H$79,'311'!$H$81:$H$82,'311'!$H$84,'311'!$H$86,'311'!$H$88:$H$89,'311'!$H$91,'311'!$H$93,'311'!$H$95:$H$96,'311'!$H$98,'311'!$H$100:$H$103,'311'!$H$105:$H$106,'311'!$H$108,'311'!$H$110</definedName>
    <definedName name="OSRRefH22x_0" localSheetId="69">'313'!$H$29:$H$36,'313'!$H$38:$H$42,'313'!$H$44,'313'!$H$46,'313'!$H$48,'313'!$H$50,'313'!$H$52,'313'!$H$54,'313'!$H$56,'313'!$H$58:$H$60,'313'!$H$62,'313'!$H$64:$H$65,'313'!$H$67:$H$72,'313'!$H$74,'313'!$H$76</definedName>
    <definedName name="OSRRefH22x_0" localSheetId="55">'314'!$H$56:$H$62,'314'!$H$64:$H$67,'314'!$H$69,'314'!$H$71:$H$72,'314'!$H$74,'314'!$H$76,'314'!$H$78,'314'!$H$80:$H$81,'314'!$H$83,'314'!$H$85</definedName>
    <definedName name="OSRRefH22x_0" localSheetId="60">'315'!$H$55:$H$62,'315'!$H$64:$H$69,'315'!$H$71,'315'!$H$73:$H$74,'315'!$H$76,'315'!$H$78:$H$79,'315'!$H$81,'315'!$H$83,'315'!$H$85:$H$86,'315'!$H$88:$H$89,'315'!$H$91:$H$92,'315'!$H$94:$H$98,'315'!$H$100,'315'!$H$102,'315'!$H$104:$H$105</definedName>
    <definedName name="OSRRefH22x_0" localSheetId="63">'316'!$H$32:$H$39,'316'!$H$41:$H$44,'316'!$H$46,'316'!$H$48,'316'!$H$50,'316'!$H$52,'316'!$H$54,'316'!$H$56,'316'!$H$58:$H$59,'316'!$H$61,'316'!$H$63:$H$67,'316'!$H$69,'316'!$H$71</definedName>
    <definedName name="OSRRefH22x_0" localSheetId="66">'317'!$H$58:$H$66,'317'!$H$68:$H$71,'317'!$H$73,'317'!$H$75,'317'!$H$77,'317'!$H$79,'317'!$H$81,'317'!$H$83,'317'!$H$85,'317'!$H$87,'317'!$H$89,'317'!$H$91:$H$92,'317'!$H$94,'317'!$H$96,'317'!$H$98</definedName>
    <definedName name="OSRRefH22x_0" localSheetId="64">'320'!$H$29:$H$36,'320'!$H$38:$H$40,'320'!$H$42,'320'!$H$44,'320'!$H$46:$H$47,'320'!$H$49,'320'!$H$51,'320'!$H$53:$H$54,'320'!$H$56</definedName>
    <definedName name="OSRRefH22x_0" localSheetId="70">'321'!$H$24:$H$30,'321'!$H$32:$H$36,'321'!$H$38,'321'!$H$40,'321'!$H$42,'321'!$H$44,'321'!$H$46:$H$48,'321'!$H$50,'321'!$H$52:$H$54,'321'!$H$56:$H$60,'321'!$H$62,'321'!$H$64,'321'!$H$66</definedName>
    <definedName name="OSRRefH22x_0" localSheetId="71">'322'!$H$24:$H$31,'322'!$H$33:$H$37,'322'!$H$39,'322'!$H$41,'322'!$H$43,'322'!$H$45,'322'!$H$47,'322'!$H$49,'322'!$H$51,'322'!$H$53:$H$54,'322'!$H$56:$H$58,'322'!$H$60,'322'!$H$62:$H$67,'322'!$H$69,'322'!$H$71</definedName>
    <definedName name="OSRRefH22x_0" localSheetId="58">'324'!$H$25</definedName>
    <definedName name="OSRRefH22x_0" localSheetId="72">'325'!$H$24:$H$31,'325'!$H$33:$H$38,'325'!$H$40,'325'!$H$42,'325'!$H$44,'325'!$H$46:$H$47,'325'!$H$49,'325'!$H$51,'325'!$H$53,'325'!$H$55,'325'!$H$57,'325'!$H$59:$H$61,'325'!$H$63:$H$66,'325'!$H$68,'325'!$H$70:$H$75,'325'!$H$77,'325'!$H$79,'325'!$H$81</definedName>
    <definedName name="OSRRefH22x_0" localSheetId="61">'326'!$H$61:$H$68,'326'!$H$70:$H$73,'326'!$H$75,'326'!$H$77,'326'!$H$79,'326'!$H$81,'326'!$H$83,'326'!$H$85,'326'!$H$87,'326'!$H$89,'326'!$H$91,'326'!$H$93,'326'!$H$95,'326'!$H$97:$H$98,'326'!$H$100:$H$102,'326'!$H$104,'326'!$H$106:$H$110,'326'!$H$112,'326'!$H$114,'326'!$H$116</definedName>
    <definedName name="OSRRefH22x_0" localSheetId="73">'327'!$H$22,'327'!$H$24,'327'!$H$26</definedName>
    <definedName name="OSRRefH22x_0" localSheetId="53">'330'!$H$81:$H$88,'330'!$H$90:$H$94,'330'!$H$96,'330'!$H$98,'330'!$H$100:$H$101,'330'!$H$103,'330'!$H$105,'330'!$H$107,'330'!$H$109,'330'!$H$111,'330'!$H$113,'330'!$H$115:$H$116,'330'!$H$118:$H$119,'330'!$H$121,'330'!$H$123:$H$125,'330'!$H$127,'330'!$H$129,'330'!$H$131</definedName>
    <definedName name="OSRRefH22x_0" localSheetId="59">'331'!$H$74:$H$81,'331'!$H$83:$H$88,'331'!$H$90,'331'!$H$92,'331'!$H$94,'331'!$H$96:$H$97,'331'!$H$99,'331'!$H$101,'331'!$H$103:$H$104,'331'!$H$106,'331'!$H$108,'331'!$H$110,'331'!$H$112,'331'!$H$114,'331'!$H$116:$H$118,'331'!$H$120:$H$121,'331'!$H$123:$H$125,'331'!$H$127:$H$128,'331'!$H$130:$H$135,'331'!$H$137,'331'!$H$139,'331'!$H$141:$H$142,'331'!$H$144</definedName>
    <definedName name="OSRRefH22x_0" localSheetId="62">'332'!$H$41:$H$48,'332'!$H$50:$H$53,'332'!$H$55,'332'!$H$57,'332'!$H$59,'332'!$H$61,'332'!$H$63:$H$64,'332'!$H$66,'332'!$H$68,'332'!$H$70:$H$71,'332'!$H$73,'332'!$H$75:$H$79,'332'!$H$81,'332'!$H$83</definedName>
    <definedName name="OSRRefH22x_0" localSheetId="52">'335'!$H$20</definedName>
    <definedName name="OSRRefH22x_0" localSheetId="77">'405'!$H$24:$H$31,'405'!$H$33:$H$36,'405'!$H$38,'405'!$H$40,'405'!$H$42,'405'!$H$44:$H$45,'405'!$H$47,'405'!$H$49,'405'!$H$51,'405'!$H$53,'405'!$H$55:$H$56,'405'!$H$58,'405'!$H$60:$H$62,'405'!$H$64:$H$65,'405'!$H$67:$H$73,'405'!$H$75,'405'!$H$77,'405'!$H$79</definedName>
    <definedName name="OSRRefH22x_0" localSheetId="78">'406'!$H$24:$H$31,'406'!$H$33:$H$37,'406'!$H$39,'406'!$H$41,'406'!$H$43,'406'!$H$45,'406'!$H$47,'406'!$H$49,'406'!$H$51,'406'!$H$53:$H$55,'406'!$H$57:$H$58,'406'!$H$60:$H$65,'406'!$H$67,'406'!$H$69</definedName>
    <definedName name="OSRRefH22x_0" localSheetId="79">'411'!$H$20:$H$28,'411'!$H$30:$H$35,'411'!$H$37,'411'!$H$39:$H$41,'411'!$H$43,'411'!$H$45,'411'!$H$47,'411'!$H$49,'411'!$H$51,'411'!$H$53,'411'!$H$55,'411'!$H$57:$H$59,'411'!$H$61:$H$65,'411'!$H$67,'411'!$H$69:$H$75,'411'!$H$77,'411'!$H$79,'411'!$H$81:$H$83,'411'!$H$85</definedName>
    <definedName name="OSRRefH22x_0" localSheetId="80">'412'!$H$24:$H$31,'412'!$H$33:$H$38,'412'!$H$40,'412'!$H$42,'412'!$H$44,'412'!$H$46,'412'!$H$48,'412'!$H$50,'412'!$H$52,'412'!$H$54:$H$55,'412'!$H$57,'412'!$H$59:$H$61,'412'!$H$63:$H$69,'412'!$H$71,'412'!$H$73</definedName>
    <definedName name="OSRRefH22x_0" localSheetId="82">'413'!$H$24:$H$31,'413'!$H$33:$H$37,'413'!$H$39,'413'!$H$41,'413'!$H$43,'413'!$H$45,'413'!$H$47,'413'!$H$49:$H$51,'413'!$H$53:$H$54,'413'!$H$56:$H$60,'413'!$H$62</definedName>
    <definedName name="OSRRefH22x_0" localSheetId="83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4">'415'!$H$24:$H$31,'415'!$H$33:$H$38,'415'!$H$40,'415'!$H$42,'415'!$H$44,'415'!$H$46:$H$47,'415'!$H$49,'415'!$H$51,'415'!$H$53,'415'!$H$55,'415'!$H$57,'415'!$H$59:$H$61,'415'!$H$63:$H$67,'415'!$H$69:$H$70,'415'!$H$72:$H$78,'415'!$H$80,'415'!$H$82,'415'!$H$84</definedName>
    <definedName name="OSRRefH22x_0" localSheetId="85">'418'!$H$24:$H$31,'418'!$H$33:$H$38,'418'!$H$40,'418'!$H$42,'418'!$H$44,'418'!$H$46:$H$47,'418'!$H$49,'418'!$H$51,'418'!$H$53,'418'!$H$55:$H$56,'418'!$H$58:$H$60,'418'!$H$62:$H$64,'418'!$H$66:$H$67,'418'!$H$69:$H$75,'418'!$H$77,'418'!$H$79</definedName>
    <definedName name="OSRRefH22x_0" localSheetId="81">'420'!$H$23:$H$29,'420'!$H$31:$H$34,'420'!$H$36,'420'!$H$38,'420'!$H$40:$H$41,'420'!$H$43</definedName>
    <definedName name="OSRRefH22x_0" localSheetId="86">'423'!$H$21:$H$28,'423'!$H$30,'423'!$H$32,'423'!$H$34,'423'!$H$36,'423'!$H$38</definedName>
    <definedName name="OSRRefH22x_0" localSheetId="87">'424'!$H$24:$H$26,'424'!$H$28:$H$32,'424'!$H$34,'424'!$H$36,'424'!$H$38,'424'!$H$40,'424'!$H$42,'424'!$H$44:$H$45,'424'!$H$47,'424'!$H$49,'424'!$H$51:$H$55,'424'!$H$57</definedName>
    <definedName name="OSRRefH22x_0" localSheetId="88">'425'!$H$27:$H$34,'425'!$H$36:$H$40,'425'!$H$42,'425'!$H$44,'425'!$H$46,'425'!$H$48,'425'!$H$50,'425'!$H$52,'425'!$H$54,'425'!$H$56:$H$58,'425'!$H$60,'425'!$H$62:$H$63,'425'!$H$65:$H$71,'425'!$H$73,'425'!$H$75,'425'!$H$77</definedName>
    <definedName name="OSRRefH22x_0" localSheetId="90">'430'!$H$20:$H$27,'430'!$H$29,'430'!$H$31,'430'!$H$33,'430'!$H$35,'430'!$H$37,'430'!$H$39:$H$40,'430'!$H$42,'430'!$H$44,'430'!$H$46</definedName>
    <definedName name="OSRRefH22x_0" localSheetId="91">'433'!$H$26:$H$34,'433'!$H$36:$H$41,'433'!$H$43,'433'!$H$45,'433'!$H$47,'433'!$H$49,'433'!$H$51,'433'!$H$53,'433'!$H$55,'433'!$H$57,'433'!$H$59:$H$61,'433'!$H$63:$H$65,'433'!$H$67:$H$73,'433'!$H$75,'433'!$H$77,'433'!$H$79:$H$80</definedName>
    <definedName name="OSRRefH22x_0" localSheetId="92">'435'!$H$25:$H$27,'435'!$H$29:$H$31,'435'!$H$33,'435'!$H$35,'435'!$H$37,'435'!$H$39,'435'!$H$41,'435'!$H$43:$H$46,'435'!$H$48</definedName>
    <definedName name="OSRRefH22x_0" localSheetId="93">'444'!$H$25:$H$33,'444'!$H$35:$H$40,'444'!$H$42,'444'!$H$44,'444'!$H$46,'444'!$H$48,'444'!$H$50,'444'!$H$52,'444'!$H$54,'444'!$H$56,'444'!$H$58,'444'!$H$60:$H$62,'444'!$H$64:$H$66,'444'!$H$68:$H$75,'444'!$H$77,'444'!$H$79,'444'!$H$81</definedName>
    <definedName name="OSRRefH22x_0" localSheetId="94">'445'!$H$20</definedName>
    <definedName name="OSRRefH22x_0" localSheetId="95">'450'!$H$25:$H$33,'450'!$H$35:$H$40,'450'!$H$42,'450'!$H$44,'450'!$H$46,'450'!$H$48,'450'!$H$50,'450'!$H$52,'450'!$H$54,'450'!$H$56,'450'!$H$58,'450'!$H$60:$H$62,'450'!$H$64:$H$66,'450'!$H$68:$H$74,'450'!$H$76,'450'!$H$78,'450'!$H$80:$H$81</definedName>
    <definedName name="OSRRefH22x_0" localSheetId="96">'455'!$H$20:$H$26,'455'!$H$28:$H$29,'455'!$H$31</definedName>
    <definedName name="OSRRefH22x_0" localSheetId="76">'491'!$H$33:$H$41,'491'!$H$43:$H$49,'491'!$H$51,'491'!$H$53,'491'!$H$55,'491'!$H$57:$H$59,'491'!$H$61,'491'!$H$63,'491'!$H$65,'491'!$H$67,'491'!$H$69:$H$70,'491'!$H$72,'491'!$H$74,'491'!$H$76,'491'!$H$78,'491'!$H$80:$H$82,'491'!$H$84:$H$85,'491'!$H$87:$H$91,'491'!$H$93:$H$94,'491'!$H$96:$H$103,'491'!$H$105,'491'!$H$107,'491'!$H$109:$H$111,'491'!$H$113</definedName>
    <definedName name="OSRRefH22x_0" localSheetId="89">'492'!$H$28:$H$36,'492'!$H$38:$H$44,'492'!$H$46,'492'!$H$48,'492'!$H$50,'492'!$H$52,'492'!$H$54,'492'!$H$56,'492'!$H$58,'492'!$H$60,'492'!$H$62,'492'!$H$64,'492'!$H$66:$H$68,'492'!$H$70:$H$72,'492'!$H$74:$H$81,'492'!$H$83,'492'!$H$85,'492'!$H$87:$H$88</definedName>
    <definedName name="OSRRefH22x_0" localSheetId="98">'501'!$H$21:$H$28,'501'!$H$30:$H$35,'501'!$H$37,'501'!$H$39,'501'!$H$41,'501'!$H$43:$H$44,'501'!$H$46,'501'!$H$48,'501'!$H$50,'501'!$H$52,'501'!$H$54:$H$55,'501'!$H$57:$H$60,'501'!$H$62,'501'!$H$64</definedName>
    <definedName name="OSRRefH22x_0" localSheetId="39">'Div 2'!$H$20:$H$30,'Div 2'!$H$32:$H$38,'Div 2'!$H$40,'Div 2'!$H$42,'Div 2'!$H$44,'Div 2'!$H$46:$H$47,'Div 2'!$H$49,'Div 2'!$H$51,'Div 2'!$H$53,'Div 2'!$H$55,'Div 2'!$H$57,'Div 2'!$H$59,'Div 2'!$H$61:$H$64,'Div 2'!$H$66:$H$69,'Div 2'!$H$71:$H$72,'Div 2'!$H$74,'Div 2'!$H$76:$H$79,'Div 2'!$H$81:$H$82,'Div 2'!$H$84,'Div 2'!$H$86:$H$87</definedName>
    <definedName name="OSRRefH22x_0" localSheetId="47">'Div 3'!$H$168:$H$176,'Div 3'!$H$178:$H$184,'Div 3'!$H$186,'Div 3'!$H$188:$H$189,'Div 3'!$H$191,'Div 3'!$H$193:$H$194,'Div 3'!$H$196:$H$197,'Div 3'!$H$199,'Div 3'!$H$201,'Div 3'!$H$203,'Div 3'!$H$205:$H$206,'Div 3'!$H$208,'Div 3'!$H$210,'Div 3'!$H$212,'Div 3'!$H$214,'Div 3'!$H$216,'Div 3'!$H$218,'Div 3'!$H$220:$H$222,'Div 3'!$H$224:$H$226,'Div 3'!$H$228:$H$232,'Div 3'!$H$234:$H$235,'Div 3'!$H$237:$H$243,'Div 3'!$H$245:$H$246,'Div 3'!$H$248,'Div 3'!$H$250:$H$252,'Div 3'!$H$254</definedName>
    <definedName name="OSRRefH22x_0" localSheetId="74">'Div 4'!$H$34:$H$42,'Div 4'!$H$44:$H$50,'Div 4'!$H$52,'Div 4'!$H$54,'Div 4'!$H$56,'Div 4'!$H$58:$H$60,'Div 4'!$H$62,'Div 4'!$H$64,'Div 4'!$H$66,'Div 4'!$H$68,'Div 4'!$H$70:$H$71,'Div 4'!$H$73,'Div 4'!$H$75,'Div 4'!$H$77,'Div 4'!$H$79,'Div 4'!$H$81,'Div 4'!$H$83:$H$85,'Div 4'!$H$87:$H$88,'Div 4'!$H$90:$H$94,'Div 4'!$H$96:$H$97,'Div 4'!$H$99:$H$106,'Div 4'!$H$108,'Div 4'!$H$110,'Div 4'!$H$112:$H$114,'Div 4'!$H$116</definedName>
    <definedName name="OSRRefH22x_0" localSheetId="97">'Div 5'!$H$21:$H$28,'Div 5'!$H$30:$H$35,'Div 5'!$H$37,'Div 5'!$H$39,'Div 5'!$H$41,'Div 5'!$H$43:$H$44,'Div 5'!$H$46,'Div 5'!$H$48,'Div 5'!$H$50,'Div 5'!$H$52,'Div 5'!$H$54:$H$55,'Div 5'!$H$57:$H$60,'Div 5'!$H$62,'Div 5'!$H$64</definedName>
    <definedName name="OSRRefH22x_0" localSheetId="65">'Div 6'!$H$58:$H$66,'Div 6'!$H$68:$H$71,'Div 6'!$H$73,'Div 6'!$H$75,'Div 6'!$H$77,'Div 6'!$H$79,'Div 6'!$H$81,'Div 6'!$H$83,'Div 6'!$H$85,'Div 6'!$H$87,'Div 6'!$H$89,'Div 6'!$H$91:$H$92,'Div 6'!$H$94,'Div 6'!$H$96,'Div 6'!$H$98</definedName>
    <definedName name="OSRRefH22x_0" localSheetId="2">Summary!$H$202:$H$210,Summary!$H$212:$H$218,Summary!$H$220,Summary!$H$222:$H$223,Summary!$H$225,Summary!$H$227:$H$229,Summary!$H$231:$H$232,Summary!$H$234,Summary!$H$236,Summary!$H$238,Summary!$H$240:$H$241,Summary!$H$243:$H$244,Summary!$H$246,Summary!$H$248,Summary!$H$250,Summary!$H$252,Summary!$H$254,Summary!$H$256,Summary!$H$258:$H$260,Summary!$H$262:$H$264,Summary!$H$266:$H$270,Summary!$H$272:$H$273,Summary!$H$275:$H$282,Summary!$H$284:$H$285,Summary!$H$287,Summary!$H$289:$H$291,Summary!$H$293</definedName>
    <definedName name="OSRRefH25x_0" localSheetId="48">'300'!$H$249:$H$257</definedName>
    <definedName name="OSRRefH25x_0" localSheetId="49">'300 &amp; 317'!$H$274:$H$285</definedName>
    <definedName name="OSRRefH25x_0" localSheetId="50">'301'!$H$91:$H$93</definedName>
    <definedName name="OSRRefH25x_0" localSheetId="54">'307'!$H$117</definedName>
    <definedName name="OSRRefH25x_0" localSheetId="56">'308'!$H$114:$H$116</definedName>
    <definedName name="OSRRefH25x_0" localSheetId="75">'310 &amp; 491'!$H$126:$H$128</definedName>
    <definedName name="OSRRefH25x_0" localSheetId="57">'311'!$H$113:$H$115</definedName>
    <definedName name="OSRRefH25x_0" localSheetId="60">'315'!$H$108</definedName>
    <definedName name="OSRRefH25x_0" localSheetId="63">'316'!$H$74</definedName>
    <definedName name="OSRRefH25x_0" localSheetId="66">'317'!$H$101:$H$104</definedName>
    <definedName name="OSRRefH25x_0" localSheetId="64">'320'!$H$59:$H$63</definedName>
    <definedName name="OSRRefH25x_0" localSheetId="53">'330'!$H$134</definedName>
    <definedName name="OSRRefH25x_0" localSheetId="59">'331'!$H$147</definedName>
    <definedName name="OSRRefH25x_0" localSheetId="62">'332'!$H$86:$H$91</definedName>
    <definedName name="OSRRefH25x_0" localSheetId="79">'411'!$H$88:$H$89</definedName>
    <definedName name="OSRRefH25x_0" localSheetId="82">'413'!$H$65</definedName>
    <definedName name="OSRRefH25x_0" localSheetId="84">'415'!$H$87</definedName>
    <definedName name="OSRRefH25x_0" localSheetId="85">'418'!$H$82</definedName>
    <definedName name="OSRRefH25x_0" localSheetId="86">'423'!$H$41</definedName>
    <definedName name="OSRRefH25x_0" localSheetId="87">'424'!$H$60</definedName>
    <definedName name="OSRRefH25x_0" localSheetId="88">'425'!$H$80</definedName>
    <definedName name="OSRRefH25x_0" localSheetId="96">'455'!$H$34:$H$35</definedName>
    <definedName name="OSRRefH25x_0" localSheetId="76">'491'!$H$116:$H$118</definedName>
    <definedName name="OSRRefH25x_0" localSheetId="98">'501'!$H$67:$H$68</definedName>
    <definedName name="OSRRefH25x_0" localSheetId="47">'Div 3'!$H$257:$H$265</definedName>
    <definedName name="OSRRefH25x_0" localSheetId="74">'Div 4'!$H$119:$H$121</definedName>
    <definedName name="OSRRefH25x_0" localSheetId="97">'Div 5'!$H$67:$H$68</definedName>
    <definedName name="OSRRefH25x_0" localSheetId="65">'Div 6'!$H$101:$H$104</definedName>
    <definedName name="OSRRefH25x_0" localSheetId="2">Summary!$H$296:$H$308</definedName>
    <definedName name="OSRRefP13x_0" localSheetId="48">'300'!$P$13:$P$105</definedName>
    <definedName name="OSRRefP13x_0" localSheetId="49">'300 &amp; 317'!$P$13:$P$123</definedName>
    <definedName name="OSRRefP13x_0" localSheetId="54">'307'!$P$13:$P$46</definedName>
    <definedName name="OSRRefP13x_0" localSheetId="56">'308'!$P$13:$P$40</definedName>
    <definedName name="OSRRefP13x_0" localSheetId="68">'309'!$P$13:$P$14</definedName>
    <definedName name="OSRRefP13x_0" localSheetId="67">'310'!$P$13:$P$22</definedName>
    <definedName name="OSRRefP13x_0" localSheetId="75">'310 &amp; 491'!$P$13:$P$30</definedName>
    <definedName name="OSRRefP13x_0" localSheetId="57">'311'!$P$13:$P$39</definedName>
    <definedName name="OSRRefP13x_0" localSheetId="69">'313'!$P$13:$P$19</definedName>
    <definedName name="OSRRefP13x_0" localSheetId="55">'314'!$P$13:$P$33</definedName>
    <definedName name="OSRRefP13x_0" localSheetId="60">'315'!$P$13:$P$32</definedName>
    <definedName name="OSRRefP13x_0" localSheetId="63">'316'!$P$13:$P$24</definedName>
    <definedName name="OSRRefP13x_0" localSheetId="66">'317'!$P$13:$P$36</definedName>
    <definedName name="OSRRefP13x_0" localSheetId="64">'320'!$P$13:$P$16</definedName>
    <definedName name="OSRRefP13x_0" localSheetId="70">'321'!$P$13:$P$14</definedName>
    <definedName name="OSRRefP13x_0" localSheetId="71">'322'!$P$13:$P$14</definedName>
    <definedName name="OSRRefP13x_0" localSheetId="58">'324'!$P$13:$P$15</definedName>
    <definedName name="OSRRefP13x_0" localSheetId="72">'325'!$P$13:$P$14</definedName>
    <definedName name="OSRRefP13x_0" localSheetId="61">'326'!$P$13:$P$35</definedName>
    <definedName name="OSRRefP13x_0" localSheetId="73">'327'!$P$13</definedName>
    <definedName name="OSRRefP13x_0" localSheetId="53">'330'!$P$13:$P$50</definedName>
    <definedName name="OSRRefP13x_0" localSheetId="59">'331'!$P$13:$P$43</definedName>
    <definedName name="OSRRefP13x_0" localSheetId="62">'332'!$P$13:$P$28</definedName>
    <definedName name="OSRRefP13x_0" localSheetId="77">'405'!$P$13:$P$14</definedName>
    <definedName name="OSRRefP13x_0" localSheetId="78">'406'!$P$13:$P$14</definedName>
    <definedName name="OSRRefP13x_0" localSheetId="80">'412'!$P$13:$P$15</definedName>
    <definedName name="OSRRefP13x_0" localSheetId="82">'413'!$P$13:$P$14</definedName>
    <definedName name="OSRRefP13x_0" localSheetId="83">'414'!$P$13:$P$14</definedName>
    <definedName name="OSRRefP13x_0" localSheetId="84">'415'!$P$13:$P$14</definedName>
    <definedName name="OSRRefP13x_0" localSheetId="85">'418'!$P$13:$P$14</definedName>
    <definedName name="OSRRefP13x_0" localSheetId="81">'420'!$P$13:$P$14</definedName>
    <definedName name="OSRRefP13x_0" localSheetId="87">'424'!$P$13:$P$14</definedName>
    <definedName name="OSRRefP13x_0" localSheetId="88">'425'!$P$13:$P$17</definedName>
    <definedName name="OSRRefP13x_0" localSheetId="91">'433'!$P$13:$P$16</definedName>
    <definedName name="OSRRefP13x_0" localSheetId="92">'435'!$P$13:$P$15</definedName>
    <definedName name="OSRRefP13x_0" localSheetId="93">'444'!$P$13:$P$15</definedName>
    <definedName name="OSRRefP13x_0" localSheetId="95">'450'!$P$13:$P$15</definedName>
    <definedName name="OSRRefP13x_0" localSheetId="76">'491'!$P$13:$P$23</definedName>
    <definedName name="OSRRefP13x_0" localSheetId="89">'492'!$P$13:$P$18</definedName>
    <definedName name="OSRRefP13x_0" localSheetId="98">'501'!$P$13</definedName>
    <definedName name="OSRRefP13x_0" localSheetId="47">'Div 3'!$P$13:$P$108</definedName>
    <definedName name="OSRRefP13x_0" localSheetId="74">'Div 4'!$P$13:$P$24</definedName>
    <definedName name="OSRRefP13x_0" localSheetId="97">'Div 5'!$P$13</definedName>
    <definedName name="OSRRefP13x_0" localSheetId="65">'Div 6'!$P$13:$P$36</definedName>
    <definedName name="OSRRefP13x_0" localSheetId="2">Summary!$P$13:$P$135</definedName>
    <definedName name="OSRRefP16x_0" localSheetId="48">'300'!$P$108:$P$157</definedName>
    <definedName name="OSRRefP16x_0" localSheetId="49">'300 &amp; 317'!$P$126:$P$182</definedName>
    <definedName name="OSRRefP16x_0" localSheetId="54">'307'!$P$49:$P$68</definedName>
    <definedName name="OSRRefP16x_0" localSheetId="56">'308'!$P$43:$P$58</definedName>
    <definedName name="OSRRefP16x_0" localSheetId="68">'309'!$P$17:$P$18</definedName>
    <definedName name="OSRRefP16x_0" localSheetId="67">'310'!$P$25:$P$26</definedName>
    <definedName name="OSRRefP16x_0" localSheetId="75">'310 &amp; 491'!$P$33:$P$34</definedName>
    <definedName name="OSRRefP16x_0" localSheetId="57">'311'!$P$42:$P$57</definedName>
    <definedName name="OSRRefP16x_0" localSheetId="69">'313'!$P$22:$P$23</definedName>
    <definedName name="OSRRefP16x_0" localSheetId="55">'314'!$P$36:$P$50</definedName>
    <definedName name="OSRRefP16x_0" localSheetId="60">'315'!$P$35:$P$49</definedName>
    <definedName name="OSRRefP16x_0" localSheetId="66">'317'!$P$39:$P$52</definedName>
    <definedName name="OSRRefP16x_0" localSheetId="64">'320'!$P$19:$P$23</definedName>
    <definedName name="OSRRefP16x_0" localSheetId="70">'321'!$P$17:$P$18</definedName>
    <definedName name="OSRRefP16x_0" localSheetId="71">'322'!$P$17:$P$18</definedName>
    <definedName name="OSRRefP16x_0" localSheetId="58">'324'!$P$18:$P$19</definedName>
    <definedName name="OSRRefP16x_0" localSheetId="72">'325'!$P$17:$P$18</definedName>
    <definedName name="OSRRefP16x_0" localSheetId="61">'326'!$P$38:$P$55</definedName>
    <definedName name="OSRRefP16x_0" localSheetId="73">'327'!$P$16</definedName>
    <definedName name="OSRRefP16x_0" localSheetId="53">'330'!$P$53:$P$75</definedName>
    <definedName name="OSRRefP16x_0" localSheetId="59">'331'!$P$46:$P$68</definedName>
    <definedName name="OSRRefP16x_0" localSheetId="62">'332'!$P$31:$P$35</definedName>
    <definedName name="OSRRefP16x_0" localSheetId="77">'405'!$P$17:$P$18</definedName>
    <definedName name="OSRRefP16x_0" localSheetId="78">'406'!$P$17:$P$18</definedName>
    <definedName name="OSRRefP16x_0" localSheetId="80">'412'!$P$18</definedName>
    <definedName name="OSRRefP16x_0" localSheetId="82">'413'!$P$17:$P$18</definedName>
    <definedName name="OSRRefP16x_0" localSheetId="83">'414'!$P$17:$P$18</definedName>
    <definedName name="OSRRefP16x_0" localSheetId="84">'415'!$P$17:$P$18</definedName>
    <definedName name="OSRRefP16x_0" localSheetId="85">'418'!$P$17:$P$18</definedName>
    <definedName name="OSRRefP16x_0" localSheetId="81">'420'!$P$17</definedName>
    <definedName name="OSRRefP16x_0" localSheetId="86">'423'!$P$15</definedName>
    <definedName name="OSRRefP16x_0" localSheetId="87">'424'!$P$17:$P$18</definedName>
    <definedName name="OSRRefP16x_0" localSheetId="88">'425'!$P$20:$P$21</definedName>
    <definedName name="OSRRefP16x_0" localSheetId="91">'433'!$P$19:$P$20</definedName>
    <definedName name="OSRRefP16x_0" localSheetId="92">'435'!$P$18:$P$19</definedName>
    <definedName name="OSRRefP16x_0" localSheetId="93">'444'!$P$18:$P$19</definedName>
    <definedName name="OSRRefP16x_0" localSheetId="95">'450'!$P$18:$P$19</definedName>
    <definedName name="OSRRefP16x_0" localSheetId="76">'491'!$P$26:$P$27</definedName>
    <definedName name="OSRRefP16x_0" localSheetId="89">'492'!$P$21:$P$22</definedName>
    <definedName name="OSRRefP16x_0" localSheetId="47">'Div 3'!$P$111:$P$162</definedName>
    <definedName name="OSRRefP16x_0" localSheetId="74">'Div 4'!$P$27:$P$28</definedName>
    <definedName name="OSRRefP16x_0" localSheetId="65">'Div 6'!$P$39:$P$52</definedName>
    <definedName name="OSRRefP16x_0" localSheetId="2">Summary!$P$138:$P$196</definedName>
    <definedName name="OSRRefP22_0x_0" localSheetId="40">'200'!$P$20</definedName>
    <definedName name="OSRRefP22_0x_0" localSheetId="41">'201'!$P$20:$P$28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'300'!$P$163:$P$171</definedName>
    <definedName name="OSRRefP22_0x_0" localSheetId="49">'300 &amp; 317'!$P$188:$P$196</definedName>
    <definedName name="OSRRefP22_0x_0" localSheetId="50">'301'!$P$20:$P$27</definedName>
    <definedName name="OSRRefP22_0x_0" localSheetId="51">'306'!$P$20:$P$28</definedName>
    <definedName name="OSRRefP22_0x_0" localSheetId="54">'307'!$P$74:$P$81</definedName>
    <definedName name="OSRRefP22_0x_0" localSheetId="56">'308'!$P$64:$P$72</definedName>
    <definedName name="OSRRefP22_0x_0" localSheetId="68">'309'!$P$24:$P$31</definedName>
    <definedName name="OSRRefP22_0x_0" localSheetId="67">'310'!$P$32:$P$39</definedName>
    <definedName name="OSRRefP22_0x_0" localSheetId="75">'310 &amp; 491'!$P$40:$P$48</definedName>
    <definedName name="OSRRefP22_0x_0" localSheetId="57">'311'!$P$63:$P$71</definedName>
    <definedName name="OSRRefP22_0x_0" localSheetId="69">'313'!$P$29:$P$36</definedName>
    <definedName name="OSRRefP22_0x_0" localSheetId="55">'314'!$P$56:$P$62</definedName>
    <definedName name="OSRRefP22_0x_0" localSheetId="60">'315'!$P$55:$P$62</definedName>
    <definedName name="OSRRefP22_0x_0" localSheetId="63">'316'!$P$32:$P$39</definedName>
    <definedName name="OSRRefP22_0x_0" localSheetId="66">'317'!$P$58:$P$66</definedName>
    <definedName name="OSRRefP22_0x_0" localSheetId="64">'320'!$P$29:$P$36</definedName>
    <definedName name="OSRRefP22_0x_0" localSheetId="70">'321'!$P$24:$P$30</definedName>
    <definedName name="OSRRefP22_0x_0" localSheetId="71">'322'!$P$24:$P$31</definedName>
    <definedName name="OSRRefP22_0x_0" localSheetId="58">'324'!$P$25</definedName>
    <definedName name="OSRRefP22_0x_0" localSheetId="72">'325'!$P$24:$P$31</definedName>
    <definedName name="OSRRefP22_0x_0" localSheetId="61">'326'!$P$61:$P$68</definedName>
    <definedName name="OSRRefP22_0x_0" localSheetId="73">'327'!$P$22</definedName>
    <definedName name="OSRRefP22_0x_0" localSheetId="53">'330'!$P$81:$P$88</definedName>
    <definedName name="OSRRefP22_0x_0" localSheetId="59">'331'!$P$74:$P$81</definedName>
    <definedName name="OSRRefP22_0x_0" localSheetId="62">'332'!$P$41:$P$48</definedName>
    <definedName name="OSRRefP22_0x_0" localSheetId="52">'335'!$P$20</definedName>
    <definedName name="OSRRefP22_0x_0" localSheetId="77">'405'!$P$24:$P$31</definedName>
    <definedName name="OSRRefP22_0x_0" localSheetId="78">'406'!$P$24:$P$31</definedName>
    <definedName name="OSRRefP22_0x_0" localSheetId="79">'411'!$P$20:$P$28</definedName>
    <definedName name="OSRRefP22_0x_0" localSheetId="80">'412'!$P$24:$P$31</definedName>
    <definedName name="OSRRefP22_0x_0" localSheetId="82">'413'!$P$24:$P$31</definedName>
    <definedName name="OSRRefP22_0x_0" localSheetId="83">'414'!$P$24:$P$31</definedName>
    <definedName name="OSRRefP22_0x_0" localSheetId="84">'415'!$P$24:$P$31</definedName>
    <definedName name="OSRRefP22_0x_0" localSheetId="85">'418'!$P$24:$P$31</definedName>
    <definedName name="OSRRefP22_0x_0" localSheetId="81">'420'!$P$23:$P$29</definedName>
    <definedName name="OSRRefP22_0x_0" localSheetId="86">'423'!$P$21:$P$28</definedName>
    <definedName name="OSRRefP22_0x_0" localSheetId="87">'424'!$P$24:$P$26</definedName>
    <definedName name="OSRRefP22_0x_0" localSheetId="88">'425'!$P$27:$P$34</definedName>
    <definedName name="OSRRefP22_0x_0" localSheetId="90">'430'!$P$20:$P$27</definedName>
    <definedName name="OSRRefP22_0x_0" localSheetId="91">'433'!$P$26:$P$34</definedName>
    <definedName name="OSRRefP22_0x_0" localSheetId="92">'435'!$P$25:$P$27</definedName>
    <definedName name="OSRRefP22_0x_0" localSheetId="93">'444'!$P$25:$P$33</definedName>
    <definedName name="OSRRefP22_0x_0" localSheetId="94">'445'!$P$20</definedName>
    <definedName name="OSRRefP22_0x_0" localSheetId="95">'450'!$P$25:$P$33</definedName>
    <definedName name="OSRRefP22_0x_0" localSheetId="96">'455'!$P$20:$P$26</definedName>
    <definedName name="OSRRefP22_0x_0" localSheetId="76">'491'!$P$33:$P$41</definedName>
    <definedName name="OSRRefP22_0x_0" localSheetId="89">'492'!$P$28:$P$36</definedName>
    <definedName name="OSRRefP22_0x_0" localSheetId="98">'501'!$P$21:$P$28</definedName>
    <definedName name="OSRRefP22_0x_0" localSheetId="39">'Div 2'!$P$20:$P$30</definedName>
    <definedName name="OSRRefP22_0x_0" localSheetId="47">'Div 3'!$P$168:$P$176</definedName>
    <definedName name="OSRRefP22_0x_0" localSheetId="74">'Div 4'!$P$34:$P$42</definedName>
    <definedName name="OSRRefP22_0x_0" localSheetId="97">'Div 5'!$P$21:$P$28</definedName>
    <definedName name="OSRRefP22_0x_0" localSheetId="65">'Div 6'!$P$58:$P$66</definedName>
    <definedName name="OSRRefP22_0x_0" localSheetId="2">Summary!$P$202:$P$210</definedName>
    <definedName name="OSRRefP22_10x_0" localSheetId="41">'201'!$P$50:$P$52</definedName>
    <definedName name="OSRRefP22_10x_0" localSheetId="42">'202'!$P$50:$P$52</definedName>
    <definedName name="OSRRefP22_10x_0" localSheetId="43">'203'!$P$54:$P$55</definedName>
    <definedName name="OSRRefP22_10x_0" localSheetId="44">'204'!$P$59:$P$60</definedName>
    <definedName name="OSRRefP22_10x_0" localSheetId="48">'300'!$P$200:$P$201</definedName>
    <definedName name="OSRRefP22_10x_0" localSheetId="49">'300 &amp; 317'!$P$225:$P$226</definedName>
    <definedName name="OSRRefP22_10x_0" localSheetId="50">'301'!$P$56</definedName>
    <definedName name="OSRRefP22_10x_0" localSheetId="51">'306'!$P$57</definedName>
    <definedName name="OSRRefP22_10x_0" localSheetId="54">'307'!$P$106:$P$107</definedName>
    <definedName name="OSRRefP22_10x_0" localSheetId="56">'308'!$P$99</definedName>
    <definedName name="OSRRefP22_10x_0" localSheetId="68">'309'!$P$56:$P$58</definedName>
    <definedName name="OSRRefP22_10x_0" localSheetId="67">'310'!$P$65</definedName>
    <definedName name="OSRRefP22_10x_0" localSheetId="75">'310 &amp; 491'!$P$76:$P$77</definedName>
    <definedName name="OSRRefP22_10x_0" localSheetId="57">'311'!$P$98</definedName>
    <definedName name="OSRRefP22_10x_0" localSheetId="69">'313'!$P$62</definedName>
    <definedName name="OSRRefP22_10x_0" localSheetId="60">'315'!$P$91:$P$92</definedName>
    <definedName name="OSRRefP22_10x_0" localSheetId="63">'316'!$P$63:$P$67</definedName>
    <definedName name="OSRRefP22_10x_0" localSheetId="66">'317'!$P$89</definedName>
    <definedName name="OSRRefP22_10x_0" localSheetId="70">'321'!$P$62</definedName>
    <definedName name="OSRRefP22_10x_0" localSheetId="71">'322'!$P$56:$P$58</definedName>
    <definedName name="OSRRefP22_10x_0" localSheetId="72">'325'!$P$57</definedName>
    <definedName name="OSRRefP22_10x_0" localSheetId="61">'326'!$P$91</definedName>
    <definedName name="OSRRefP22_10x_0" localSheetId="53">'330'!$P$113</definedName>
    <definedName name="OSRRefP22_10x_0" localSheetId="59">'331'!$P$108</definedName>
    <definedName name="OSRRefP22_10x_0" localSheetId="62">'332'!$P$73</definedName>
    <definedName name="OSRRefP22_10x_0" localSheetId="77">'405'!$P$55:$P$56</definedName>
    <definedName name="OSRRefP22_10x_0" localSheetId="78">'406'!$P$57:$P$58</definedName>
    <definedName name="OSRRefP22_10x_0" localSheetId="79">'411'!$P$55</definedName>
    <definedName name="OSRRefP22_10x_0" localSheetId="80">'412'!$P$57</definedName>
    <definedName name="OSRRefP22_10x_0" localSheetId="82">'413'!$P$62</definedName>
    <definedName name="OSRRefP22_10x_0" localSheetId="83">'414'!$P$57</definedName>
    <definedName name="OSRRefP22_10x_0" localSheetId="84">'415'!$P$57</definedName>
    <definedName name="OSRRefP22_10x_0" localSheetId="85">'418'!$P$58:$P$60</definedName>
    <definedName name="OSRRefP22_10x_0" localSheetId="87">'424'!$P$51:$P$55</definedName>
    <definedName name="OSRRefP22_10x_0" localSheetId="88">'425'!$P$60</definedName>
    <definedName name="OSRRefP22_10x_0" localSheetId="91">'433'!$P$59:$P$61</definedName>
    <definedName name="OSRRefP22_10x_0" localSheetId="93">'444'!$P$58</definedName>
    <definedName name="OSRRefP22_10x_0" localSheetId="95">'450'!$P$58</definedName>
    <definedName name="OSRRefP22_10x_0" localSheetId="76">'491'!$P$69:$P$70</definedName>
    <definedName name="OSRRefP22_10x_0" localSheetId="89">'492'!$P$62</definedName>
    <definedName name="OSRRefP22_10x_0" localSheetId="98">'501'!$P$54:$P$55</definedName>
    <definedName name="OSRRefP22_10x_0" localSheetId="39">'Div 2'!$P$57</definedName>
    <definedName name="OSRRefP22_10x_0" localSheetId="47">'Div 3'!$P$205:$P$206</definedName>
    <definedName name="OSRRefP22_10x_0" localSheetId="74">'Div 4'!$P$70:$P$71</definedName>
    <definedName name="OSRRefP22_10x_0" localSheetId="97">'Div 5'!$P$54:$P$55</definedName>
    <definedName name="OSRRefP22_10x_0" localSheetId="65">'Div 6'!$P$89</definedName>
    <definedName name="OSRRefP22_10x_0" localSheetId="2">Summary!$P$240:$P$241</definedName>
    <definedName name="OSRRefP22_11x_0" localSheetId="41">'201'!$P$54:$P$56</definedName>
    <definedName name="OSRRefP22_11x_0" localSheetId="42">'202'!$P$54</definedName>
    <definedName name="OSRRefP22_11x_0" localSheetId="43">'203'!$P$57</definedName>
    <definedName name="OSRRefP22_11x_0" localSheetId="48">'300'!$P$203</definedName>
    <definedName name="OSRRefP22_11x_0" localSheetId="49">'300 &amp; 317'!$P$228</definedName>
    <definedName name="OSRRefP22_11x_0" localSheetId="50">'301'!$P$58</definedName>
    <definedName name="OSRRefP22_11x_0" localSheetId="54">'307'!$P$109:$P$110</definedName>
    <definedName name="OSRRefP22_11x_0" localSheetId="56">'308'!$P$101:$P$104</definedName>
    <definedName name="OSRRefP22_11x_0" localSheetId="68">'309'!$P$60</definedName>
    <definedName name="OSRRefP22_11x_0" localSheetId="67">'310'!$P$67</definedName>
    <definedName name="OSRRefP22_11x_0" localSheetId="75">'310 &amp; 491'!$P$79:$P$80</definedName>
    <definedName name="OSRRefP22_11x_0" localSheetId="57">'311'!$P$100:$P$103</definedName>
    <definedName name="OSRRefP22_11x_0" localSheetId="69">'313'!$P$64:$P$65</definedName>
    <definedName name="OSRRefP22_11x_0" localSheetId="60">'315'!$P$94:$P$98</definedName>
    <definedName name="OSRRefP22_11x_0" localSheetId="63">'316'!$P$69</definedName>
    <definedName name="OSRRefP22_11x_0" localSheetId="66">'317'!$P$91:$P$92</definedName>
    <definedName name="OSRRefP22_11x_0" localSheetId="70">'321'!$P$64</definedName>
    <definedName name="OSRRefP22_11x_0" localSheetId="71">'322'!$P$60</definedName>
    <definedName name="OSRRefP22_11x_0" localSheetId="72">'325'!$P$59:$P$61</definedName>
    <definedName name="OSRRefP22_11x_0" localSheetId="61">'326'!$P$93</definedName>
    <definedName name="OSRRefP22_11x_0" localSheetId="53">'330'!$P$115:$P$116</definedName>
    <definedName name="OSRRefP22_11x_0" localSheetId="59">'331'!$P$110</definedName>
    <definedName name="OSRRefP22_11x_0" localSheetId="62">'332'!$P$75:$P$79</definedName>
    <definedName name="OSRRefP22_11x_0" localSheetId="77">'405'!$P$58</definedName>
    <definedName name="OSRRefP22_11x_0" localSheetId="78">'406'!$P$60:$P$65</definedName>
    <definedName name="OSRRefP22_11x_0" localSheetId="79">'411'!$P$57:$P$59</definedName>
    <definedName name="OSRRefP22_11x_0" localSheetId="80">'412'!$P$59:$P$61</definedName>
    <definedName name="OSRRefP22_11x_0" localSheetId="83">'414'!$P$59</definedName>
    <definedName name="OSRRefP22_11x_0" localSheetId="84">'415'!$P$59:$P$61</definedName>
    <definedName name="OSRRefP22_11x_0" localSheetId="85">'418'!$P$62:$P$64</definedName>
    <definedName name="OSRRefP22_11x_0" localSheetId="87">'424'!$P$57</definedName>
    <definedName name="OSRRefP22_11x_0" localSheetId="88">'425'!$P$62:$P$63</definedName>
    <definedName name="OSRRefP22_11x_0" localSheetId="91">'433'!$P$63:$P$65</definedName>
    <definedName name="OSRRefP22_11x_0" localSheetId="93">'444'!$P$60:$P$62</definedName>
    <definedName name="OSRRefP22_11x_0" localSheetId="95">'450'!$P$60:$P$62</definedName>
    <definedName name="OSRRefP22_11x_0" localSheetId="76">'491'!$P$72</definedName>
    <definedName name="OSRRefP22_11x_0" localSheetId="89">'492'!$P$64</definedName>
    <definedName name="OSRRefP22_11x_0" localSheetId="98">'501'!$P$57:$P$60</definedName>
    <definedName name="OSRRefP22_11x_0" localSheetId="39">'Div 2'!$P$59</definedName>
    <definedName name="OSRRefP22_11x_0" localSheetId="47">'Div 3'!$P$208</definedName>
    <definedName name="OSRRefP22_11x_0" localSheetId="74">'Div 4'!$P$73</definedName>
    <definedName name="OSRRefP22_11x_0" localSheetId="97">'Div 5'!$P$57:$P$60</definedName>
    <definedName name="OSRRefP22_11x_0" localSheetId="65">'Div 6'!$P$91:$P$92</definedName>
    <definedName name="OSRRefP22_11x_0" localSheetId="2">Summary!$P$243:$P$244</definedName>
    <definedName name="OSRRefP22_12x_0" localSheetId="41">'201'!$P$58</definedName>
    <definedName name="OSRRefP22_12x_0" localSheetId="42">'202'!$P$56</definedName>
    <definedName name="OSRRefP22_12x_0" localSheetId="43">'203'!$P$59:$P$61</definedName>
    <definedName name="OSRRefP22_12x_0" localSheetId="48">'300'!$P$205</definedName>
    <definedName name="OSRRefP22_12x_0" localSheetId="49">'300 &amp; 317'!$P$230</definedName>
    <definedName name="OSRRefP22_12x_0" localSheetId="50">'301'!$P$60</definedName>
    <definedName name="OSRRefP22_12x_0" localSheetId="54">'307'!$P$112</definedName>
    <definedName name="OSRRefP22_12x_0" localSheetId="56">'308'!$P$106:$P$107</definedName>
    <definedName name="OSRRefP22_12x_0" localSheetId="68">'309'!$P$62:$P$67</definedName>
    <definedName name="OSRRefP22_12x_0" localSheetId="67">'310'!$P$69</definedName>
    <definedName name="OSRRefP22_12x_0" localSheetId="75">'310 &amp; 491'!$P$82</definedName>
    <definedName name="OSRRefP22_12x_0" localSheetId="57">'311'!$P$105:$P$106</definedName>
    <definedName name="OSRRefP22_12x_0" localSheetId="69">'313'!$P$67:$P$72</definedName>
    <definedName name="OSRRefP22_12x_0" localSheetId="60">'315'!$P$100</definedName>
    <definedName name="OSRRefP22_12x_0" localSheetId="63">'316'!$P$71</definedName>
    <definedName name="OSRRefP22_12x_0" localSheetId="66">'317'!$P$94</definedName>
    <definedName name="OSRRefP22_12x_0" localSheetId="70">'321'!$P$66</definedName>
    <definedName name="OSRRefP22_12x_0" localSheetId="71">'322'!$P$62:$P$67</definedName>
    <definedName name="OSRRefP22_12x_0" localSheetId="72">'325'!$P$63:$P$66</definedName>
    <definedName name="OSRRefP22_12x_0" localSheetId="61">'326'!$P$95</definedName>
    <definedName name="OSRRefP22_12x_0" localSheetId="53">'330'!$P$118:$P$119</definedName>
    <definedName name="OSRRefP22_12x_0" localSheetId="59">'331'!$P$112</definedName>
    <definedName name="OSRRefP22_12x_0" localSheetId="62">'332'!$P$81</definedName>
    <definedName name="OSRRefP22_12x_0" localSheetId="77">'405'!$P$60:$P$62</definedName>
    <definedName name="OSRRefP22_12x_0" localSheetId="78">'406'!$P$67</definedName>
    <definedName name="OSRRefP22_12x_0" localSheetId="79">'411'!$P$61:$P$65</definedName>
    <definedName name="OSRRefP22_12x_0" localSheetId="80">'412'!$P$63:$P$69</definedName>
    <definedName name="OSRRefP22_12x_0" localSheetId="83">'414'!$P$61</definedName>
    <definedName name="OSRRefP22_12x_0" localSheetId="84">'415'!$P$63:$P$67</definedName>
    <definedName name="OSRRefP22_12x_0" localSheetId="85">'418'!$P$66:$P$67</definedName>
    <definedName name="OSRRefP22_12x_0" localSheetId="88">'425'!$P$65:$P$71</definedName>
    <definedName name="OSRRefP22_12x_0" localSheetId="91">'433'!$P$67:$P$73</definedName>
    <definedName name="OSRRefP22_12x_0" localSheetId="93">'444'!$P$64:$P$66</definedName>
    <definedName name="OSRRefP22_12x_0" localSheetId="95">'450'!$P$64:$P$66</definedName>
    <definedName name="OSRRefP22_12x_0" localSheetId="76">'491'!$P$74</definedName>
    <definedName name="OSRRefP22_12x_0" localSheetId="89">'492'!$P$66:$P$68</definedName>
    <definedName name="OSRRefP22_12x_0" localSheetId="98">'501'!$P$62</definedName>
    <definedName name="OSRRefP22_12x_0" localSheetId="39">'Div 2'!$P$61:$P$64</definedName>
    <definedName name="OSRRefP22_12x_0" localSheetId="47">'Div 3'!$P$210</definedName>
    <definedName name="OSRRefP22_12x_0" localSheetId="74">'Div 4'!$P$75</definedName>
    <definedName name="OSRRefP22_12x_0" localSheetId="97">'Div 5'!$P$62</definedName>
    <definedName name="OSRRefP22_12x_0" localSheetId="65">'Div 6'!$P$94</definedName>
    <definedName name="OSRRefP22_12x_0" localSheetId="2">Summary!$P$246</definedName>
    <definedName name="OSRRefP22_13x_0" localSheetId="41">'201'!$P$60:$P$62</definedName>
    <definedName name="OSRRefP22_13x_0" localSheetId="42">'202'!$P$58:$P$60</definedName>
    <definedName name="OSRRefP22_13x_0" localSheetId="43">'203'!$P$63</definedName>
    <definedName name="OSRRefP22_13x_0" localSheetId="48">'300'!$P$207</definedName>
    <definedName name="OSRRefP22_13x_0" localSheetId="49">'300 &amp; 317'!$P$232</definedName>
    <definedName name="OSRRefP22_13x_0" localSheetId="50">'301'!$P$62</definedName>
    <definedName name="OSRRefP22_13x_0" localSheetId="54">'307'!$P$114</definedName>
    <definedName name="OSRRefP22_13x_0" localSheetId="56">'308'!$P$109</definedName>
    <definedName name="OSRRefP22_13x_0" localSheetId="68">'309'!$P$69</definedName>
    <definedName name="OSRRefP22_13x_0" localSheetId="67">'310'!$P$71</definedName>
    <definedName name="OSRRefP22_13x_0" localSheetId="75">'310 &amp; 491'!$P$84</definedName>
    <definedName name="OSRRefP22_13x_0" localSheetId="57">'311'!$P$108</definedName>
    <definedName name="OSRRefP22_13x_0" localSheetId="69">'313'!$P$74</definedName>
    <definedName name="OSRRefP22_13x_0" localSheetId="60">'315'!$P$102</definedName>
    <definedName name="OSRRefP22_13x_0" localSheetId="66">'317'!$P$96</definedName>
    <definedName name="OSRRefP22_13x_0" localSheetId="71">'322'!$P$69</definedName>
    <definedName name="OSRRefP22_13x_0" localSheetId="72">'325'!$P$68</definedName>
    <definedName name="OSRRefP22_13x_0" localSheetId="61">'326'!$P$97:$P$98</definedName>
    <definedName name="OSRRefP22_13x_0" localSheetId="53">'330'!$P$121</definedName>
    <definedName name="OSRRefP22_13x_0" localSheetId="59">'331'!$P$114</definedName>
    <definedName name="OSRRefP22_13x_0" localSheetId="62">'332'!$P$83</definedName>
    <definedName name="OSRRefP22_13x_0" localSheetId="77">'405'!$P$64:$P$65</definedName>
    <definedName name="OSRRefP22_13x_0" localSheetId="78">'406'!$P$69</definedName>
    <definedName name="OSRRefP22_13x_0" localSheetId="79">'411'!$P$67</definedName>
    <definedName name="OSRRefP22_13x_0" localSheetId="80">'412'!$P$71</definedName>
    <definedName name="OSRRefP22_13x_0" localSheetId="83">'414'!$P$63:$P$69</definedName>
    <definedName name="OSRRefP22_13x_0" localSheetId="84">'415'!$P$69:$P$70</definedName>
    <definedName name="OSRRefP22_13x_0" localSheetId="85">'418'!$P$69:$P$75</definedName>
    <definedName name="OSRRefP22_13x_0" localSheetId="88">'425'!$P$73</definedName>
    <definedName name="OSRRefP22_13x_0" localSheetId="91">'433'!$P$75</definedName>
    <definedName name="OSRRefP22_13x_0" localSheetId="93">'444'!$P$68:$P$75</definedName>
    <definedName name="OSRRefP22_13x_0" localSheetId="95">'450'!$P$68:$P$74</definedName>
    <definedName name="OSRRefP22_13x_0" localSheetId="76">'491'!$P$76</definedName>
    <definedName name="OSRRefP22_13x_0" localSheetId="89">'492'!$P$70:$P$72</definedName>
    <definedName name="OSRRefP22_13x_0" localSheetId="98">'501'!$P$64</definedName>
    <definedName name="OSRRefP22_13x_0" localSheetId="39">'Div 2'!$P$66:$P$69</definedName>
    <definedName name="OSRRefP22_13x_0" localSheetId="47">'Div 3'!$P$212</definedName>
    <definedName name="OSRRefP22_13x_0" localSheetId="74">'Div 4'!$P$77</definedName>
    <definedName name="OSRRefP22_13x_0" localSheetId="97">'Div 5'!$P$64</definedName>
    <definedName name="OSRRefP22_13x_0" localSheetId="65">'Div 6'!$P$96</definedName>
    <definedName name="OSRRefP22_13x_0" localSheetId="2">Summary!$P$248</definedName>
    <definedName name="OSRRefP22_14x_0" localSheetId="41">'201'!$P$64</definedName>
    <definedName name="OSRRefP22_14x_0" localSheetId="42">'202'!$P$62</definedName>
    <definedName name="OSRRefP22_14x_0" localSheetId="43">'203'!$P$65</definedName>
    <definedName name="OSRRefP22_14x_0" localSheetId="48">'300'!$P$209</definedName>
    <definedName name="OSRRefP22_14x_0" localSheetId="49">'300 &amp; 317'!$P$234</definedName>
    <definedName name="OSRRefP22_14x_0" localSheetId="50">'301'!$P$64:$P$66</definedName>
    <definedName name="OSRRefP22_14x_0" localSheetId="56">'308'!$P$111</definedName>
    <definedName name="OSRRefP22_14x_0" localSheetId="67">'310'!$P$73:$P$75</definedName>
    <definedName name="OSRRefP22_14x_0" localSheetId="75">'310 &amp; 491'!$P$86</definedName>
    <definedName name="OSRRefP22_14x_0" localSheetId="57">'311'!$P$110</definedName>
    <definedName name="OSRRefP22_14x_0" localSheetId="69">'313'!$P$76</definedName>
    <definedName name="OSRRefP22_14x_0" localSheetId="60">'315'!$P$104:$P$105</definedName>
    <definedName name="OSRRefP22_14x_0" localSheetId="66">'317'!$P$98</definedName>
    <definedName name="OSRRefP22_14x_0" localSheetId="71">'322'!$P$71</definedName>
    <definedName name="OSRRefP22_14x_0" localSheetId="72">'325'!$P$70:$P$75</definedName>
    <definedName name="OSRRefP22_14x_0" localSheetId="61">'326'!$P$100:$P$102</definedName>
    <definedName name="OSRRefP22_14x_0" localSheetId="53">'330'!$P$123:$P$125</definedName>
    <definedName name="OSRRefP22_14x_0" localSheetId="59">'331'!$P$116:$P$118</definedName>
    <definedName name="OSRRefP22_14x_0" localSheetId="77">'405'!$P$67:$P$73</definedName>
    <definedName name="OSRRefP22_14x_0" localSheetId="79">'411'!$P$69:$P$75</definedName>
    <definedName name="OSRRefP22_14x_0" localSheetId="80">'412'!$P$73</definedName>
    <definedName name="OSRRefP22_14x_0" localSheetId="83">'414'!$P$71</definedName>
    <definedName name="OSRRefP22_14x_0" localSheetId="84">'415'!$P$72:$P$78</definedName>
    <definedName name="OSRRefP22_14x_0" localSheetId="85">'418'!$P$77</definedName>
    <definedName name="OSRRefP22_14x_0" localSheetId="88">'425'!$P$75</definedName>
    <definedName name="OSRRefP22_14x_0" localSheetId="91">'433'!$P$77</definedName>
    <definedName name="OSRRefP22_14x_0" localSheetId="93">'444'!$P$77</definedName>
    <definedName name="OSRRefP22_14x_0" localSheetId="95">'450'!$P$76</definedName>
    <definedName name="OSRRefP22_14x_0" localSheetId="76">'491'!$P$78</definedName>
    <definedName name="OSRRefP22_14x_0" localSheetId="89">'492'!$P$74:$P$81</definedName>
    <definedName name="OSRRefP22_14x_0" localSheetId="39">'Div 2'!$P$71:$P$72</definedName>
    <definedName name="OSRRefP22_14x_0" localSheetId="47">'Div 3'!$P$214</definedName>
    <definedName name="OSRRefP22_14x_0" localSheetId="74">'Div 4'!$P$79</definedName>
    <definedName name="OSRRefP22_14x_0" localSheetId="65">'Div 6'!$P$98</definedName>
    <definedName name="OSRRefP22_14x_0" localSheetId="2">Summary!$P$250</definedName>
    <definedName name="OSRRefP22_15x_0" localSheetId="41">'201'!$P$66</definedName>
    <definedName name="OSRRefP22_15x_0" localSheetId="42">'202'!$P$64</definedName>
    <definedName name="OSRRefP22_15x_0" localSheetId="43">'203'!$P$67</definedName>
    <definedName name="OSRRefP22_15x_0" localSheetId="48">'300'!$P$211</definedName>
    <definedName name="OSRRefP22_15x_0" localSheetId="49">'300 &amp; 317'!$P$236</definedName>
    <definedName name="OSRRefP22_15x_0" localSheetId="50">'301'!$P$68:$P$70</definedName>
    <definedName name="OSRRefP22_15x_0" localSheetId="67">'310'!$P$77</definedName>
    <definedName name="OSRRefP22_15x_0" localSheetId="75">'310 &amp; 491'!$P$88</definedName>
    <definedName name="OSRRefP22_15x_0" localSheetId="72">'325'!$P$77</definedName>
    <definedName name="OSRRefP22_15x_0" localSheetId="61">'326'!$P$104</definedName>
    <definedName name="OSRRefP22_15x_0" localSheetId="53">'330'!$P$127</definedName>
    <definedName name="OSRRefP22_15x_0" localSheetId="59">'331'!$P$120:$P$121</definedName>
    <definedName name="OSRRefP22_15x_0" localSheetId="77">'405'!$P$75</definedName>
    <definedName name="OSRRefP22_15x_0" localSheetId="79">'411'!$P$77</definedName>
    <definedName name="OSRRefP22_15x_0" localSheetId="83">'414'!$P$73</definedName>
    <definedName name="OSRRefP22_15x_0" localSheetId="84">'415'!$P$80</definedName>
    <definedName name="OSRRefP22_15x_0" localSheetId="85">'418'!$P$79</definedName>
    <definedName name="OSRRefP22_15x_0" localSheetId="88">'425'!$P$77</definedName>
    <definedName name="OSRRefP22_15x_0" localSheetId="91">'433'!$P$79:$P$80</definedName>
    <definedName name="OSRRefP22_15x_0" localSheetId="93">'444'!$P$79</definedName>
    <definedName name="OSRRefP22_15x_0" localSheetId="95">'450'!$P$78</definedName>
    <definedName name="OSRRefP22_15x_0" localSheetId="76">'491'!$P$80:$P$82</definedName>
    <definedName name="OSRRefP22_15x_0" localSheetId="89">'492'!$P$83</definedName>
    <definedName name="OSRRefP22_15x_0" localSheetId="39">'Div 2'!$P$74</definedName>
    <definedName name="OSRRefP22_15x_0" localSheetId="47">'Div 3'!$P$216</definedName>
    <definedName name="OSRRefP22_15x_0" localSheetId="74">'Div 4'!$P$81</definedName>
    <definedName name="OSRRefP22_15x_0" localSheetId="2">Summary!$P$252</definedName>
    <definedName name="OSRRefP22_16x_0" localSheetId="41">'201'!$P$68:$P$69</definedName>
    <definedName name="OSRRefP22_16x_0" localSheetId="48">'300'!$P$213:$P$215</definedName>
    <definedName name="OSRRefP22_16x_0" localSheetId="49">'300 &amp; 317'!$P$238:$P$240</definedName>
    <definedName name="OSRRefP22_16x_0" localSheetId="50">'301'!$P$72</definedName>
    <definedName name="OSRRefP22_16x_0" localSheetId="67">'310'!$P$79:$P$82</definedName>
    <definedName name="OSRRefP22_16x_0" localSheetId="75">'310 &amp; 491'!$P$90:$P$92</definedName>
    <definedName name="OSRRefP22_16x_0" localSheetId="72">'325'!$P$79</definedName>
    <definedName name="OSRRefP22_16x_0" localSheetId="61">'326'!$P$106:$P$110</definedName>
    <definedName name="OSRRefP22_16x_0" localSheetId="53">'330'!$P$129</definedName>
    <definedName name="OSRRefP22_16x_0" localSheetId="59">'331'!$P$123:$P$125</definedName>
    <definedName name="OSRRefP22_16x_0" localSheetId="77">'405'!$P$77</definedName>
    <definedName name="OSRRefP22_16x_0" localSheetId="79">'411'!$P$79</definedName>
    <definedName name="OSRRefP22_16x_0" localSheetId="84">'415'!$P$82</definedName>
    <definedName name="OSRRefP22_16x_0" localSheetId="93">'444'!$P$81</definedName>
    <definedName name="OSRRefP22_16x_0" localSheetId="95">'450'!$P$80:$P$81</definedName>
    <definedName name="OSRRefP22_16x_0" localSheetId="76">'491'!$P$84:$P$85</definedName>
    <definedName name="OSRRefP22_16x_0" localSheetId="89">'492'!$P$85</definedName>
    <definedName name="OSRRefP22_16x_0" localSheetId="39">'Div 2'!$P$76:$P$79</definedName>
    <definedName name="OSRRefP22_16x_0" localSheetId="47">'Div 3'!$P$218</definedName>
    <definedName name="OSRRefP22_16x_0" localSheetId="74">'Div 4'!$P$83:$P$85</definedName>
    <definedName name="OSRRefP22_16x_0" localSheetId="2">Summary!$P$254</definedName>
    <definedName name="OSRRefP22_17x_0" localSheetId="48">'300'!$P$217:$P$219</definedName>
    <definedName name="OSRRefP22_17x_0" localSheetId="49">'300 &amp; 317'!$P$242:$P$244</definedName>
    <definedName name="OSRRefP22_17x_0" localSheetId="50">'301'!$P$74:$P$78</definedName>
    <definedName name="OSRRefP22_17x_0" localSheetId="67">'310'!$P$84:$P$85</definedName>
    <definedName name="OSRRefP22_17x_0" localSheetId="75">'310 &amp; 491'!$P$94:$P$95</definedName>
    <definedName name="OSRRefP22_17x_0" localSheetId="72">'325'!$P$81</definedName>
    <definedName name="OSRRefP22_17x_0" localSheetId="61">'326'!$P$112</definedName>
    <definedName name="OSRRefP22_17x_0" localSheetId="53">'330'!$P$131</definedName>
    <definedName name="OSRRefP22_17x_0" localSheetId="59">'331'!$P$127:$P$128</definedName>
    <definedName name="OSRRefP22_17x_0" localSheetId="77">'405'!$P$79</definedName>
    <definedName name="OSRRefP22_17x_0" localSheetId="79">'411'!$P$81:$P$83</definedName>
    <definedName name="OSRRefP22_17x_0" localSheetId="84">'415'!$P$84</definedName>
    <definedName name="OSRRefP22_17x_0" localSheetId="76">'491'!$P$87:$P$91</definedName>
    <definedName name="OSRRefP22_17x_0" localSheetId="89">'492'!$P$87:$P$88</definedName>
    <definedName name="OSRRefP22_17x_0" localSheetId="39">'Div 2'!$P$81:$P$82</definedName>
    <definedName name="OSRRefP22_17x_0" localSheetId="47">'Div 3'!$P$220:$P$222</definedName>
    <definedName name="OSRRefP22_17x_0" localSheetId="74">'Div 4'!$P$87:$P$88</definedName>
    <definedName name="OSRRefP22_17x_0" localSheetId="2">Summary!$P$256</definedName>
    <definedName name="OSRRefP22_18x_0" localSheetId="48">'300'!$P$221:$P$224</definedName>
    <definedName name="OSRRefP22_18x_0" localSheetId="49">'300 &amp; 317'!$P$246:$P$249</definedName>
    <definedName name="OSRRefP22_18x_0" localSheetId="50">'301'!$P$80</definedName>
    <definedName name="OSRRefP22_18x_0" localSheetId="67">'310'!$P$87:$P$93</definedName>
    <definedName name="OSRRefP22_18x_0" localSheetId="75">'310 &amp; 491'!$P$97:$P$101</definedName>
    <definedName name="OSRRefP22_18x_0" localSheetId="61">'326'!$P$114</definedName>
    <definedName name="OSRRefP22_18x_0" localSheetId="59">'331'!$P$130:$P$135</definedName>
    <definedName name="OSRRefP22_18x_0" localSheetId="79">'411'!$P$85</definedName>
    <definedName name="OSRRefP22_18x_0" localSheetId="76">'491'!$P$93:$P$94</definedName>
    <definedName name="OSRRefP22_18x_0" localSheetId="39">'Div 2'!$P$84</definedName>
    <definedName name="OSRRefP22_18x_0" localSheetId="47">'Div 3'!$P$224:$P$226</definedName>
    <definedName name="OSRRefP22_18x_0" localSheetId="74">'Div 4'!$P$90:$P$94</definedName>
    <definedName name="OSRRefP22_18x_0" localSheetId="2">Summary!$P$258:$P$260</definedName>
    <definedName name="OSRRefP22_19x_0" localSheetId="48">'300'!$P$226:$P$227</definedName>
    <definedName name="OSRRefP22_19x_0" localSheetId="49">'300 &amp; 317'!$P$251:$P$252</definedName>
    <definedName name="OSRRefP22_19x_0" localSheetId="50">'301'!$P$82</definedName>
    <definedName name="OSRRefP22_19x_0" localSheetId="67">'310'!$P$95</definedName>
    <definedName name="OSRRefP22_19x_0" localSheetId="75">'310 &amp; 491'!$P$103:$P$104</definedName>
    <definedName name="OSRRefP22_19x_0" localSheetId="61">'326'!$P$116</definedName>
    <definedName name="OSRRefP22_19x_0" localSheetId="59">'331'!$P$137</definedName>
    <definedName name="OSRRefP22_19x_0" localSheetId="76">'491'!$P$96:$P$103</definedName>
    <definedName name="OSRRefP22_19x_0" localSheetId="39">'Div 2'!$P$86:$P$87</definedName>
    <definedName name="OSRRefP22_19x_0" localSheetId="47">'Div 3'!$P$228:$P$232</definedName>
    <definedName name="OSRRefP22_19x_0" localSheetId="74">'Div 4'!$P$96:$P$97</definedName>
    <definedName name="OSRRefP22_19x_0" localSheetId="2">Summary!$P$262:$P$264</definedName>
    <definedName name="OSRRefP22_1x_0" localSheetId="40">'200'!$P$22</definedName>
    <definedName name="OSRRefP22_1x_0" localSheetId="41">'201'!$P$30:$P$32</definedName>
    <definedName name="OSRRefP22_1x_0" localSheetId="42">'202'!$P$29:$P$32</definedName>
    <definedName name="OSRRefP22_1x_0" localSheetId="43">'203'!$P$31:$P$34</definedName>
    <definedName name="OSRRefP22_1x_0" localSheetId="44">'204'!$P$31:$P$35</definedName>
    <definedName name="OSRRefP22_1x_0" localSheetId="45">'205'!$P$29</definedName>
    <definedName name="OSRRefP22_1x_0" localSheetId="46">'206'!$P$29:$P$34</definedName>
    <definedName name="OSRRefP22_1x_0" localSheetId="48">'300'!$P$173:$P$179</definedName>
    <definedName name="OSRRefP22_1x_0" localSheetId="49">'300 &amp; 317'!$P$198:$P$204</definedName>
    <definedName name="OSRRefP22_1x_0" localSheetId="50">'301'!$P$29:$P$35</definedName>
    <definedName name="OSRRefP22_1x_0" localSheetId="51">'306'!$P$30:$P$34</definedName>
    <definedName name="OSRRefP22_1x_0" localSheetId="54">'307'!$P$83:$P$86</definedName>
    <definedName name="OSRRefP22_1x_0" localSheetId="56">'308'!$P$74:$P$78</definedName>
    <definedName name="OSRRefP22_1x_0" localSheetId="68">'309'!$P$33:$P$37</definedName>
    <definedName name="OSRRefP22_1x_0" localSheetId="67">'310'!$P$41:$P$46</definedName>
    <definedName name="OSRRefP22_1x_0" localSheetId="75">'310 &amp; 491'!$P$50:$P$56</definedName>
    <definedName name="OSRRefP22_1x_0" localSheetId="57">'311'!$P$73:$P$77</definedName>
    <definedName name="OSRRefP22_1x_0" localSheetId="69">'313'!$P$38:$P$42</definedName>
    <definedName name="OSRRefP22_1x_0" localSheetId="55">'314'!$P$64:$P$67</definedName>
    <definedName name="OSRRefP22_1x_0" localSheetId="60">'315'!$P$64:$P$69</definedName>
    <definedName name="OSRRefP22_1x_0" localSheetId="63">'316'!$P$41:$P$44</definedName>
    <definedName name="OSRRefP22_1x_0" localSheetId="66">'317'!$P$68:$P$71</definedName>
    <definedName name="OSRRefP22_1x_0" localSheetId="64">'320'!$P$38:$P$40</definedName>
    <definedName name="OSRRefP22_1x_0" localSheetId="70">'321'!$P$32:$P$36</definedName>
    <definedName name="OSRRefP22_1x_0" localSheetId="71">'322'!$P$33:$P$37</definedName>
    <definedName name="OSRRefP22_1x_0" localSheetId="72">'325'!$P$33:$P$38</definedName>
    <definedName name="OSRRefP22_1x_0" localSheetId="61">'326'!$P$70:$P$73</definedName>
    <definedName name="OSRRefP22_1x_0" localSheetId="73">'327'!$P$24</definedName>
    <definedName name="OSRRefP22_1x_0" localSheetId="53">'330'!$P$90:$P$94</definedName>
    <definedName name="OSRRefP22_1x_0" localSheetId="59">'331'!$P$83:$P$88</definedName>
    <definedName name="OSRRefP22_1x_0" localSheetId="62">'332'!$P$50:$P$53</definedName>
    <definedName name="OSRRefP22_1x_0" localSheetId="77">'405'!$P$33:$P$36</definedName>
    <definedName name="OSRRefP22_1x_0" localSheetId="78">'406'!$P$33:$P$37</definedName>
    <definedName name="OSRRefP22_1x_0" localSheetId="79">'411'!$P$30:$P$35</definedName>
    <definedName name="OSRRefP22_1x_0" localSheetId="80">'412'!$P$33:$P$38</definedName>
    <definedName name="OSRRefP22_1x_0" localSheetId="82">'413'!$P$33:$P$37</definedName>
    <definedName name="OSRRefP22_1x_0" localSheetId="83">'414'!$P$33:$P$38</definedName>
    <definedName name="OSRRefP22_1x_0" localSheetId="84">'415'!$P$33:$P$38</definedName>
    <definedName name="OSRRefP22_1x_0" localSheetId="85">'418'!$P$33:$P$38</definedName>
    <definedName name="OSRRefP22_1x_0" localSheetId="81">'420'!$P$31:$P$34</definedName>
    <definedName name="OSRRefP22_1x_0" localSheetId="86">'423'!$P$30</definedName>
    <definedName name="OSRRefP22_1x_0" localSheetId="87">'424'!$P$28:$P$32</definedName>
    <definedName name="OSRRefP22_1x_0" localSheetId="88">'425'!$P$36:$P$40</definedName>
    <definedName name="OSRRefP22_1x_0" localSheetId="90">'430'!$P$29</definedName>
    <definedName name="OSRRefP22_1x_0" localSheetId="91">'433'!$P$36:$P$41</definedName>
    <definedName name="OSRRefP22_1x_0" localSheetId="92">'435'!$P$29:$P$31</definedName>
    <definedName name="OSRRefP22_1x_0" localSheetId="93">'444'!$P$35:$P$40</definedName>
    <definedName name="OSRRefP22_1x_0" localSheetId="95">'450'!$P$35:$P$40</definedName>
    <definedName name="OSRRefP22_1x_0" localSheetId="96">'455'!$P$28:$P$29</definedName>
    <definedName name="OSRRefP22_1x_0" localSheetId="76">'491'!$P$43:$P$49</definedName>
    <definedName name="OSRRefP22_1x_0" localSheetId="89">'492'!$P$38:$P$44</definedName>
    <definedName name="OSRRefP22_1x_0" localSheetId="98">'501'!$P$30:$P$35</definedName>
    <definedName name="OSRRefP22_1x_0" localSheetId="39">'Div 2'!$P$32:$P$38</definedName>
    <definedName name="OSRRefP22_1x_0" localSheetId="47">'Div 3'!$P$178:$P$184</definedName>
    <definedName name="OSRRefP22_1x_0" localSheetId="74">'Div 4'!$P$44:$P$50</definedName>
    <definedName name="OSRRefP22_1x_0" localSheetId="97">'Div 5'!$P$30:$P$35</definedName>
    <definedName name="OSRRefP22_1x_0" localSheetId="65">'Div 6'!$P$68:$P$71</definedName>
    <definedName name="OSRRefP22_1x_0" localSheetId="2">Summary!$P$212:$P$218</definedName>
    <definedName name="OSRRefP22_20x_0" localSheetId="48">'300'!$P$229:$P$235</definedName>
    <definedName name="OSRRefP22_20x_0" localSheetId="49">'300 &amp; 317'!$P$254:$P$260</definedName>
    <definedName name="OSRRefP22_20x_0" localSheetId="50">'301'!$P$84:$P$86</definedName>
    <definedName name="OSRRefP22_20x_0" localSheetId="67">'310'!$P$97</definedName>
    <definedName name="OSRRefP22_20x_0" localSheetId="75">'310 &amp; 491'!$P$106:$P$113</definedName>
    <definedName name="OSRRefP22_20x_0" localSheetId="59">'331'!$P$139</definedName>
    <definedName name="OSRRefP22_20x_0" localSheetId="76">'491'!$P$105</definedName>
    <definedName name="OSRRefP22_20x_0" localSheetId="47">'Div 3'!$P$234:$P$235</definedName>
    <definedName name="OSRRefP22_20x_0" localSheetId="74">'Div 4'!$P$99:$P$106</definedName>
    <definedName name="OSRRefP22_20x_0" localSheetId="2">Summary!$P$266:$P$270</definedName>
    <definedName name="OSRRefP22_21x_0" localSheetId="48">'300'!$P$237:$P$238</definedName>
    <definedName name="OSRRefP22_21x_0" localSheetId="49">'300 &amp; 317'!$P$262:$P$263</definedName>
    <definedName name="OSRRefP22_21x_0" localSheetId="50">'301'!$P$88</definedName>
    <definedName name="OSRRefP22_21x_0" localSheetId="67">'310'!$P$99</definedName>
    <definedName name="OSRRefP22_21x_0" localSheetId="75">'310 &amp; 491'!$P$115</definedName>
    <definedName name="OSRRefP22_21x_0" localSheetId="59">'331'!$P$141:$P$142</definedName>
    <definedName name="OSRRefP22_21x_0" localSheetId="76">'491'!$P$107</definedName>
    <definedName name="OSRRefP22_21x_0" localSheetId="47">'Div 3'!$P$237:$P$243</definedName>
    <definedName name="OSRRefP22_21x_0" localSheetId="74">'Div 4'!$P$108</definedName>
    <definedName name="OSRRefP22_21x_0" localSheetId="2">Summary!$P$272:$P$273</definedName>
    <definedName name="OSRRefP22_22x_0" localSheetId="48">'300'!$P$240</definedName>
    <definedName name="OSRRefP22_22x_0" localSheetId="49">'300 &amp; 317'!$P$265</definedName>
    <definedName name="OSRRefP22_22x_0" localSheetId="75">'310 &amp; 491'!$P$117</definedName>
    <definedName name="OSRRefP22_22x_0" localSheetId="59">'331'!$P$144</definedName>
    <definedName name="OSRRefP22_22x_0" localSheetId="76">'491'!$P$109:$P$111</definedName>
    <definedName name="OSRRefP22_22x_0" localSheetId="47">'Div 3'!$P$245:$P$246</definedName>
    <definedName name="OSRRefP22_22x_0" localSheetId="74">'Div 4'!$P$110</definedName>
    <definedName name="OSRRefP22_22x_0" localSheetId="2">Summary!$P$275:$P$282</definedName>
    <definedName name="OSRRefP22_23x_0" localSheetId="48">'300'!$P$242:$P$244</definedName>
    <definedName name="OSRRefP22_23x_0" localSheetId="49">'300 &amp; 317'!$P$267:$P$269</definedName>
    <definedName name="OSRRefP22_23x_0" localSheetId="75">'310 &amp; 491'!$P$119:$P$121</definedName>
    <definedName name="OSRRefP22_23x_0" localSheetId="76">'491'!$P$113</definedName>
    <definedName name="OSRRefP22_23x_0" localSheetId="47">'Div 3'!$P$248</definedName>
    <definedName name="OSRRefP22_23x_0" localSheetId="74">'Div 4'!$P$112:$P$114</definedName>
    <definedName name="OSRRefP22_23x_0" localSheetId="2">Summary!$P$284:$P$285</definedName>
    <definedName name="OSRRefP22_24x_0" localSheetId="48">'300'!$P$246</definedName>
    <definedName name="OSRRefP22_24x_0" localSheetId="49">'300 &amp; 317'!$P$271</definedName>
    <definedName name="OSRRefP22_24x_0" localSheetId="75">'310 &amp; 491'!$P$123</definedName>
    <definedName name="OSRRefP22_24x_0" localSheetId="47">'Div 3'!$P$250:$P$252</definedName>
    <definedName name="OSRRefP22_24x_0" localSheetId="74">'Div 4'!$P$116</definedName>
    <definedName name="OSRRefP22_24x_0" localSheetId="2">Summary!$P$287</definedName>
    <definedName name="OSRRefP22_25x_0" localSheetId="47">'Div 3'!$P$254</definedName>
    <definedName name="OSRRefP22_25x_0" localSheetId="2">Summary!$P$289:$P$291</definedName>
    <definedName name="OSRRefP22_26x_0" localSheetId="2">Summary!$P$293</definedName>
    <definedName name="OSRRefP22_2x_0" localSheetId="40">'200'!$P$24</definedName>
    <definedName name="OSRRefP22_2x_0" localSheetId="41">'201'!$P$34</definedName>
    <definedName name="OSRRefP22_2x_0" localSheetId="42">'202'!$P$34</definedName>
    <definedName name="OSRRefP22_2x_0" localSheetId="43">'203'!$P$36</definedName>
    <definedName name="OSRRefP22_2x_0" localSheetId="44">'204'!$P$37</definedName>
    <definedName name="OSRRefP22_2x_0" localSheetId="45">'205'!$P$31</definedName>
    <definedName name="OSRRefP22_2x_0" localSheetId="46">'206'!$P$36</definedName>
    <definedName name="OSRRefP22_2x_0" localSheetId="48">'300'!$P$181</definedName>
    <definedName name="OSRRefP22_2x_0" localSheetId="49">'300 &amp; 317'!$P$206</definedName>
    <definedName name="OSRRefP22_2x_0" localSheetId="50">'301'!$P$37</definedName>
    <definedName name="OSRRefP22_2x_0" localSheetId="51">'306'!$P$36</definedName>
    <definedName name="OSRRefP22_2x_0" localSheetId="54">'307'!$P$88</definedName>
    <definedName name="OSRRefP22_2x_0" localSheetId="56">'308'!$P$80</definedName>
    <definedName name="OSRRefP22_2x_0" localSheetId="68">'309'!$P$39</definedName>
    <definedName name="OSRRefP22_2x_0" localSheetId="67">'310'!$P$48</definedName>
    <definedName name="OSRRefP22_2x_0" localSheetId="75">'310 &amp; 491'!$P$58</definedName>
    <definedName name="OSRRefP22_2x_0" localSheetId="57">'311'!$P$79</definedName>
    <definedName name="OSRRefP22_2x_0" localSheetId="69">'313'!$P$44</definedName>
    <definedName name="OSRRefP22_2x_0" localSheetId="55">'314'!$P$69</definedName>
    <definedName name="OSRRefP22_2x_0" localSheetId="60">'315'!$P$71</definedName>
    <definedName name="OSRRefP22_2x_0" localSheetId="63">'316'!$P$46</definedName>
    <definedName name="OSRRefP22_2x_0" localSheetId="66">'317'!$P$73</definedName>
    <definedName name="OSRRefP22_2x_0" localSheetId="64">'320'!$P$42</definedName>
    <definedName name="OSRRefP22_2x_0" localSheetId="70">'321'!$P$38</definedName>
    <definedName name="OSRRefP22_2x_0" localSheetId="71">'322'!$P$39</definedName>
    <definedName name="OSRRefP22_2x_0" localSheetId="72">'325'!$P$40</definedName>
    <definedName name="OSRRefP22_2x_0" localSheetId="61">'326'!$P$75</definedName>
    <definedName name="OSRRefP22_2x_0" localSheetId="73">'327'!$P$26</definedName>
    <definedName name="OSRRefP22_2x_0" localSheetId="53">'330'!$P$96</definedName>
    <definedName name="OSRRefP22_2x_0" localSheetId="59">'331'!$P$90</definedName>
    <definedName name="OSRRefP22_2x_0" localSheetId="62">'332'!$P$55</definedName>
    <definedName name="OSRRefP22_2x_0" localSheetId="77">'405'!$P$38</definedName>
    <definedName name="OSRRefP22_2x_0" localSheetId="78">'406'!$P$39</definedName>
    <definedName name="OSRRefP22_2x_0" localSheetId="79">'411'!$P$37</definedName>
    <definedName name="OSRRefP22_2x_0" localSheetId="80">'412'!$P$40</definedName>
    <definedName name="OSRRefP22_2x_0" localSheetId="82">'413'!$P$39</definedName>
    <definedName name="OSRRefP22_2x_0" localSheetId="83">'414'!$P$40</definedName>
    <definedName name="OSRRefP22_2x_0" localSheetId="84">'415'!$P$40</definedName>
    <definedName name="OSRRefP22_2x_0" localSheetId="85">'418'!$P$40</definedName>
    <definedName name="OSRRefP22_2x_0" localSheetId="81">'420'!$P$36</definedName>
    <definedName name="OSRRefP22_2x_0" localSheetId="86">'423'!$P$32</definedName>
    <definedName name="OSRRefP22_2x_0" localSheetId="87">'424'!$P$34</definedName>
    <definedName name="OSRRefP22_2x_0" localSheetId="88">'425'!$P$42</definedName>
    <definedName name="OSRRefP22_2x_0" localSheetId="90">'430'!$P$31</definedName>
    <definedName name="OSRRefP22_2x_0" localSheetId="91">'433'!$P$43</definedName>
    <definedName name="OSRRefP22_2x_0" localSheetId="92">'435'!$P$33</definedName>
    <definedName name="OSRRefP22_2x_0" localSheetId="93">'444'!$P$42</definedName>
    <definedName name="OSRRefP22_2x_0" localSheetId="95">'450'!$P$42</definedName>
    <definedName name="OSRRefP22_2x_0" localSheetId="96">'455'!$P$31</definedName>
    <definedName name="OSRRefP22_2x_0" localSheetId="76">'491'!$P$51</definedName>
    <definedName name="OSRRefP22_2x_0" localSheetId="89">'492'!$P$46</definedName>
    <definedName name="OSRRefP22_2x_0" localSheetId="98">'501'!$P$37</definedName>
    <definedName name="OSRRefP22_2x_0" localSheetId="39">'Div 2'!$P$40</definedName>
    <definedName name="OSRRefP22_2x_0" localSheetId="47">'Div 3'!$P$186</definedName>
    <definedName name="OSRRefP22_2x_0" localSheetId="74">'Div 4'!$P$52</definedName>
    <definedName name="OSRRefP22_2x_0" localSheetId="97">'Div 5'!$P$37</definedName>
    <definedName name="OSRRefP22_2x_0" localSheetId="65">'Div 6'!$P$73</definedName>
    <definedName name="OSRRefP22_2x_0" localSheetId="2">Summary!$P$220</definedName>
    <definedName name="OSRRefP22_3x_0" localSheetId="40">'200'!$P$26</definedName>
    <definedName name="OSRRefP22_3x_0" localSheetId="41">'201'!$P$36</definedName>
    <definedName name="OSRRefP22_3x_0" localSheetId="42">'202'!$P$36</definedName>
    <definedName name="OSRRefP22_3x_0" localSheetId="43">'203'!$P$38</definedName>
    <definedName name="OSRRefP22_3x_0" localSheetId="44">'204'!$P$39:$P$40</definedName>
    <definedName name="OSRRefP22_3x_0" localSheetId="45">'205'!$P$33</definedName>
    <definedName name="OSRRefP22_3x_0" localSheetId="46">'206'!$P$38</definedName>
    <definedName name="OSRRefP22_3x_0" localSheetId="48">'300'!$P$183:$P$184</definedName>
    <definedName name="OSRRefP22_3x_0" localSheetId="49">'300 &amp; 317'!$P$208:$P$209</definedName>
    <definedName name="OSRRefP22_3x_0" localSheetId="50">'301'!$P$39:$P$40</definedName>
    <definedName name="OSRRefP22_3x_0" localSheetId="51">'306'!$P$38</definedName>
    <definedName name="OSRRefP22_3x_0" localSheetId="54">'307'!$P$90</definedName>
    <definedName name="OSRRefP22_3x_0" localSheetId="56">'308'!$P$82:$P$83</definedName>
    <definedName name="OSRRefP22_3x_0" localSheetId="68">'309'!$P$41</definedName>
    <definedName name="OSRRefP22_3x_0" localSheetId="67">'310'!$P$50</definedName>
    <definedName name="OSRRefP22_3x_0" localSheetId="75">'310 &amp; 491'!$P$60</definedName>
    <definedName name="OSRRefP22_3x_0" localSheetId="57">'311'!$P$81:$P$82</definedName>
    <definedName name="OSRRefP22_3x_0" localSheetId="69">'313'!$P$46</definedName>
    <definedName name="OSRRefP22_3x_0" localSheetId="55">'314'!$P$71:$P$72</definedName>
    <definedName name="OSRRefP22_3x_0" localSheetId="60">'315'!$P$73:$P$74</definedName>
    <definedName name="OSRRefP22_3x_0" localSheetId="63">'316'!$P$48</definedName>
    <definedName name="OSRRefP22_3x_0" localSheetId="66">'317'!$P$75</definedName>
    <definedName name="OSRRefP22_3x_0" localSheetId="64">'320'!$P$44</definedName>
    <definedName name="OSRRefP22_3x_0" localSheetId="70">'321'!$P$40</definedName>
    <definedName name="OSRRefP22_3x_0" localSheetId="71">'322'!$P$41</definedName>
    <definedName name="OSRRefP22_3x_0" localSheetId="72">'325'!$P$42</definedName>
    <definedName name="OSRRefP22_3x_0" localSheetId="61">'326'!$P$77</definedName>
    <definedName name="OSRRefP22_3x_0" localSheetId="53">'330'!$P$98</definedName>
    <definedName name="OSRRefP22_3x_0" localSheetId="59">'331'!$P$92</definedName>
    <definedName name="OSRRefP22_3x_0" localSheetId="62">'332'!$P$57</definedName>
    <definedName name="OSRRefP22_3x_0" localSheetId="77">'405'!$P$40</definedName>
    <definedName name="OSRRefP22_3x_0" localSheetId="78">'406'!$P$41</definedName>
    <definedName name="OSRRefP22_3x_0" localSheetId="79">'411'!$P$39:$P$41</definedName>
    <definedName name="OSRRefP22_3x_0" localSheetId="80">'412'!$P$42</definedName>
    <definedName name="OSRRefP22_3x_0" localSheetId="82">'413'!$P$41</definedName>
    <definedName name="OSRRefP22_3x_0" localSheetId="83">'414'!$P$42</definedName>
    <definedName name="OSRRefP22_3x_0" localSheetId="84">'415'!$P$42</definedName>
    <definedName name="OSRRefP22_3x_0" localSheetId="85">'418'!$P$42</definedName>
    <definedName name="OSRRefP22_3x_0" localSheetId="81">'420'!$P$38</definedName>
    <definedName name="OSRRefP22_3x_0" localSheetId="86">'423'!$P$34</definedName>
    <definedName name="OSRRefP22_3x_0" localSheetId="87">'424'!$P$36</definedName>
    <definedName name="OSRRefP22_3x_0" localSheetId="88">'425'!$P$44</definedName>
    <definedName name="OSRRefP22_3x_0" localSheetId="90">'430'!$P$33</definedName>
    <definedName name="OSRRefP22_3x_0" localSheetId="91">'433'!$P$45</definedName>
    <definedName name="OSRRefP22_3x_0" localSheetId="92">'435'!$P$35</definedName>
    <definedName name="OSRRefP22_3x_0" localSheetId="93">'444'!$P$44</definedName>
    <definedName name="OSRRefP22_3x_0" localSheetId="95">'450'!$P$44</definedName>
    <definedName name="OSRRefP22_3x_0" localSheetId="76">'491'!$P$53</definedName>
    <definedName name="OSRRefP22_3x_0" localSheetId="89">'492'!$P$48</definedName>
    <definedName name="OSRRefP22_3x_0" localSheetId="98">'501'!$P$39</definedName>
    <definedName name="OSRRefP22_3x_0" localSheetId="39">'Div 2'!$P$42</definedName>
    <definedName name="OSRRefP22_3x_0" localSheetId="47">'Div 3'!$P$188:$P$189</definedName>
    <definedName name="OSRRefP22_3x_0" localSheetId="74">'Div 4'!$P$54</definedName>
    <definedName name="OSRRefP22_3x_0" localSheetId="97">'Div 5'!$P$39</definedName>
    <definedName name="OSRRefP22_3x_0" localSheetId="65">'Div 6'!$P$75</definedName>
    <definedName name="OSRRefP22_3x_0" localSheetId="2">Summary!$P$222:$P$223</definedName>
    <definedName name="OSRRefP22_4x_0" localSheetId="40">'200'!$P$28:$P$29</definedName>
    <definedName name="OSRRefP22_4x_0" localSheetId="41">'201'!$P$38</definedName>
    <definedName name="OSRRefP22_4x_0" localSheetId="42">'202'!$P$38</definedName>
    <definedName name="OSRRefP22_4x_0" localSheetId="43">'203'!$P$40</definedName>
    <definedName name="OSRRefP22_4x_0" localSheetId="44">'204'!$P$42</definedName>
    <definedName name="OSRRefP22_4x_0" localSheetId="45">'205'!$P$35:$P$36</definedName>
    <definedName name="OSRRefP22_4x_0" localSheetId="46">'206'!$P$40</definedName>
    <definedName name="OSRRefP22_4x_0" localSheetId="48">'300'!$P$186</definedName>
    <definedName name="OSRRefP22_4x_0" localSheetId="49">'300 &amp; 317'!$P$211</definedName>
    <definedName name="OSRRefP22_4x_0" localSheetId="50">'301'!$P$42</definedName>
    <definedName name="OSRRefP22_4x_0" localSheetId="51">'306'!$P$40</definedName>
    <definedName name="OSRRefP22_4x_0" localSheetId="54">'307'!$P$92:$P$93</definedName>
    <definedName name="OSRRefP22_4x_0" localSheetId="56">'308'!$P$85</definedName>
    <definedName name="OSRRefP22_4x_0" localSheetId="68">'309'!$P$43</definedName>
    <definedName name="OSRRefP22_4x_0" localSheetId="67">'310'!$P$52</definedName>
    <definedName name="OSRRefP22_4x_0" localSheetId="75">'310 &amp; 491'!$P$62</definedName>
    <definedName name="OSRRefP22_4x_0" localSheetId="57">'311'!$P$84</definedName>
    <definedName name="OSRRefP22_4x_0" localSheetId="69">'313'!$P$48</definedName>
    <definedName name="OSRRefP22_4x_0" localSheetId="55">'314'!$P$74</definedName>
    <definedName name="OSRRefP22_4x_0" localSheetId="60">'315'!$P$76</definedName>
    <definedName name="OSRRefP22_4x_0" localSheetId="63">'316'!$P$50</definedName>
    <definedName name="OSRRefP22_4x_0" localSheetId="66">'317'!$P$77</definedName>
    <definedName name="OSRRefP22_4x_0" localSheetId="64">'320'!$P$46:$P$47</definedName>
    <definedName name="OSRRefP22_4x_0" localSheetId="70">'321'!$P$42</definedName>
    <definedName name="OSRRefP22_4x_0" localSheetId="71">'322'!$P$43</definedName>
    <definedName name="OSRRefP22_4x_0" localSheetId="72">'325'!$P$44</definedName>
    <definedName name="OSRRefP22_4x_0" localSheetId="61">'326'!$P$79</definedName>
    <definedName name="OSRRefP22_4x_0" localSheetId="53">'330'!$P$100:$P$101</definedName>
    <definedName name="OSRRefP22_4x_0" localSheetId="59">'331'!$P$94</definedName>
    <definedName name="OSRRefP22_4x_0" localSheetId="62">'332'!$P$59</definedName>
    <definedName name="OSRRefP22_4x_0" localSheetId="77">'405'!$P$42</definedName>
    <definedName name="OSRRefP22_4x_0" localSheetId="78">'406'!$P$43</definedName>
    <definedName name="OSRRefP22_4x_0" localSheetId="79">'411'!$P$43</definedName>
    <definedName name="OSRRefP22_4x_0" localSheetId="80">'412'!$P$44</definedName>
    <definedName name="OSRRefP22_4x_0" localSheetId="82">'413'!$P$43</definedName>
    <definedName name="OSRRefP22_4x_0" localSheetId="83">'414'!$P$44</definedName>
    <definedName name="OSRRefP22_4x_0" localSheetId="84">'415'!$P$44</definedName>
    <definedName name="OSRRefP22_4x_0" localSheetId="85">'418'!$P$44</definedName>
    <definedName name="OSRRefP22_4x_0" localSheetId="81">'420'!$P$40:$P$41</definedName>
    <definedName name="OSRRefP22_4x_0" localSheetId="86">'423'!$P$36</definedName>
    <definedName name="OSRRefP22_4x_0" localSheetId="87">'424'!$P$38</definedName>
    <definedName name="OSRRefP22_4x_0" localSheetId="88">'425'!$P$46</definedName>
    <definedName name="OSRRefP22_4x_0" localSheetId="90">'430'!$P$35</definedName>
    <definedName name="OSRRefP22_4x_0" localSheetId="91">'433'!$P$47</definedName>
    <definedName name="OSRRefP22_4x_0" localSheetId="92">'435'!$P$37</definedName>
    <definedName name="OSRRefP22_4x_0" localSheetId="93">'444'!$P$46</definedName>
    <definedName name="OSRRefP22_4x_0" localSheetId="95">'450'!$P$46</definedName>
    <definedName name="OSRRefP22_4x_0" localSheetId="76">'491'!$P$55</definedName>
    <definedName name="OSRRefP22_4x_0" localSheetId="89">'492'!$P$50</definedName>
    <definedName name="OSRRefP22_4x_0" localSheetId="98">'501'!$P$41</definedName>
    <definedName name="OSRRefP22_4x_0" localSheetId="39">'Div 2'!$P$44</definedName>
    <definedName name="OSRRefP22_4x_0" localSheetId="47">'Div 3'!$P$191</definedName>
    <definedName name="OSRRefP22_4x_0" localSheetId="74">'Div 4'!$P$56</definedName>
    <definedName name="OSRRefP22_4x_0" localSheetId="97">'Div 5'!$P$41</definedName>
    <definedName name="OSRRefP22_4x_0" localSheetId="65">'Div 6'!$P$77</definedName>
    <definedName name="OSRRefP22_4x_0" localSheetId="2">Summary!$P$225</definedName>
    <definedName name="OSRRefP22_5x_0" localSheetId="41">'201'!$P$40</definedName>
    <definedName name="OSRRefP22_5x_0" localSheetId="42">'202'!$P$40</definedName>
    <definedName name="OSRRefP22_5x_0" localSheetId="43">'203'!$P$42</definedName>
    <definedName name="OSRRefP22_5x_0" localSheetId="44">'204'!$P$44</definedName>
    <definedName name="OSRRefP22_5x_0" localSheetId="45">'205'!$P$38</definedName>
    <definedName name="OSRRefP22_5x_0" localSheetId="46">'206'!$P$42:$P$43</definedName>
    <definedName name="OSRRefP22_5x_0" localSheetId="48">'300'!$P$188:$P$189</definedName>
    <definedName name="OSRRefP22_5x_0" localSheetId="49">'300 &amp; 317'!$P$213:$P$214</definedName>
    <definedName name="OSRRefP22_5x_0" localSheetId="50">'301'!$P$44:$P$45</definedName>
    <definedName name="OSRRefP22_5x_0" localSheetId="51">'306'!$P$42</definedName>
    <definedName name="OSRRefP22_5x_0" localSheetId="54">'307'!$P$95</definedName>
    <definedName name="OSRRefP22_5x_0" localSheetId="56">'308'!$P$87</definedName>
    <definedName name="OSRRefP22_5x_0" localSheetId="68">'309'!$P$45</definedName>
    <definedName name="OSRRefP22_5x_0" localSheetId="67">'310'!$P$54:$P$55</definedName>
    <definedName name="OSRRefP22_5x_0" localSheetId="75">'310 &amp; 491'!$P$64:$P$66</definedName>
    <definedName name="OSRRefP22_5x_0" localSheetId="57">'311'!$P$86</definedName>
    <definedName name="OSRRefP22_5x_0" localSheetId="69">'313'!$P$50</definedName>
    <definedName name="OSRRefP22_5x_0" localSheetId="55">'314'!$P$76</definedName>
    <definedName name="OSRRefP22_5x_0" localSheetId="60">'315'!$P$78:$P$79</definedName>
    <definedName name="OSRRefP22_5x_0" localSheetId="63">'316'!$P$52</definedName>
    <definedName name="OSRRefP22_5x_0" localSheetId="66">'317'!$P$79</definedName>
    <definedName name="OSRRefP22_5x_0" localSheetId="64">'320'!$P$49</definedName>
    <definedName name="OSRRefP22_5x_0" localSheetId="70">'321'!$P$44</definedName>
    <definedName name="OSRRefP22_5x_0" localSheetId="71">'322'!$P$45</definedName>
    <definedName name="OSRRefP22_5x_0" localSheetId="72">'325'!$P$46:$P$47</definedName>
    <definedName name="OSRRefP22_5x_0" localSheetId="61">'326'!$P$81</definedName>
    <definedName name="OSRRefP22_5x_0" localSheetId="53">'330'!$P$103</definedName>
    <definedName name="OSRRefP22_5x_0" localSheetId="59">'331'!$P$96:$P$97</definedName>
    <definedName name="OSRRefP22_5x_0" localSheetId="62">'332'!$P$61</definedName>
    <definedName name="OSRRefP22_5x_0" localSheetId="77">'405'!$P$44:$P$45</definedName>
    <definedName name="OSRRefP22_5x_0" localSheetId="78">'406'!$P$45</definedName>
    <definedName name="OSRRefP22_5x_0" localSheetId="79">'411'!$P$45</definedName>
    <definedName name="OSRRefP22_5x_0" localSheetId="80">'412'!$P$46</definedName>
    <definedName name="OSRRefP22_5x_0" localSheetId="82">'413'!$P$45</definedName>
    <definedName name="OSRRefP22_5x_0" localSheetId="83">'414'!$P$46</definedName>
    <definedName name="OSRRefP22_5x_0" localSheetId="84">'415'!$P$46:$P$47</definedName>
    <definedName name="OSRRefP22_5x_0" localSheetId="85">'418'!$P$46:$P$47</definedName>
    <definedName name="OSRRefP22_5x_0" localSheetId="81">'420'!$P$43</definedName>
    <definedName name="OSRRefP22_5x_0" localSheetId="86">'423'!$P$38</definedName>
    <definedName name="OSRRefP22_5x_0" localSheetId="87">'424'!$P$40</definedName>
    <definedName name="OSRRefP22_5x_0" localSheetId="88">'425'!$P$48</definedName>
    <definedName name="OSRRefP22_5x_0" localSheetId="90">'430'!$P$37</definedName>
    <definedName name="OSRRefP22_5x_0" localSheetId="91">'433'!$P$49</definedName>
    <definedName name="OSRRefP22_5x_0" localSheetId="92">'435'!$P$39</definedName>
    <definedName name="OSRRefP22_5x_0" localSheetId="93">'444'!$P$48</definedName>
    <definedName name="OSRRefP22_5x_0" localSheetId="95">'450'!$P$48</definedName>
    <definedName name="OSRRefP22_5x_0" localSheetId="76">'491'!$P$57:$P$59</definedName>
    <definedName name="OSRRefP22_5x_0" localSheetId="89">'492'!$P$52</definedName>
    <definedName name="OSRRefP22_5x_0" localSheetId="98">'501'!$P$43:$P$44</definedName>
    <definedName name="OSRRefP22_5x_0" localSheetId="39">'Div 2'!$P$46:$P$47</definedName>
    <definedName name="OSRRefP22_5x_0" localSheetId="47">'Div 3'!$P$193:$P$194</definedName>
    <definedName name="OSRRefP22_5x_0" localSheetId="74">'Div 4'!$P$58:$P$60</definedName>
    <definedName name="OSRRefP22_5x_0" localSheetId="97">'Div 5'!$P$43:$P$44</definedName>
    <definedName name="OSRRefP22_5x_0" localSheetId="65">'Div 6'!$P$79</definedName>
    <definedName name="OSRRefP22_5x_0" localSheetId="2">Summary!$P$227:$P$229</definedName>
    <definedName name="OSRRefP22_6x_0" localSheetId="41">'201'!$P$42</definedName>
    <definedName name="OSRRefP22_6x_0" localSheetId="42">'202'!$P$42</definedName>
    <definedName name="OSRRefP22_6x_0" localSheetId="43">'203'!$P$44</definedName>
    <definedName name="OSRRefP22_6x_0" localSheetId="44">'204'!$P$46:$P$49</definedName>
    <definedName name="OSRRefP22_6x_0" localSheetId="45">'205'!$P$40:$P$41</definedName>
    <definedName name="OSRRefP22_6x_0" localSheetId="46">'206'!$P$45</definedName>
    <definedName name="OSRRefP22_6x_0" localSheetId="48">'300'!$P$191:$P$192</definedName>
    <definedName name="OSRRefP22_6x_0" localSheetId="49">'300 &amp; 317'!$P$216:$P$217</definedName>
    <definedName name="OSRRefP22_6x_0" localSheetId="50">'301'!$P$47:$P$48</definedName>
    <definedName name="OSRRefP22_6x_0" localSheetId="51">'306'!$P$44</definedName>
    <definedName name="OSRRefP22_6x_0" localSheetId="54">'307'!$P$97</definedName>
    <definedName name="OSRRefP22_6x_0" localSheetId="56">'308'!$P$89:$P$90</definedName>
    <definedName name="OSRRefP22_6x_0" localSheetId="68">'309'!$P$47</definedName>
    <definedName name="OSRRefP22_6x_0" localSheetId="67">'310'!$P$57</definedName>
    <definedName name="OSRRefP22_6x_0" localSheetId="75">'310 &amp; 491'!$P$68</definedName>
    <definedName name="OSRRefP22_6x_0" localSheetId="57">'311'!$P$88:$P$89</definedName>
    <definedName name="OSRRefP22_6x_0" localSheetId="69">'313'!$P$52</definedName>
    <definedName name="OSRRefP22_6x_0" localSheetId="55">'314'!$P$78</definedName>
    <definedName name="OSRRefP22_6x_0" localSheetId="60">'315'!$P$81</definedName>
    <definedName name="OSRRefP22_6x_0" localSheetId="63">'316'!$P$54</definedName>
    <definedName name="OSRRefP22_6x_0" localSheetId="66">'317'!$P$81</definedName>
    <definedName name="OSRRefP22_6x_0" localSheetId="64">'320'!$P$51</definedName>
    <definedName name="OSRRefP22_6x_0" localSheetId="70">'321'!$P$46:$P$48</definedName>
    <definedName name="OSRRefP22_6x_0" localSheetId="71">'322'!$P$47</definedName>
    <definedName name="OSRRefP22_6x_0" localSheetId="72">'325'!$P$49</definedName>
    <definedName name="OSRRefP22_6x_0" localSheetId="61">'326'!$P$83</definedName>
    <definedName name="OSRRefP22_6x_0" localSheetId="53">'330'!$P$105</definedName>
    <definedName name="OSRRefP22_6x_0" localSheetId="59">'331'!$P$99</definedName>
    <definedName name="OSRRefP22_6x_0" localSheetId="62">'332'!$P$63:$P$64</definedName>
    <definedName name="OSRRefP22_6x_0" localSheetId="77">'405'!$P$47</definedName>
    <definedName name="OSRRefP22_6x_0" localSheetId="78">'406'!$P$47</definedName>
    <definedName name="OSRRefP22_6x_0" localSheetId="79">'411'!$P$47</definedName>
    <definedName name="OSRRefP22_6x_0" localSheetId="80">'412'!$P$48</definedName>
    <definedName name="OSRRefP22_6x_0" localSheetId="82">'413'!$P$47</definedName>
    <definedName name="OSRRefP22_6x_0" localSheetId="83">'414'!$P$48</definedName>
    <definedName name="OSRRefP22_6x_0" localSheetId="84">'415'!$P$49</definedName>
    <definedName name="OSRRefP22_6x_0" localSheetId="85">'418'!$P$49</definedName>
    <definedName name="OSRRefP22_6x_0" localSheetId="87">'424'!$P$42</definedName>
    <definedName name="OSRRefP22_6x_0" localSheetId="88">'425'!$P$50</definedName>
    <definedName name="OSRRefP22_6x_0" localSheetId="90">'430'!$P$39:$P$40</definedName>
    <definedName name="OSRRefP22_6x_0" localSheetId="91">'433'!$P$51</definedName>
    <definedName name="OSRRefP22_6x_0" localSheetId="92">'435'!$P$41</definedName>
    <definedName name="OSRRefP22_6x_0" localSheetId="93">'444'!$P$50</definedName>
    <definedName name="OSRRefP22_6x_0" localSheetId="95">'450'!$P$50</definedName>
    <definedName name="OSRRefP22_6x_0" localSheetId="76">'491'!$P$61</definedName>
    <definedName name="OSRRefP22_6x_0" localSheetId="89">'492'!$P$54</definedName>
    <definedName name="OSRRefP22_6x_0" localSheetId="98">'501'!$P$46</definedName>
    <definedName name="OSRRefP22_6x_0" localSheetId="39">'Div 2'!$P$49</definedName>
    <definedName name="OSRRefP22_6x_0" localSheetId="47">'Div 3'!$P$196:$P$197</definedName>
    <definedName name="OSRRefP22_6x_0" localSheetId="74">'Div 4'!$P$62</definedName>
    <definedName name="OSRRefP22_6x_0" localSheetId="97">'Div 5'!$P$46</definedName>
    <definedName name="OSRRefP22_6x_0" localSheetId="65">'Div 6'!$P$81</definedName>
    <definedName name="OSRRefP22_6x_0" localSheetId="2">Summary!$P$231:$P$232</definedName>
    <definedName name="OSRRefP22_7x_0" localSheetId="41">'201'!$P$44</definedName>
    <definedName name="OSRRefP22_7x_0" localSheetId="42">'202'!$P$44</definedName>
    <definedName name="OSRRefP22_7x_0" localSheetId="43">'203'!$P$46</definedName>
    <definedName name="OSRRefP22_7x_0" localSheetId="44">'204'!$P$51:$P$52</definedName>
    <definedName name="OSRRefP22_7x_0" localSheetId="45">'205'!$P$43</definedName>
    <definedName name="OSRRefP22_7x_0" localSheetId="46">'206'!$P$47</definedName>
    <definedName name="OSRRefP22_7x_0" localSheetId="48">'300'!$P$194</definedName>
    <definedName name="OSRRefP22_7x_0" localSheetId="49">'300 &amp; 317'!$P$219</definedName>
    <definedName name="OSRRefP22_7x_0" localSheetId="50">'301'!$P$50</definedName>
    <definedName name="OSRRefP22_7x_0" localSheetId="51">'306'!$P$46:$P$47</definedName>
    <definedName name="OSRRefP22_7x_0" localSheetId="54">'307'!$P$99</definedName>
    <definedName name="OSRRefP22_7x_0" localSheetId="56">'308'!$P$92</definedName>
    <definedName name="OSRRefP22_7x_0" localSheetId="68">'309'!$P$49</definedName>
    <definedName name="OSRRefP22_7x_0" localSheetId="67">'310'!$P$59</definedName>
    <definedName name="OSRRefP22_7x_0" localSheetId="75">'310 &amp; 491'!$P$70</definedName>
    <definedName name="OSRRefP22_7x_0" localSheetId="57">'311'!$P$91</definedName>
    <definedName name="OSRRefP22_7x_0" localSheetId="69">'313'!$P$54</definedName>
    <definedName name="OSRRefP22_7x_0" localSheetId="55">'314'!$P$80:$P$81</definedName>
    <definedName name="OSRRefP22_7x_0" localSheetId="60">'315'!$P$83</definedName>
    <definedName name="OSRRefP22_7x_0" localSheetId="63">'316'!$P$56</definedName>
    <definedName name="OSRRefP22_7x_0" localSheetId="66">'317'!$P$83</definedName>
    <definedName name="OSRRefP22_7x_0" localSheetId="64">'320'!$P$53:$P$54</definedName>
    <definedName name="OSRRefP22_7x_0" localSheetId="70">'321'!$P$50</definedName>
    <definedName name="OSRRefP22_7x_0" localSheetId="71">'322'!$P$49</definedName>
    <definedName name="OSRRefP22_7x_0" localSheetId="72">'325'!$P$51</definedName>
    <definedName name="OSRRefP22_7x_0" localSheetId="61">'326'!$P$85</definedName>
    <definedName name="OSRRefP22_7x_0" localSheetId="53">'330'!$P$107</definedName>
    <definedName name="OSRRefP22_7x_0" localSheetId="59">'331'!$P$101</definedName>
    <definedName name="OSRRefP22_7x_0" localSheetId="62">'332'!$P$66</definedName>
    <definedName name="OSRRefP22_7x_0" localSheetId="77">'405'!$P$49</definedName>
    <definedName name="OSRRefP22_7x_0" localSheetId="78">'406'!$P$49</definedName>
    <definedName name="OSRRefP22_7x_0" localSheetId="79">'411'!$P$49</definedName>
    <definedName name="OSRRefP22_7x_0" localSheetId="80">'412'!$P$50</definedName>
    <definedName name="OSRRefP22_7x_0" localSheetId="82">'413'!$P$49:$P$51</definedName>
    <definedName name="OSRRefP22_7x_0" localSheetId="83">'414'!$P$50</definedName>
    <definedName name="OSRRefP22_7x_0" localSheetId="84">'415'!$P$51</definedName>
    <definedName name="OSRRefP22_7x_0" localSheetId="85">'418'!$P$51</definedName>
    <definedName name="OSRRefP22_7x_0" localSheetId="87">'424'!$P$44:$P$45</definedName>
    <definedName name="OSRRefP22_7x_0" localSheetId="88">'425'!$P$52</definedName>
    <definedName name="OSRRefP22_7x_0" localSheetId="90">'430'!$P$42</definedName>
    <definedName name="OSRRefP22_7x_0" localSheetId="91">'433'!$P$53</definedName>
    <definedName name="OSRRefP22_7x_0" localSheetId="92">'435'!$P$43:$P$46</definedName>
    <definedName name="OSRRefP22_7x_0" localSheetId="93">'444'!$P$52</definedName>
    <definedName name="OSRRefP22_7x_0" localSheetId="95">'450'!$P$52</definedName>
    <definedName name="OSRRefP22_7x_0" localSheetId="76">'491'!$P$63</definedName>
    <definedName name="OSRRefP22_7x_0" localSheetId="89">'492'!$P$56</definedName>
    <definedName name="OSRRefP22_7x_0" localSheetId="98">'501'!$P$48</definedName>
    <definedName name="OSRRefP22_7x_0" localSheetId="39">'Div 2'!$P$51</definedName>
    <definedName name="OSRRefP22_7x_0" localSheetId="47">'Div 3'!$P$199</definedName>
    <definedName name="OSRRefP22_7x_0" localSheetId="74">'Div 4'!$P$64</definedName>
    <definedName name="OSRRefP22_7x_0" localSheetId="97">'Div 5'!$P$48</definedName>
    <definedName name="OSRRefP22_7x_0" localSheetId="65">'Div 6'!$P$83</definedName>
    <definedName name="OSRRefP22_7x_0" localSheetId="2">Summary!$P$234</definedName>
    <definedName name="OSRRefP22_8x_0" localSheetId="41">'201'!$P$46</definedName>
    <definedName name="OSRRefP22_8x_0" localSheetId="42">'202'!$P$46</definedName>
    <definedName name="OSRRefP22_8x_0" localSheetId="43">'203'!$P$48</definedName>
    <definedName name="OSRRefP22_8x_0" localSheetId="44">'204'!$P$54:$P$55</definedName>
    <definedName name="OSRRefP22_8x_0" localSheetId="45">'205'!$P$45</definedName>
    <definedName name="OSRRefP22_8x_0" localSheetId="48">'300'!$P$196</definedName>
    <definedName name="OSRRefP22_8x_0" localSheetId="49">'300 &amp; 317'!$P$221</definedName>
    <definedName name="OSRRefP22_8x_0" localSheetId="50">'301'!$P$52</definedName>
    <definedName name="OSRRefP22_8x_0" localSheetId="51">'306'!$P$49:$P$53</definedName>
    <definedName name="OSRRefP22_8x_0" localSheetId="54">'307'!$P$101</definedName>
    <definedName name="OSRRefP22_8x_0" localSheetId="56">'308'!$P$94</definedName>
    <definedName name="OSRRefP22_8x_0" localSheetId="68">'309'!$P$51</definedName>
    <definedName name="OSRRefP22_8x_0" localSheetId="67">'310'!$P$61</definedName>
    <definedName name="OSRRefP22_8x_0" localSheetId="75">'310 &amp; 491'!$P$72</definedName>
    <definedName name="OSRRefP22_8x_0" localSheetId="57">'311'!$P$93</definedName>
    <definedName name="OSRRefP22_8x_0" localSheetId="69">'313'!$P$56</definedName>
    <definedName name="OSRRefP22_8x_0" localSheetId="55">'314'!$P$83</definedName>
    <definedName name="OSRRefP22_8x_0" localSheetId="60">'315'!$P$85:$P$86</definedName>
    <definedName name="OSRRefP22_8x_0" localSheetId="63">'316'!$P$58:$P$59</definedName>
    <definedName name="OSRRefP22_8x_0" localSheetId="66">'317'!$P$85</definedName>
    <definedName name="OSRRefP22_8x_0" localSheetId="64">'320'!$P$56</definedName>
    <definedName name="OSRRefP22_8x_0" localSheetId="70">'321'!$P$52:$P$54</definedName>
    <definedName name="OSRRefP22_8x_0" localSheetId="71">'322'!$P$51</definedName>
    <definedName name="OSRRefP22_8x_0" localSheetId="72">'325'!$P$53</definedName>
    <definedName name="OSRRefP22_8x_0" localSheetId="61">'326'!$P$87</definedName>
    <definedName name="OSRRefP22_8x_0" localSheetId="53">'330'!$P$109</definedName>
    <definedName name="OSRRefP22_8x_0" localSheetId="59">'331'!$P$103:$P$104</definedName>
    <definedName name="OSRRefP22_8x_0" localSheetId="62">'332'!$P$68</definedName>
    <definedName name="OSRRefP22_8x_0" localSheetId="77">'405'!$P$51</definedName>
    <definedName name="OSRRefP22_8x_0" localSheetId="78">'406'!$P$51</definedName>
    <definedName name="OSRRefP22_8x_0" localSheetId="79">'411'!$P$51</definedName>
    <definedName name="OSRRefP22_8x_0" localSheetId="80">'412'!$P$52</definedName>
    <definedName name="OSRRefP22_8x_0" localSheetId="82">'413'!$P$53:$P$54</definedName>
    <definedName name="OSRRefP22_8x_0" localSheetId="83">'414'!$P$52</definedName>
    <definedName name="OSRRefP22_8x_0" localSheetId="84">'415'!$P$53</definedName>
    <definedName name="OSRRefP22_8x_0" localSheetId="85">'418'!$P$53</definedName>
    <definedName name="OSRRefP22_8x_0" localSheetId="87">'424'!$P$47</definedName>
    <definedName name="OSRRefP22_8x_0" localSheetId="88">'425'!$P$54</definedName>
    <definedName name="OSRRefP22_8x_0" localSheetId="90">'430'!$P$44</definedName>
    <definedName name="OSRRefP22_8x_0" localSheetId="91">'433'!$P$55</definedName>
    <definedName name="OSRRefP22_8x_0" localSheetId="92">'435'!$P$48</definedName>
    <definedName name="OSRRefP22_8x_0" localSheetId="93">'444'!$P$54</definedName>
    <definedName name="OSRRefP22_8x_0" localSheetId="95">'450'!$P$54</definedName>
    <definedName name="OSRRefP22_8x_0" localSheetId="76">'491'!$P$65</definedName>
    <definedName name="OSRRefP22_8x_0" localSheetId="89">'492'!$P$58</definedName>
    <definedName name="OSRRefP22_8x_0" localSheetId="98">'501'!$P$50</definedName>
    <definedName name="OSRRefP22_8x_0" localSheetId="39">'Div 2'!$P$53</definedName>
    <definedName name="OSRRefP22_8x_0" localSheetId="47">'Div 3'!$P$201</definedName>
    <definedName name="OSRRefP22_8x_0" localSheetId="74">'Div 4'!$P$66</definedName>
    <definedName name="OSRRefP22_8x_0" localSheetId="97">'Div 5'!$P$50</definedName>
    <definedName name="OSRRefP22_8x_0" localSheetId="65">'Div 6'!$P$85</definedName>
    <definedName name="OSRRefP22_8x_0" localSheetId="2">Summary!$P$236</definedName>
    <definedName name="OSRRefP22_9x_0" localSheetId="41">'201'!$P$48</definedName>
    <definedName name="OSRRefP22_9x_0" localSheetId="42">'202'!$P$48</definedName>
    <definedName name="OSRRefP22_9x_0" localSheetId="43">'203'!$P$50:$P$52</definedName>
    <definedName name="OSRRefP22_9x_0" localSheetId="44">'204'!$P$57</definedName>
    <definedName name="OSRRefP22_9x_0" localSheetId="48">'300'!$P$198</definedName>
    <definedName name="OSRRefP22_9x_0" localSheetId="49">'300 &amp; 317'!$P$223</definedName>
    <definedName name="OSRRefP22_9x_0" localSheetId="50">'301'!$P$54</definedName>
    <definedName name="OSRRefP22_9x_0" localSheetId="51">'306'!$P$55</definedName>
    <definedName name="OSRRefP22_9x_0" localSheetId="54">'307'!$P$103:$P$104</definedName>
    <definedName name="OSRRefP22_9x_0" localSheetId="56">'308'!$P$96:$P$97</definedName>
    <definedName name="OSRRefP22_9x_0" localSheetId="68">'309'!$P$53:$P$54</definedName>
    <definedName name="OSRRefP22_9x_0" localSheetId="67">'310'!$P$63</definedName>
    <definedName name="OSRRefP22_9x_0" localSheetId="75">'310 &amp; 491'!$P$74</definedName>
    <definedName name="OSRRefP22_9x_0" localSheetId="57">'311'!$P$95:$P$96</definedName>
    <definedName name="OSRRefP22_9x_0" localSheetId="69">'313'!$P$58:$P$60</definedName>
    <definedName name="OSRRefP22_9x_0" localSheetId="55">'314'!$P$85</definedName>
    <definedName name="OSRRefP22_9x_0" localSheetId="60">'315'!$P$88:$P$89</definedName>
    <definedName name="OSRRefP22_9x_0" localSheetId="63">'316'!$P$61</definedName>
    <definedName name="OSRRefP22_9x_0" localSheetId="66">'317'!$P$87</definedName>
    <definedName name="OSRRefP22_9x_0" localSheetId="70">'321'!$P$56:$P$60</definedName>
    <definedName name="OSRRefP22_9x_0" localSheetId="71">'322'!$P$53:$P$54</definedName>
    <definedName name="OSRRefP22_9x_0" localSheetId="72">'325'!$P$55</definedName>
    <definedName name="OSRRefP22_9x_0" localSheetId="61">'326'!$P$89</definedName>
    <definedName name="OSRRefP22_9x_0" localSheetId="53">'330'!$P$111</definedName>
    <definedName name="OSRRefP22_9x_0" localSheetId="59">'331'!$P$106</definedName>
    <definedName name="OSRRefP22_9x_0" localSheetId="62">'332'!$P$70:$P$71</definedName>
    <definedName name="OSRRefP22_9x_0" localSheetId="77">'405'!$P$53</definedName>
    <definedName name="OSRRefP22_9x_0" localSheetId="78">'406'!$P$53:$P$55</definedName>
    <definedName name="OSRRefP22_9x_0" localSheetId="79">'411'!$P$53</definedName>
    <definedName name="OSRRefP22_9x_0" localSheetId="80">'412'!$P$54:$P$55</definedName>
    <definedName name="OSRRefP22_9x_0" localSheetId="82">'413'!$P$56:$P$60</definedName>
    <definedName name="OSRRefP22_9x_0" localSheetId="83">'414'!$P$54:$P$55</definedName>
    <definedName name="OSRRefP22_9x_0" localSheetId="84">'415'!$P$55</definedName>
    <definedName name="OSRRefP22_9x_0" localSheetId="85">'418'!$P$55:$P$56</definedName>
    <definedName name="OSRRefP22_9x_0" localSheetId="87">'424'!$P$49</definedName>
    <definedName name="OSRRefP22_9x_0" localSheetId="88">'425'!$P$56:$P$58</definedName>
    <definedName name="OSRRefP22_9x_0" localSheetId="90">'430'!$P$46</definedName>
    <definedName name="OSRRefP22_9x_0" localSheetId="91">'433'!$P$57</definedName>
    <definedName name="OSRRefP22_9x_0" localSheetId="93">'444'!$P$56</definedName>
    <definedName name="OSRRefP22_9x_0" localSheetId="95">'450'!$P$56</definedName>
    <definedName name="OSRRefP22_9x_0" localSheetId="76">'491'!$P$67</definedName>
    <definedName name="OSRRefP22_9x_0" localSheetId="89">'492'!$P$60</definedName>
    <definedName name="OSRRefP22_9x_0" localSheetId="98">'501'!$P$52</definedName>
    <definedName name="OSRRefP22_9x_0" localSheetId="39">'Div 2'!$P$55</definedName>
    <definedName name="OSRRefP22_9x_0" localSheetId="47">'Div 3'!$P$203</definedName>
    <definedName name="OSRRefP22_9x_0" localSheetId="74">'Div 4'!$P$68</definedName>
    <definedName name="OSRRefP22_9x_0" localSheetId="97">'Div 5'!$P$52</definedName>
    <definedName name="OSRRefP22_9x_0" localSheetId="65">'Div 6'!$P$87</definedName>
    <definedName name="OSRRefP22_9x_0" localSheetId="2">Summary!$P$238</definedName>
    <definedName name="OSRRefP22x_0" localSheetId="40">'200'!$P$20,'200'!$P$22,'200'!$P$24,'200'!$P$26,'200'!$P$28:$P$29</definedName>
    <definedName name="OSRRefP22x_0" localSheetId="41">'201'!$P$20:$P$28,'201'!$P$30:$P$32,'201'!$P$34,'201'!$P$36,'201'!$P$38,'201'!$P$40,'201'!$P$42,'201'!$P$44,'201'!$P$46,'201'!$P$48,'201'!$P$50:$P$52,'201'!$P$54:$P$56,'201'!$P$58,'201'!$P$60:$P$62,'201'!$P$64,'201'!$P$66,'201'!$P$68:$P$69</definedName>
    <definedName name="OSRRefP22x_0" localSheetId="42">'202'!$P$20:$P$27,'202'!$P$29:$P$32,'202'!$P$34,'202'!$P$36,'202'!$P$38,'202'!$P$40,'202'!$P$42,'202'!$P$44,'202'!$P$46,'202'!$P$48,'202'!$P$50:$P$52,'202'!$P$54,'202'!$P$56,'202'!$P$58:$P$60,'202'!$P$62,'202'!$P$64</definedName>
    <definedName name="OSRRefP22x_0" localSheetId="43">'203'!$P$20:$P$29,'203'!$P$31:$P$34,'203'!$P$36,'203'!$P$38,'203'!$P$40,'203'!$P$42,'203'!$P$44,'203'!$P$46,'203'!$P$48,'203'!$P$50:$P$52,'203'!$P$54:$P$55,'203'!$P$57,'203'!$P$59:$P$61,'203'!$P$63,'203'!$P$65,'203'!$P$67</definedName>
    <definedName name="OSRRefP22x_0" localSheetId="44">'204'!$P$20:$P$29,'204'!$P$31:$P$35,'204'!$P$37,'204'!$P$39:$P$40,'204'!$P$42,'204'!$P$44,'204'!$P$46:$P$49,'204'!$P$51:$P$52,'204'!$P$54:$P$55,'204'!$P$57,'204'!$P$59:$P$60</definedName>
    <definedName name="OSRRefP22x_0" localSheetId="45">'205'!$P$20:$P$27,'205'!$P$29,'205'!$P$31,'205'!$P$33,'205'!$P$35:$P$36,'205'!$P$38,'205'!$P$40:$P$41,'205'!$P$43,'205'!$P$45</definedName>
    <definedName name="OSRRefP22x_0" localSheetId="46">'206'!$P$20:$P$27,'206'!$P$29:$P$34,'206'!$P$36,'206'!$P$38,'206'!$P$40,'206'!$P$42:$P$43,'206'!$P$45,'206'!$P$47</definedName>
    <definedName name="OSRRefP22x_0" localSheetId="48">'300'!$P$163:$P$171,'300'!$P$173:$P$179,'300'!$P$181,'300'!$P$183:$P$184,'300'!$P$186,'300'!$P$188:$P$189,'300'!$P$191:$P$192,'300'!$P$194,'300'!$P$196,'300'!$P$198,'300'!$P$200:$P$201,'300'!$P$203,'300'!$P$205,'300'!$P$207,'300'!$P$209,'300'!$P$211,'300'!$P$213:$P$215,'300'!$P$217:$P$219,'300'!$P$221:$P$224,'300'!$P$226:$P$227,'300'!$P$229:$P$235,'300'!$P$237:$P$238,'300'!$P$240,'300'!$P$242:$P$244,'300'!$P$246</definedName>
    <definedName name="OSRRefP22x_0" localSheetId="49">'300 &amp; 317'!$P$188:$P$196,'300 &amp; 317'!$P$198:$P$204,'300 &amp; 317'!$P$206,'300 &amp; 317'!$P$208:$P$209,'300 &amp; 317'!$P$211,'300 &amp; 317'!$P$213:$P$214,'300 &amp; 317'!$P$216:$P$217,'300 &amp; 317'!$P$219,'300 &amp; 317'!$P$221,'300 &amp; 317'!$P$223,'300 &amp; 317'!$P$225:$P$226,'300 &amp; 317'!$P$228,'300 &amp; 317'!$P$230,'300 &amp; 317'!$P$232,'300 &amp; 317'!$P$234,'300 &amp; 317'!$P$236,'300 &amp; 317'!$P$238:$P$240,'300 &amp; 317'!$P$242:$P$244,'300 &amp; 317'!$P$246:$P$249,'300 &amp; 317'!$P$251:$P$252,'300 &amp; 317'!$P$254:$P$260,'300 &amp; 317'!$P$262:$P$263,'300 &amp; 317'!$P$265,'300 &amp; 317'!$P$267:$P$269,'300 &amp; 317'!$P$271</definedName>
    <definedName name="OSRRefP22x_0" localSheetId="50">'301'!$P$20:$P$27,'301'!$P$29:$P$35,'301'!$P$37,'301'!$P$39:$P$40,'301'!$P$42,'301'!$P$44:$P$45,'301'!$P$47:$P$48,'301'!$P$50,'301'!$P$52,'301'!$P$54,'301'!$P$56,'301'!$P$58,'301'!$P$60,'301'!$P$62,'301'!$P$64:$P$66,'301'!$P$68:$P$70,'301'!$P$72,'301'!$P$74:$P$78,'301'!$P$80,'301'!$P$82,'301'!$P$84:$P$86,'301'!$P$88</definedName>
    <definedName name="OSRRefP22x_0" localSheetId="51">'306'!$P$20:$P$28,'306'!$P$30:$P$34,'306'!$P$36,'306'!$P$38,'306'!$P$40,'306'!$P$42,'306'!$P$44,'306'!$P$46:$P$47,'306'!$P$49:$P$53,'306'!$P$55,'306'!$P$57</definedName>
    <definedName name="OSRRefP22x_0" localSheetId="54">'307'!$P$74:$P$81,'307'!$P$83:$P$86,'307'!$P$88,'307'!$P$90,'307'!$P$92:$P$93,'307'!$P$95,'307'!$P$97,'307'!$P$99,'307'!$P$101,'307'!$P$103:$P$104,'307'!$P$106:$P$107,'307'!$P$109:$P$110,'307'!$P$112,'307'!$P$114</definedName>
    <definedName name="OSRRefP22x_0" localSheetId="56">'308'!$P$64:$P$72,'308'!$P$74:$P$78,'308'!$P$80,'308'!$P$82:$P$83,'308'!$P$85,'308'!$P$87,'308'!$P$89:$P$90,'308'!$P$92,'308'!$P$94,'308'!$P$96:$P$97,'308'!$P$99,'308'!$P$101:$P$104,'308'!$P$106:$P$107,'308'!$P$109,'308'!$P$111</definedName>
    <definedName name="OSRRefP22x_0" localSheetId="68">'309'!$P$24:$P$31,'309'!$P$33:$P$37,'309'!$P$39,'309'!$P$41,'309'!$P$43,'309'!$P$45,'309'!$P$47,'309'!$P$49,'309'!$P$51,'309'!$P$53:$P$54,'309'!$P$56:$P$58,'309'!$P$60,'309'!$P$62:$P$67,'309'!$P$69</definedName>
    <definedName name="OSRRefP22x_0" localSheetId="67">'310'!$P$32:$P$39,'310'!$P$41:$P$46,'310'!$P$48,'310'!$P$50,'310'!$P$52,'310'!$P$54:$P$55,'310'!$P$57,'310'!$P$59,'310'!$P$61,'310'!$P$63,'310'!$P$65,'310'!$P$67,'310'!$P$69,'310'!$P$71,'310'!$P$73:$P$75,'310'!$P$77,'310'!$P$79:$P$82,'310'!$P$84:$P$85,'310'!$P$87:$P$93,'310'!$P$95,'310'!$P$97,'310'!$P$99</definedName>
    <definedName name="OSRRefP22x_0" localSheetId="75">'310 &amp; 491'!$P$40:$P$48,'310 &amp; 491'!$P$50:$P$56,'310 &amp; 491'!$P$58,'310 &amp; 491'!$P$60,'310 &amp; 491'!$P$62,'310 &amp; 491'!$P$64:$P$66,'310 &amp; 491'!$P$68,'310 &amp; 491'!$P$70,'310 &amp; 491'!$P$72,'310 &amp; 491'!$P$74,'310 &amp; 491'!$P$76:$P$77,'310 &amp; 491'!$P$79:$P$80,'310 &amp; 491'!$P$82,'310 &amp; 491'!$P$84,'310 &amp; 491'!$P$86,'310 &amp; 491'!$P$88,'310 &amp; 491'!$P$90:$P$92,'310 &amp; 491'!$P$94:$P$95,'310 &amp; 491'!$P$97:$P$101,'310 &amp; 491'!$P$103:$P$104,'310 &amp; 491'!$P$106:$P$113,'310 &amp; 491'!$P$115,'310 &amp; 491'!$P$117,'310 &amp; 491'!$P$119:$P$121,'310 &amp; 491'!$P$123</definedName>
    <definedName name="OSRRefP22x_0" localSheetId="57">'311'!$P$63:$P$71,'311'!$P$73:$P$77,'311'!$P$79,'311'!$P$81:$P$82,'311'!$P$84,'311'!$P$86,'311'!$P$88:$P$89,'311'!$P$91,'311'!$P$93,'311'!$P$95:$P$96,'311'!$P$98,'311'!$P$100:$P$103,'311'!$P$105:$P$106,'311'!$P$108,'311'!$P$110</definedName>
    <definedName name="OSRRefP22x_0" localSheetId="69">'313'!$P$29:$P$36,'313'!$P$38:$P$42,'313'!$P$44,'313'!$P$46,'313'!$P$48,'313'!$P$50,'313'!$P$52,'313'!$P$54,'313'!$P$56,'313'!$P$58:$P$60,'313'!$P$62,'313'!$P$64:$P$65,'313'!$P$67:$P$72,'313'!$P$74,'313'!$P$76</definedName>
    <definedName name="OSRRefP22x_0" localSheetId="55">'314'!$P$56:$P$62,'314'!$P$64:$P$67,'314'!$P$69,'314'!$P$71:$P$72,'314'!$P$74,'314'!$P$76,'314'!$P$78,'314'!$P$80:$P$81,'314'!$P$83,'314'!$P$85</definedName>
    <definedName name="OSRRefP22x_0" localSheetId="60">'315'!$P$55:$P$62,'315'!$P$64:$P$69,'315'!$P$71,'315'!$P$73:$P$74,'315'!$P$76,'315'!$P$78:$P$79,'315'!$P$81,'315'!$P$83,'315'!$P$85:$P$86,'315'!$P$88:$P$89,'315'!$P$91:$P$92,'315'!$P$94:$P$98,'315'!$P$100,'315'!$P$102,'315'!$P$104:$P$105</definedName>
    <definedName name="OSRRefP22x_0" localSheetId="63">'316'!$P$32:$P$39,'316'!$P$41:$P$44,'316'!$P$46,'316'!$P$48,'316'!$P$50,'316'!$P$52,'316'!$P$54,'316'!$P$56,'316'!$P$58:$P$59,'316'!$P$61,'316'!$P$63:$P$67,'316'!$P$69,'316'!$P$71</definedName>
    <definedName name="OSRRefP22x_0" localSheetId="66">'317'!$P$58:$P$66,'317'!$P$68:$P$71,'317'!$P$73,'317'!$P$75,'317'!$P$77,'317'!$P$79,'317'!$P$81,'317'!$P$83,'317'!$P$85,'317'!$P$87,'317'!$P$89,'317'!$P$91:$P$92,'317'!$P$94,'317'!$P$96,'317'!$P$98</definedName>
    <definedName name="OSRRefP22x_0" localSheetId="64">'320'!$P$29:$P$36,'320'!$P$38:$P$40,'320'!$P$42,'320'!$P$44,'320'!$P$46:$P$47,'320'!$P$49,'320'!$P$51,'320'!$P$53:$P$54,'320'!$P$56</definedName>
    <definedName name="OSRRefP22x_0" localSheetId="70">'321'!$P$24:$P$30,'321'!$P$32:$P$36,'321'!$P$38,'321'!$P$40,'321'!$P$42,'321'!$P$44,'321'!$P$46:$P$48,'321'!$P$50,'321'!$P$52:$P$54,'321'!$P$56:$P$60,'321'!$P$62,'321'!$P$64,'321'!$P$66</definedName>
    <definedName name="OSRRefP22x_0" localSheetId="71">'322'!$P$24:$P$31,'322'!$P$33:$P$37,'322'!$P$39,'322'!$P$41,'322'!$P$43,'322'!$P$45,'322'!$P$47,'322'!$P$49,'322'!$P$51,'322'!$P$53:$P$54,'322'!$P$56:$P$58,'322'!$P$60,'322'!$P$62:$P$67,'322'!$P$69,'322'!$P$71</definedName>
    <definedName name="OSRRefP22x_0" localSheetId="58">'324'!$P$25</definedName>
    <definedName name="OSRRefP22x_0" localSheetId="72">'325'!$P$24:$P$31,'325'!$P$33:$P$38,'325'!$P$40,'325'!$P$42,'325'!$P$44,'325'!$P$46:$P$47,'325'!$P$49,'325'!$P$51,'325'!$P$53,'325'!$P$55,'325'!$P$57,'325'!$P$59:$P$61,'325'!$P$63:$P$66,'325'!$P$68,'325'!$P$70:$P$75,'325'!$P$77,'325'!$P$79,'325'!$P$81</definedName>
    <definedName name="OSRRefP22x_0" localSheetId="61">'326'!$P$61:$P$68,'326'!$P$70:$P$73,'326'!$P$75,'326'!$P$77,'326'!$P$79,'326'!$P$81,'326'!$P$83,'326'!$P$85,'326'!$P$87,'326'!$P$89,'326'!$P$91,'326'!$P$93,'326'!$P$95,'326'!$P$97:$P$98,'326'!$P$100:$P$102,'326'!$P$104,'326'!$P$106:$P$110,'326'!$P$112,'326'!$P$114,'326'!$P$116</definedName>
    <definedName name="OSRRefP22x_0" localSheetId="73">'327'!$P$22,'327'!$P$24,'327'!$P$26</definedName>
    <definedName name="OSRRefP22x_0" localSheetId="53">'330'!$P$81:$P$88,'330'!$P$90:$P$94,'330'!$P$96,'330'!$P$98,'330'!$P$100:$P$101,'330'!$P$103,'330'!$P$105,'330'!$P$107,'330'!$P$109,'330'!$P$111,'330'!$P$113,'330'!$P$115:$P$116,'330'!$P$118:$P$119,'330'!$P$121,'330'!$P$123:$P$125,'330'!$P$127,'330'!$P$129,'330'!$P$131</definedName>
    <definedName name="OSRRefP22x_0" localSheetId="59">'331'!$P$74:$P$81,'331'!$P$83:$P$88,'331'!$P$90,'331'!$P$92,'331'!$P$94,'331'!$P$96:$P$97,'331'!$P$99,'331'!$P$101,'331'!$P$103:$P$104,'331'!$P$106,'331'!$P$108,'331'!$P$110,'331'!$P$112,'331'!$P$114,'331'!$P$116:$P$118,'331'!$P$120:$P$121,'331'!$P$123:$P$125,'331'!$P$127:$P$128,'331'!$P$130:$P$135,'331'!$P$137,'331'!$P$139,'331'!$P$141:$P$142,'331'!$P$144</definedName>
    <definedName name="OSRRefP22x_0" localSheetId="62">'332'!$P$41:$P$48,'332'!$P$50:$P$53,'332'!$P$55,'332'!$P$57,'332'!$P$59,'332'!$P$61,'332'!$P$63:$P$64,'332'!$P$66,'332'!$P$68,'332'!$P$70:$P$71,'332'!$P$73,'332'!$P$75:$P$79,'332'!$P$81,'332'!$P$83</definedName>
    <definedName name="OSRRefP22x_0" localSheetId="52">'335'!$P$20</definedName>
    <definedName name="OSRRefP22x_0" localSheetId="77">'405'!$P$24:$P$31,'405'!$P$33:$P$36,'405'!$P$38,'405'!$P$40,'405'!$P$42,'405'!$P$44:$P$45,'405'!$P$47,'405'!$P$49,'405'!$P$51,'405'!$P$53,'405'!$P$55:$P$56,'405'!$P$58,'405'!$P$60:$P$62,'405'!$P$64:$P$65,'405'!$P$67:$P$73,'405'!$P$75,'405'!$P$77,'405'!$P$79</definedName>
    <definedName name="OSRRefP22x_0" localSheetId="78">'406'!$P$24:$P$31,'406'!$P$33:$P$37,'406'!$P$39,'406'!$P$41,'406'!$P$43,'406'!$P$45,'406'!$P$47,'406'!$P$49,'406'!$P$51,'406'!$P$53:$P$55,'406'!$P$57:$P$58,'406'!$P$60:$P$65,'406'!$P$67,'406'!$P$69</definedName>
    <definedName name="OSRRefP22x_0" localSheetId="79">'411'!$P$20:$P$28,'411'!$P$30:$P$35,'411'!$P$37,'411'!$P$39:$P$41,'411'!$P$43,'411'!$P$45,'411'!$P$47,'411'!$P$49,'411'!$P$51,'411'!$P$53,'411'!$P$55,'411'!$P$57:$P$59,'411'!$P$61:$P$65,'411'!$P$67,'411'!$P$69:$P$75,'411'!$P$77,'411'!$P$79,'411'!$P$81:$P$83,'411'!$P$85</definedName>
    <definedName name="OSRRefP22x_0" localSheetId="80">'412'!$P$24:$P$31,'412'!$P$33:$P$38,'412'!$P$40,'412'!$P$42,'412'!$P$44,'412'!$P$46,'412'!$P$48,'412'!$P$50,'412'!$P$52,'412'!$P$54:$P$55,'412'!$P$57,'412'!$P$59:$P$61,'412'!$P$63:$P$69,'412'!$P$71,'412'!$P$73</definedName>
    <definedName name="OSRRefP22x_0" localSheetId="82">'413'!$P$24:$P$31,'413'!$P$33:$P$37,'413'!$P$39,'413'!$P$41,'413'!$P$43,'413'!$P$45,'413'!$P$47,'413'!$P$49:$P$51,'413'!$P$53:$P$54,'413'!$P$56:$P$60,'413'!$P$62</definedName>
    <definedName name="OSRRefP22x_0" localSheetId="83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4">'415'!$P$24:$P$31,'415'!$P$33:$P$38,'415'!$P$40,'415'!$P$42,'415'!$P$44,'415'!$P$46:$P$47,'415'!$P$49,'415'!$P$51,'415'!$P$53,'415'!$P$55,'415'!$P$57,'415'!$P$59:$P$61,'415'!$P$63:$P$67,'415'!$P$69:$P$70,'415'!$P$72:$P$78,'415'!$P$80,'415'!$P$82,'415'!$P$84</definedName>
    <definedName name="OSRRefP22x_0" localSheetId="85">'418'!$P$24:$P$31,'418'!$P$33:$P$38,'418'!$P$40,'418'!$P$42,'418'!$P$44,'418'!$P$46:$P$47,'418'!$P$49,'418'!$P$51,'418'!$P$53,'418'!$P$55:$P$56,'418'!$P$58:$P$60,'418'!$P$62:$P$64,'418'!$P$66:$P$67,'418'!$P$69:$P$75,'418'!$P$77,'418'!$P$79</definedName>
    <definedName name="OSRRefP22x_0" localSheetId="81">'420'!$P$23:$P$29,'420'!$P$31:$P$34,'420'!$P$36,'420'!$P$38,'420'!$P$40:$P$41,'420'!$P$43</definedName>
    <definedName name="OSRRefP22x_0" localSheetId="86">'423'!$P$21:$P$28,'423'!$P$30,'423'!$P$32,'423'!$P$34,'423'!$P$36,'423'!$P$38</definedName>
    <definedName name="OSRRefP22x_0" localSheetId="87">'424'!$P$24:$P$26,'424'!$P$28:$P$32,'424'!$P$34,'424'!$P$36,'424'!$P$38,'424'!$P$40,'424'!$P$42,'424'!$P$44:$P$45,'424'!$P$47,'424'!$P$49,'424'!$P$51:$P$55,'424'!$P$57</definedName>
    <definedName name="OSRRefP22x_0" localSheetId="88">'425'!$P$27:$P$34,'425'!$P$36:$P$40,'425'!$P$42,'425'!$P$44,'425'!$P$46,'425'!$P$48,'425'!$P$50,'425'!$P$52,'425'!$P$54,'425'!$P$56:$P$58,'425'!$P$60,'425'!$P$62:$P$63,'425'!$P$65:$P$71,'425'!$P$73,'425'!$P$75,'425'!$P$77</definedName>
    <definedName name="OSRRefP22x_0" localSheetId="90">'430'!$P$20:$P$27,'430'!$P$29,'430'!$P$31,'430'!$P$33,'430'!$P$35,'430'!$P$37,'430'!$P$39:$P$40,'430'!$P$42,'430'!$P$44,'430'!$P$46</definedName>
    <definedName name="OSRRefP22x_0" localSheetId="91">'433'!$P$26:$P$34,'433'!$P$36:$P$41,'433'!$P$43,'433'!$P$45,'433'!$P$47,'433'!$P$49,'433'!$P$51,'433'!$P$53,'433'!$P$55,'433'!$P$57,'433'!$P$59:$P$61,'433'!$P$63:$P$65,'433'!$P$67:$P$73,'433'!$P$75,'433'!$P$77,'433'!$P$79:$P$80</definedName>
    <definedName name="OSRRefP22x_0" localSheetId="92">'435'!$P$25:$P$27,'435'!$P$29:$P$31,'435'!$P$33,'435'!$P$35,'435'!$P$37,'435'!$P$39,'435'!$P$41,'435'!$P$43:$P$46,'435'!$P$48</definedName>
    <definedName name="OSRRefP22x_0" localSheetId="93">'444'!$P$25:$P$33,'444'!$P$35:$P$40,'444'!$P$42,'444'!$P$44,'444'!$P$46,'444'!$P$48,'444'!$P$50,'444'!$P$52,'444'!$P$54,'444'!$P$56,'444'!$P$58,'444'!$P$60:$P$62,'444'!$P$64:$P$66,'444'!$P$68:$P$75,'444'!$P$77,'444'!$P$79,'444'!$P$81</definedName>
    <definedName name="OSRRefP22x_0" localSheetId="94">'445'!$P$20</definedName>
    <definedName name="OSRRefP22x_0" localSheetId="95">'450'!$P$25:$P$33,'450'!$P$35:$P$40,'450'!$P$42,'450'!$P$44,'450'!$P$46,'450'!$P$48,'450'!$P$50,'450'!$P$52,'450'!$P$54,'450'!$P$56,'450'!$P$58,'450'!$P$60:$P$62,'450'!$P$64:$P$66,'450'!$P$68:$P$74,'450'!$P$76,'450'!$P$78,'450'!$P$80:$P$81</definedName>
    <definedName name="OSRRefP22x_0" localSheetId="96">'455'!$P$20:$P$26,'455'!$P$28:$P$29,'455'!$P$31</definedName>
    <definedName name="OSRRefP22x_0" localSheetId="76">'491'!$P$33:$P$41,'491'!$P$43:$P$49,'491'!$P$51,'491'!$P$53,'491'!$P$55,'491'!$P$57:$P$59,'491'!$P$61,'491'!$P$63,'491'!$P$65,'491'!$P$67,'491'!$P$69:$P$70,'491'!$P$72,'491'!$P$74,'491'!$P$76,'491'!$P$78,'491'!$P$80:$P$82,'491'!$P$84:$P$85,'491'!$P$87:$P$91,'491'!$P$93:$P$94,'491'!$P$96:$P$103,'491'!$P$105,'491'!$P$107,'491'!$P$109:$P$111,'491'!$P$113</definedName>
    <definedName name="OSRRefP22x_0" localSheetId="89">'492'!$P$28:$P$36,'492'!$P$38:$P$44,'492'!$P$46,'492'!$P$48,'492'!$P$50,'492'!$P$52,'492'!$P$54,'492'!$P$56,'492'!$P$58,'492'!$P$60,'492'!$P$62,'492'!$P$64,'492'!$P$66:$P$68,'492'!$P$70:$P$72,'492'!$P$74:$P$81,'492'!$P$83,'492'!$P$85,'492'!$P$87:$P$88</definedName>
    <definedName name="OSRRefP22x_0" localSheetId="98">'501'!$P$21:$P$28,'501'!$P$30:$P$35,'501'!$P$37,'501'!$P$39,'501'!$P$41,'501'!$P$43:$P$44,'501'!$P$46,'501'!$P$48,'501'!$P$50,'501'!$P$52,'501'!$P$54:$P$55,'501'!$P$57:$P$60,'501'!$P$62,'501'!$P$64</definedName>
    <definedName name="OSRRefP22x_0" localSheetId="39">'Div 2'!$P$20:$P$30,'Div 2'!$P$32:$P$38,'Div 2'!$P$40,'Div 2'!$P$42,'Div 2'!$P$44,'Div 2'!$P$46:$P$47,'Div 2'!$P$49,'Div 2'!$P$51,'Div 2'!$P$53,'Div 2'!$P$55,'Div 2'!$P$57,'Div 2'!$P$59,'Div 2'!$P$61:$P$64,'Div 2'!$P$66:$P$69,'Div 2'!$P$71:$P$72,'Div 2'!$P$74,'Div 2'!$P$76:$P$79,'Div 2'!$P$81:$P$82,'Div 2'!$P$84,'Div 2'!$P$86:$P$87</definedName>
    <definedName name="OSRRefP22x_0" localSheetId="47">'Div 3'!$P$168:$P$176,'Div 3'!$P$178:$P$184,'Div 3'!$P$186,'Div 3'!$P$188:$P$189,'Div 3'!$P$191,'Div 3'!$P$193:$P$194,'Div 3'!$P$196:$P$197,'Div 3'!$P$199,'Div 3'!$P$201,'Div 3'!$P$203,'Div 3'!$P$205:$P$206,'Div 3'!$P$208,'Div 3'!$P$210,'Div 3'!$P$212,'Div 3'!$P$214,'Div 3'!$P$216,'Div 3'!$P$218,'Div 3'!$P$220:$P$222,'Div 3'!$P$224:$P$226,'Div 3'!$P$228:$P$232,'Div 3'!$P$234:$P$235,'Div 3'!$P$237:$P$243,'Div 3'!$P$245:$P$246,'Div 3'!$P$248,'Div 3'!$P$250:$P$252,'Div 3'!$P$254</definedName>
    <definedName name="OSRRefP22x_0" localSheetId="74">'Div 4'!$P$34:$P$42,'Div 4'!$P$44:$P$50,'Div 4'!$P$52,'Div 4'!$P$54,'Div 4'!$P$56,'Div 4'!$P$58:$P$60,'Div 4'!$P$62,'Div 4'!$P$64,'Div 4'!$P$66,'Div 4'!$P$68,'Div 4'!$P$70:$P$71,'Div 4'!$P$73,'Div 4'!$P$75,'Div 4'!$P$77,'Div 4'!$P$79,'Div 4'!$P$81,'Div 4'!$P$83:$P$85,'Div 4'!$P$87:$P$88,'Div 4'!$P$90:$P$94,'Div 4'!$P$96:$P$97,'Div 4'!$P$99:$P$106,'Div 4'!$P$108,'Div 4'!$P$110,'Div 4'!$P$112:$P$114,'Div 4'!$P$116</definedName>
    <definedName name="OSRRefP22x_0" localSheetId="97">'Div 5'!$P$21:$P$28,'Div 5'!$P$30:$P$35,'Div 5'!$P$37,'Div 5'!$P$39,'Div 5'!$P$41,'Div 5'!$P$43:$P$44,'Div 5'!$P$46,'Div 5'!$P$48,'Div 5'!$P$50,'Div 5'!$P$52,'Div 5'!$P$54:$P$55,'Div 5'!$P$57:$P$60,'Div 5'!$P$62,'Div 5'!$P$64</definedName>
    <definedName name="OSRRefP22x_0" localSheetId="65">'Div 6'!$P$58:$P$66,'Div 6'!$P$68:$P$71,'Div 6'!$P$73,'Div 6'!$P$75,'Div 6'!$P$77,'Div 6'!$P$79,'Div 6'!$P$81,'Div 6'!$P$83,'Div 6'!$P$85,'Div 6'!$P$87,'Div 6'!$P$89,'Div 6'!$P$91:$P$92,'Div 6'!$P$94,'Div 6'!$P$96,'Div 6'!$P$98</definedName>
    <definedName name="OSRRefP22x_0" localSheetId="2">Summary!$P$202:$P$210,Summary!$P$212:$P$218,Summary!$P$220,Summary!$P$222:$P$223,Summary!$P$225,Summary!$P$227:$P$229,Summary!$P$231:$P$232,Summary!$P$234,Summary!$P$236,Summary!$P$238,Summary!$P$240:$P$241,Summary!$P$243:$P$244,Summary!$P$246,Summary!$P$248,Summary!$P$250,Summary!$P$252,Summary!$P$254,Summary!$P$256,Summary!$P$258:$P$260,Summary!$P$262:$P$264,Summary!$P$266:$P$270,Summary!$P$272:$P$273,Summary!$P$275:$P$282,Summary!$P$284:$P$285,Summary!$P$287,Summary!$P$289:$P$291,Summary!$P$293</definedName>
    <definedName name="OSRRefP25x_0" localSheetId="48">'300'!$P$249:$P$257</definedName>
    <definedName name="OSRRefP25x_0" localSheetId="49">'300 &amp; 317'!$P$274:$P$285</definedName>
    <definedName name="OSRRefP25x_0" localSheetId="50">'301'!$P$91:$P$93</definedName>
    <definedName name="OSRRefP25x_0" localSheetId="54">'307'!$P$117</definedName>
    <definedName name="OSRRefP25x_0" localSheetId="56">'308'!$P$114:$P$116</definedName>
    <definedName name="OSRRefP25x_0" localSheetId="75">'310 &amp; 491'!$P$126:$P$128</definedName>
    <definedName name="OSRRefP25x_0" localSheetId="57">'311'!$P$113:$P$115</definedName>
    <definedName name="OSRRefP25x_0" localSheetId="60">'315'!$P$108</definedName>
    <definedName name="OSRRefP25x_0" localSheetId="63">'316'!$P$74</definedName>
    <definedName name="OSRRefP25x_0" localSheetId="66">'317'!$P$101:$P$104</definedName>
    <definedName name="OSRRefP25x_0" localSheetId="64">'320'!$P$59:$P$63</definedName>
    <definedName name="OSRRefP25x_0" localSheetId="53">'330'!$P$134</definedName>
    <definedName name="OSRRefP25x_0" localSheetId="59">'331'!$P$147</definedName>
    <definedName name="OSRRefP25x_0" localSheetId="62">'332'!$P$86:$P$91</definedName>
    <definedName name="OSRRefP25x_0" localSheetId="79">'411'!$P$88:$P$89</definedName>
    <definedName name="OSRRefP25x_0" localSheetId="82">'413'!$P$65</definedName>
    <definedName name="OSRRefP25x_0" localSheetId="84">'415'!$P$87</definedName>
    <definedName name="OSRRefP25x_0" localSheetId="85">'418'!$P$82</definedName>
    <definedName name="OSRRefP25x_0" localSheetId="86">'423'!$P$41</definedName>
    <definedName name="OSRRefP25x_0" localSheetId="87">'424'!$P$60</definedName>
    <definedName name="OSRRefP25x_0" localSheetId="88">'425'!$P$80</definedName>
    <definedName name="OSRRefP25x_0" localSheetId="96">'455'!$P$34:$P$35</definedName>
    <definedName name="OSRRefP25x_0" localSheetId="76">'491'!$P$116:$P$118</definedName>
    <definedName name="OSRRefP25x_0" localSheetId="98">'501'!$P$67:$P$68</definedName>
    <definedName name="OSRRefP25x_0" localSheetId="47">'Div 3'!$P$257:$P$265</definedName>
    <definedName name="OSRRefP25x_0" localSheetId="74">'Div 4'!$P$119:$P$121</definedName>
    <definedName name="OSRRefP25x_0" localSheetId="97">'Div 5'!$P$67:$P$68</definedName>
    <definedName name="OSRRefP25x_0" localSheetId="65">'Div 6'!$P$101:$P$104</definedName>
    <definedName name="OSRRefP25x_0" localSheetId="2">Summary!$P$296:$P$308</definedName>
    <definedName name="OSRRefT13x_0" localSheetId="48">'300'!$T$13:$T$105</definedName>
    <definedName name="OSRRefT13x_0" localSheetId="49">'300 &amp; 317'!$T$13:$T$123</definedName>
    <definedName name="OSRRefT13x_0" localSheetId="54">'307'!$T$13:$T$46</definedName>
    <definedName name="OSRRefT13x_0" localSheetId="56">'308'!$T$13:$T$40</definedName>
    <definedName name="OSRRefT13x_0" localSheetId="68">'309'!$T$13:$T$14</definedName>
    <definedName name="OSRRefT13x_0" localSheetId="67">'310'!$T$13:$T$22</definedName>
    <definedName name="OSRRefT13x_0" localSheetId="75">'310 &amp; 491'!$T$13:$T$30</definedName>
    <definedName name="OSRRefT13x_0" localSheetId="57">'311'!$T$13:$T$39</definedName>
    <definedName name="OSRRefT13x_0" localSheetId="69">'313'!$T$13:$T$19</definedName>
    <definedName name="OSRRefT13x_0" localSheetId="55">'314'!$T$13:$T$33</definedName>
    <definedName name="OSRRefT13x_0" localSheetId="60">'315'!$T$13:$T$32</definedName>
    <definedName name="OSRRefT13x_0" localSheetId="63">'316'!$T$13:$T$24</definedName>
    <definedName name="OSRRefT13x_0" localSheetId="66">'317'!$T$13:$T$36</definedName>
    <definedName name="OSRRefT13x_0" localSheetId="64">'320'!$T$13:$T$16</definedName>
    <definedName name="OSRRefT13x_0" localSheetId="70">'321'!$T$13:$T$14</definedName>
    <definedName name="OSRRefT13x_0" localSheetId="71">'322'!$T$13:$T$14</definedName>
    <definedName name="OSRRefT13x_0" localSheetId="58">'324'!$T$13:$T$15</definedName>
    <definedName name="OSRRefT13x_0" localSheetId="72">'325'!$T$13:$T$14</definedName>
    <definedName name="OSRRefT13x_0" localSheetId="61">'326'!$T$13:$T$35</definedName>
    <definedName name="OSRRefT13x_0" localSheetId="73">'327'!$T$13</definedName>
    <definedName name="OSRRefT13x_0" localSheetId="53">'330'!$T$13:$T$50</definedName>
    <definedName name="OSRRefT13x_0" localSheetId="59">'331'!$T$13:$T$43</definedName>
    <definedName name="OSRRefT13x_0" localSheetId="62">'332'!$T$13:$T$28</definedName>
    <definedName name="OSRRefT13x_0" localSheetId="77">'405'!$T$13:$T$14</definedName>
    <definedName name="OSRRefT13x_0" localSheetId="78">'406'!$T$13:$T$14</definedName>
    <definedName name="OSRRefT13x_0" localSheetId="80">'412'!$T$13:$T$15</definedName>
    <definedName name="OSRRefT13x_0" localSheetId="82">'413'!$T$13:$T$14</definedName>
    <definedName name="OSRRefT13x_0" localSheetId="83">'414'!$T$13:$T$14</definedName>
    <definedName name="OSRRefT13x_0" localSheetId="84">'415'!$T$13:$T$14</definedName>
    <definedName name="OSRRefT13x_0" localSheetId="85">'418'!$T$13:$T$14</definedName>
    <definedName name="OSRRefT13x_0" localSheetId="81">'420'!$T$13:$T$14</definedName>
    <definedName name="OSRRefT13x_0" localSheetId="87">'424'!$T$13:$T$14</definedName>
    <definedName name="OSRRefT13x_0" localSheetId="88">'425'!$T$13:$T$17</definedName>
    <definedName name="OSRRefT13x_0" localSheetId="91">'433'!$T$13:$T$16</definedName>
    <definedName name="OSRRefT13x_0" localSheetId="92">'435'!$T$13:$T$15</definedName>
    <definedName name="OSRRefT13x_0" localSheetId="93">'444'!$T$13:$T$15</definedName>
    <definedName name="OSRRefT13x_0" localSheetId="95">'450'!$T$13:$T$15</definedName>
    <definedName name="OSRRefT13x_0" localSheetId="76">'491'!$T$13:$T$23</definedName>
    <definedName name="OSRRefT13x_0" localSheetId="89">'492'!$T$13:$T$18</definedName>
    <definedName name="OSRRefT13x_0" localSheetId="98">'501'!$T$13</definedName>
    <definedName name="OSRRefT13x_0" localSheetId="47">'Div 3'!$T$13:$T$108</definedName>
    <definedName name="OSRRefT13x_0" localSheetId="74">'Div 4'!$T$13:$T$24</definedName>
    <definedName name="OSRRefT13x_0" localSheetId="97">'Div 5'!$T$13</definedName>
    <definedName name="OSRRefT13x_0" localSheetId="65">'Div 6'!$T$13:$T$36</definedName>
    <definedName name="OSRRefT13x_0" localSheetId="2">Summary!$T$13:$T$135</definedName>
    <definedName name="OSRRefT16x_0" localSheetId="48">'300'!$T$108:$T$157</definedName>
    <definedName name="OSRRefT16x_0" localSheetId="49">'300 &amp; 317'!$T$126:$T$182</definedName>
    <definedName name="OSRRefT16x_0" localSheetId="54">'307'!$T$49:$T$68</definedName>
    <definedName name="OSRRefT16x_0" localSheetId="56">'308'!$T$43:$T$58</definedName>
    <definedName name="OSRRefT16x_0" localSheetId="68">'309'!$T$17:$T$18</definedName>
    <definedName name="OSRRefT16x_0" localSheetId="67">'310'!$T$25:$T$26</definedName>
    <definedName name="OSRRefT16x_0" localSheetId="75">'310 &amp; 491'!$T$33:$T$34</definedName>
    <definedName name="OSRRefT16x_0" localSheetId="57">'311'!$T$42:$T$57</definedName>
    <definedName name="OSRRefT16x_0" localSheetId="69">'313'!$T$22:$T$23</definedName>
    <definedName name="OSRRefT16x_0" localSheetId="55">'314'!$T$36:$T$50</definedName>
    <definedName name="OSRRefT16x_0" localSheetId="60">'315'!$T$35:$T$49</definedName>
    <definedName name="OSRRefT16x_0" localSheetId="66">'317'!$T$39:$T$52</definedName>
    <definedName name="OSRRefT16x_0" localSheetId="64">'320'!$T$19:$T$23</definedName>
    <definedName name="OSRRefT16x_0" localSheetId="70">'321'!$T$17:$T$18</definedName>
    <definedName name="OSRRefT16x_0" localSheetId="71">'322'!$T$17:$T$18</definedName>
    <definedName name="OSRRefT16x_0" localSheetId="58">'324'!$T$18:$T$19</definedName>
    <definedName name="OSRRefT16x_0" localSheetId="72">'325'!$T$17:$T$18</definedName>
    <definedName name="OSRRefT16x_0" localSheetId="61">'326'!$T$38:$T$55</definedName>
    <definedName name="OSRRefT16x_0" localSheetId="73">'327'!$T$16</definedName>
    <definedName name="OSRRefT16x_0" localSheetId="53">'330'!$T$53:$T$75</definedName>
    <definedName name="OSRRefT16x_0" localSheetId="59">'331'!$T$46:$T$68</definedName>
    <definedName name="OSRRefT16x_0" localSheetId="62">'332'!$T$31:$T$35</definedName>
    <definedName name="OSRRefT16x_0" localSheetId="77">'405'!$T$17:$T$18</definedName>
    <definedName name="OSRRefT16x_0" localSheetId="78">'406'!$T$17:$T$18</definedName>
    <definedName name="OSRRefT16x_0" localSheetId="80">'412'!$T$18</definedName>
    <definedName name="OSRRefT16x_0" localSheetId="82">'413'!$T$17:$T$18</definedName>
    <definedName name="OSRRefT16x_0" localSheetId="83">'414'!$T$17:$T$18</definedName>
    <definedName name="OSRRefT16x_0" localSheetId="84">'415'!$T$17:$T$18</definedName>
    <definedName name="OSRRefT16x_0" localSheetId="85">'418'!$T$17:$T$18</definedName>
    <definedName name="OSRRefT16x_0" localSheetId="81">'420'!$T$17</definedName>
    <definedName name="OSRRefT16x_0" localSheetId="86">'423'!$T$15</definedName>
    <definedName name="OSRRefT16x_0" localSheetId="87">'424'!$T$17:$T$18</definedName>
    <definedName name="OSRRefT16x_0" localSheetId="88">'425'!$T$20:$T$21</definedName>
    <definedName name="OSRRefT16x_0" localSheetId="91">'433'!$T$19:$T$20</definedName>
    <definedName name="OSRRefT16x_0" localSheetId="92">'435'!$T$18:$T$19</definedName>
    <definedName name="OSRRefT16x_0" localSheetId="93">'444'!$T$18:$T$19</definedName>
    <definedName name="OSRRefT16x_0" localSheetId="95">'450'!$T$18:$T$19</definedName>
    <definedName name="OSRRefT16x_0" localSheetId="76">'491'!$T$26:$T$27</definedName>
    <definedName name="OSRRefT16x_0" localSheetId="89">'492'!$T$21:$T$22</definedName>
    <definedName name="OSRRefT16x_0" localSheetId="47">'Div 3'!$T$111:$T$162</definedName>
    <definedName name="OSRRefT16x_0" localSheetId="74">'Div 4'!$T$27:$T$28</definedName>
    <definedName name="OSRRefT16x_0" localSheetId="65">'Div 6'!$T$39:$T$52</definedName>
    <definedName name="OSRRefT16x_0" localSheetId="2">Summary!$T$138:$T$196</definedName>
    <definedName name="OSRRefT22_0x_0" localSheetId="40">'200'!$T$20</definedName>
    <definedName name="OSRRefT22_0x_0" localSheetId="41">'201'!$T$20:$T$28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'300'!$T$163:$T$171</definedName>
    <definedName name="OSRRefT22_0x_0" localSheetId="49">'300 &amp; 317'!$T$188:$T$196</definedName>
    <definedName name="OSRRefT22_0x_0" localSheetId="50">'301'!$T$20:$T$27</definedName>
    <definedName name="OSRRefT22_0x_0" localSheetId="51">'306'!$T$20:$T$28</definedName>
    <definedName name="OSRRefT22_0x_0" localSheetId="54">'307'!$T$74:$T$81</definedName>
    <definedName name="OSRRefT22_0x_0" localSheetId="56">'308'!$T$64:$T$72</definedName>
    <definedName name="OSRRefT22_0x_0" localSheetId="68">'309'!$T$24:$T$31</definedName>
    <definedName name="OSRRefT22_0x_0" localSheetId="67">'310'!$T$32:$T$39</definedName>
    <definedName name="OSRRefT22_0x_0" localSheetId="75">'310 &amp; 491'!$T$40:$T$48</definedName>
    <definedName name="OSRRefT22_0x_0" localSheetId="57">'311'!$T$63:$T$71</definedName>
    <definedName name="OSRRefT22_0x_0" localSheetId="69">'313'!$T$29:$T$36</definedName>
    <definedName name="OSRRefT22_0x_0" localSheetId="55">'314'!$T$56:$T$62</definedName>
    <definedName name="OSRRefT22_0x_0" localSheetId="60">'315'!$T$55:$T$62</definedName>
    <definedName name="OSRRefT22_0x_0" localSheetId="63">'316'!$T$32:$T$39</definedName>
    <definedName name="OSRRefT22_0x_0" localSheetId="66">'317'!$T$58:$T$66</definedName>
    <definedName name="OSRRefT22_0x_0" localSheetId="64">'320'!$T$29:$T$36</definedName>
    <definedName name="OSRRefT22_0x_0" localSheetId="70">'321'!$T$24:$T$30</definedName>
    <definedName name="OSRRefT22_0x_0" localSheetId="71">'322'!$T$24:$T$31</definedName>
    <definedName name="OSRRefT22_0x_0" localSheetId="58">'324'!$T$25</definedName>
    <definedName name="OSRRefT22_0x_0" localSheetId="72">'325'!$T$24:$T$31</definedName>
    <definedName name="OSRRefT22_0x_0" localSheetId="61">'326'!$T$61:$T$68</definedName>
    <definedName name="OSRRefT22_0x_0" localSheetId="73">'327'!$T$22</definedName>
    <definedName name="OSRRefT22_0x_0" localSheetId="53">'330'!$T$81:$T$88</definedName>
    <definedName name="OSRRefT22_0x_0" localSheetId="59">'331'!$T$74:$T$81</definedName>
    <definedName name="OSRRefT22_0x_0" localSheetId="62">'332'!$T$41:$T$48</definedName>
    <definedName name="OSRRefT22_0x_0" localSheetId="52">'335'!$T$20</definedName>
    <definedName name="OSRRefT22_0x_0" localSheetId="77">'405'!$T$24:$T$31</definedName>
    <definedName name="OSRRefT22_0x_0" localSheetId="78">'406'!$T$24:$T$31</definedName>
    <definedName name="OSRRefT22_0x_0" localSheetId="79">'411'!$T$20:$T$28</definedName>
    <definedName name="OSRRefT22_0x_0" localSheetId="80">'412'!$T$24:$T$31</definedName>
    <definedName name="OSRRefT22_0x_0" localSheetId="82">'413'!$T$24:$T$31</definedName>
    <definedName name="OSRRefT22_0x_0" localSheetId="83">'414'!$T$24:$T$31</definedName>
    <definedName name="OSRRefT22_0x_0" localSheetId="84">'415'!$T$24:$T$31</definedName>
    <definedName name="OSRRefT22_0x_0" localSheetId="85">'418'!$T$24:$T$31</definedName>
    <definedName name="OSRRefT22_0x_0" localSheetId="81">'420'!$T$23:$T$29</definedName>
    <definedName name="OSRRefT22_0x_0" localSheetId="86">'423'!$T$21:$T$28</definedName>
    <definedName name="OSRRefT22_0x_0" localSheetId="87">'424'!$T$24:$T$26</definedName>
    <definedName name="OSRRefT22_0x_0" localSheetId="88">'425'!$T$27:$T$34</definedName>
    <definedName name="OSRRefT22_0x_0" localSheetId="90">'430'!$T$20:$T$27</definedName>
    <definedName name="OSRRefT22_0x_0" localSheetId="91">'433'!$T$26:$T$34</definedName>
    <definedName name="OSRRefT22_0x_0" localSheetId="92">'435'!$T$25:$T$27</definedName>
    <definedName name="OSRRefT22_0x_0" localSheetId="93">'444'!$T$25:$T$33</definedName>
    <definedName name="OSRRefT22_0x_0" localSheetId="94">'445'!$T$20</definedName>
    <definedName name="OSRRefT22_0x_0" localSheetId="95">'450'!$T$25:$T$33</definedName>
    <definedName name="OSRRefT22_0x_0" localSheetId="96">'455'!$T$20:$T$26</definedName>
    <definedName name="OSRRefT22_0x_0" localSheetId="76">'491'!$T$33:$T$41</definedName>
    <definedName name="OSRRefT22_0x_0" localSheetId="89">'492'!$T$28:$T$36</definedName>
    <definedName name="OSRRefT22_0x_0" localSheetId="98">'501'!$T$21:$T$28</definedName>
    <definedName name="OSRRefT22_0x_0" localSheetId="39">'Div 2'!$T$20:$T$30</definedName>
    <definedName name="OSRRefT22_0x_0" localSheetId="47">'Div 3'!$T$168:$T$176</definedName>
    <definedName name="OSRRefT22_0x_0" localSheetId="74">'Div 4'!$T$34:$T$42</definedName>
    <definedName name="OSRRefT22_0x_0" localSheetId="97">'Div 5'!$T$21:$T$28</definedName>
    <definedName name="OSRRefT22_0x_0" localSheetId="65">'Div 6'!$T$58:$T$66</definedName>
    <definedName name="OSRRefT22_0x_0" localSheetId="2">Summary!$T$202:$T$210</definedName>
    <definedName name="OSRRefT22_10x_0" localSheetId="41">'201'!$T$50:$T$52</definedName>
    <definedName name="OSRRefT22_10x_0" localSheetId="42">'202'!$T$50:$T$52</definedName>
    <definedName name="OSRRefT22_10x_0" localSheetId="43">'203'!$T$54:$T$55</definedName>
    <definedName name="OSRRefT22_10x_0" localSheetId="44">'204'!$T$59:$T$60</definedName>
    <definedName name="OSRRefT22_10x_0" localSheetId="48">'300'!$T$200:$T$201</definedName>
    <definedName name="OSRRefT22_10x_0" localSheetId="49">'300 &amp; 317'!$T$225:$T$226</definedName>
    <definedName name="OSRRefT22_10x_0" localSheetId="50">'301'!$T$56</definedName>
    <definedName name="OSRRefT22_10x_0" localSheetId="51">'306'!$T$57</definedName>
    <definedName name="OSRRefT22_10x_0" localSheetId="54">'307'!$T$106:$T$107</definedName>
    <definedName name="OSRRefT22_10x_0" localSheetId="56">'308'!$T$99</definedName>
    <definedName name="OSRRefT22_10x_0" localSheetId="68">'309'!$T$56:$T$58</definedName>
    <definedName name="OSRRefT22_10x_0" localSheetId="67">'310'!$T$65</definedName>
    <definedName name="OSRRefT22_10x_0" localSheetId="75">'310 &amp; 491'!$T$76:$T$77</definedName>
    <definedName name="OSRRefT22_10x_0" localSheetId="57">'311'!$T$98</definedName>
    <definedName name="OSRRefT22_10x_0" localSheetId="69">'313'!$T$62</definedName>
    <definedName name="OSRRefT22_10x_0" localSheetId="60">'315'!$T$91:$T$92</definedName>
    <definedName name="OSRRefT22_10x_0" localSheetId="63">'316'!$T$63:$T$67</definedName>
    <definedName name="OSRRefT22_10x_0" localSheetId="66">'317'!$T$89</definedName>
    <definedName name="OSRRefT22_10x_0" localSheetId="70">'321'!$T$62</definedName>
    <definedName name="OSRRefT22_10x_0" localSheetId="71">'322'!$T$56:$T$58</definedName>
    <definedName name="OSRRefT22_10x_0" localSheetId="72">'325'!$T$57</definedName>
    <definedName name="OSRRefT22_10x_0" localSheetId="61">'326'!$T$91</definedName>
    <definedName name="OSRRefT22_10x_0" localSheetId="53">'330'!$T$113</definedName>
    <definedName name="OSRRefT22_10x_0" localSheetId="59">'331'!$T$108</definedName>
    <definedName name="OSRRefT22_10x_0" localSheetId="62">'332'!$T$73</definedName>
    <definedName name="OSRRefT22_10x_0" localSheetId="77">'405'!$T$55:$T$56</definedName>
    <definedName name="OSRRefT22_10x_0" localSheetId="78">'406'!$T$57:$T$58</definedName>
    <definedName name="OSRRefT22_10x_0" localSheetId="79">'411'!$T$55</definedName>
    <definedName name="OSRRefT22_10x_0" localSheetId="80">'412'!$T$57</definedName>
    <definedName name="OSRRefT22_10x_0" localSheetId="82">'413'!$T$62</definedName>
    <definedName name="OSRRefT22_10x_0" localSheetId="83">'414'!$T$57</definedName>
    <definedName name="OSRRefT22_10x_0" localSheetId="84">'415'!$T$57</definedName>
    <definedName name="OSRRefT22_10x_0" localSheetId="85">'418'!$T$58:$T$60</definedName>
    <definedName name="OSRRefT22_10x_0" localSheetId="87">'424'!$T$51:$T$55</definedName>
    <definedName name="OSRRefT22_10x_0" localSheetId="88">'425'!$T$60</definedName>
    <definedName name="OSRRefT22_10x_0" localSheetId="91">'433'!$T$59:$T$61</definedName>
    <definedName name="OSRRefT22_10x_0" localSheetId="93">'444'!$T$58</definedName>
    <definedName name="OSRRefT22_10x_0" localSheetId="95">'450'!$T$58</definedName>
    <definedName name="OSRRefT22_10x_0" localSheetId="76">'491'!$T$69:$T$70</definedName>
    <definedName name="OSRRefT22_10x_0" localSheetId="89">'492'!$T$62</definedName>
    <definedName name="OSRRefT22_10x_0" localSheetId="98">'501'!$T$54:$T$55</definedName>
    <definedName name="OSRRefT22_10x_0" localSheetId="39">'Div 2'!$T$57</definedName>
    <definedName name="OSRRefT22_10x_0" localSheetId="47">'Div 3'!$T$205:$T$206</definedName>
    <definedName name="OSRRefT22_10x_0" localSheetId="74">'Div 4'!$T$70:$T$71</definedName>
    <definedName name="OSRRefT22_10x_0" localSheetId="97">'Div 5'!$T$54:$T$55</definedName>
    <definedName name="OSRRefT22_10x_0" localSheetId="65">'Div 6'!$T$89</definedName>
    <definedName name="OSRRefT22_10x_0" localSheetId="2">Summary!$T$240:$T$241</definedName>
    <definedName name="OSRRefT22_11x_0" localSheetId="41">'201'!$T$54:$T$56</definedName>
    <definedName name="OSRRefT22_11x_0" localSheetId="42">'202'!$T$54</definedName>
    <definedName name="OSRRefT22_11x_0" localSheetId="43">'203'!$T$57</definedName>
    <definedName name="OSRRefT22_11x_0" localSheetId="48">'300'!$T$203</definedName>
    <definedName name="OSRRefT22_11x_0" localSheetId="49">'300 &amp; 317'!$T$228</definedName>
    <definedName name="OSRRefT22_11x_0" localSheetId="50">'301'!$T$58</definedName>
    <definedName name="OSRRefT22_11x_0" localSheetId="54">'307'!$T$109:$T$110</definedName>
    <definedName name="OSRRefT22_11x_0" localSheetId="56">'308'!$T$101:$T$104</definedName>
    <definedName name="OSRRefT22_11x_0" localSheetId="68">'309'!$T$60</definedName>
    <definedName name="OSRRefT22_11x_0" localSheetId="67">'310'!$T$67</definedName>
    <definedName name="OSRRefT22_11x_0" localSheetId="75">'310 &amp; 491'!$T$79:$T$80</definedName>
    <definedName name="OSRRefT22_11x_0" localSheetId="57">'311'!$T$100:$T$103</definedName>
    <definedName name="OSRRefT22_11x_0" localSheetId="69">'313'!$T$64:$T$65</definedName>
    <definedName name="OSRRefT22_11x_0" localSheetId="60">'315'!$T$94:$T$98</definedName>
    <definedName name="OSRRefT22_11x_0" localSheetId="63">'316'!$T$69</definedName>
    <definedName name="OSRRefT22_11x_0" localSheetId="66">'317'!$T$91:$T$92</definedName>
    <definedName name="OSRRefT22_11x_0" localSheetId="70">'321'!$T$64</definedName>
    <definedName name="OSRRefT22_11x_0" localSheetId="71">'322'!$T$60</definedName>
    <definedName name="OSRRefT22_11x_0" localSheetId="72">'325'!$T$59:$T$61</definedName>
    <definedName name="OSRRefT22_11x_0" localSheetId="61">'326'!$T$93</definedName>
    <definedName name="OSRRefT22_11x_0" localSheetId="53">'330'!$T$115:$T$116</definedName>
    <definedName name="OSRRefT22_11x_0" localSheetId="59">'331'!$T$110</definedName>
    <definedName name="OSRRefT22_11x_0" localSheetId="62">'332'!$T$75:$T$79</definedName>
    <definedName name="OSRRefT22_11x_0" localSheetId="77">'405'!$T$58</definedName>
    <definedName name="OSRRefT22_11x_0" localSheetId="78">'406'!$T$60:$T$65</definedName>
    <definedName name="OSRRefT22_11x_0" localSheetId="79">'411'!$T$57:$T$59</definedName>
    <definedName name="OSRRefT22_11x_0" localSheetId="80">'412'!$T$59:$T$61</definedName>
    <definedName name="OSRRefT22_11x_0" localSheetId="83">'414'!$T$59</definedName>
    <definedName name="OSRRefT22_11x_0" localSheetId="84">'415'!$T$59:$T$61</definedName>
    <definedName name="OSRRefT22_11x_0" localSheetId="85">'418'!$T$62:$T$64</definedName>
    <definedName name="OSRRefT22_11x_0" localSheetId="87">'424'!$T$57</definedName>
    <definedName name="OSRRefT22_11x_0" localSheetId="88">'425'!$T$62:$T$63</definedName>
    <definedName name="OSRRefT22_11x_0" localSheetId="91">'433'!$T$63:$T$65</definedName>
    <definedName name="OSRRefT22_11x_0" localSheetId="93">'444'!$T$60:$T$62</definedName>
    <definedName name="OSRRefT22_11x_0" localSheetId="95">'450'!$T$60:$T$62</definedName>
    <definedName name="OSRRefT22_11x_0" localSheetId="76">'491'!$T$72</definedName>
    <definedName name="OSRRefT22_11x_0" localSheetId="89">'492'!$T$64</definedName>
    <definedName name="OSRRefT22_11x_0" localSheetId="98">'501'!$T$57:$T$60</definedName>
    <definedName name="OSRRefT22_11x_0" localSheetId="39">'Div 2'!$T$59</definedName>
    <definedName name="OSRRefT22_11x_0" localSheetId="47">'Div 3'!$T$208</definedName>
    <definedName name="OSRRefT22_11x_0" localSheetId="74">'Div 4'!$T$73</definedName>
    <definedName name="OSRRefT22_11x_0" localSheetId="97">'Div 5'!$T$57:$T$60</definedName>
    <definedName name="OSRRefT22_11x_0" localSheetId="65">'Div 6'!$T$91:$T$92</definedName>
    <definedName name="OSRRefT22_11x_0" localSheetId="2">Summary!$T$243:$T$244</definedName>
    <definedName name="OSRRefT22_12x_0" localSheetId="41">'201'!$T$58</definedName>
    <definedName name="OSRRefT22_12x_0" localSheetId="42">'202'!$T$56</definedName>
    <definedName name="OSRRefT22_12x_0" localSheetId="43">'203'!$T$59:$T$61</definedName>
    <definedName name="OSRRefT22_12x_0" localSheetId="48">'300'!$T$205</definedName>
    <definedName name="OSRRefT22_12x_0" localSheetId="49">'300 &amp; 317'!$T$230</definedName>
    <definedName name="OSRRefT22_12x_0" localSheetId="50">'301'!$T$60</definedName>
    <definedName name="OSRRefT22_12x_0" localSheetId="54">'307'!$T$112</definedName>
    <definedName name="OSRRefT22_12x_0" localSheetId="56">'308'!$T$106:$T$107</definedName>
    <definedName name="OSRRefT22_12x_0" localSheetId="68">'309'!$T$62:$T$67</definedName>
    <definedName name="OSRRefT22_12x_0" localSheetId="67">'310'!$T$69</definedName>
    <definedName name="OSRRefT22_12x_0" localSheetId="75">'310 &amp; 491'!$T$82</definedName>
    <definedName name="OSRRefT22_12x_0" localSheetId="57">'311'!$T$105:$T$106</definedName>
    <definedName name="OSRRefT22_12x_0" localSheetId="69">'313'!$T$67:$T$72</definedName>
    <definedName name="OSRRefT22_12x_0" localSheetId="60">'315'!$T$100</definedName>
    <definedName name="OSRRefT22_12x_0" localSheetId="63">'316'!$T$71</definedName>
    <definedName name="OSRRefT22_12x_0" localSheetId="66">'317'!$T$94</definedName>
    <definedName name="OSRRefT22_12x_0" localSheetId="70">'321'!$T$66</definedName>
    <definedName name="OSRRefT22_12x_0" localSheetId="71">'322'!$T$62:$T$67</definedName>
    <definedName name="OSRRefT22_12x_0" localSheetId="72">'325'!$T$63:$T$66</definedName>
    <definedName name="OSRRefT22_12x_0" localSheetId="61">'326'!$T$95</definedName>
    <definedName name="OSRRefT22_12x_0" localSheetId="53">'330'!$T$118:$T$119</definedName>
    <definedName name="OSRRefT22_12x_0" localSheetId="59">'331'!$T$112</definedName>
    <definedName name="OSRRefT22_12x_0" localSheetId="62">'332'!$T$81</definedName>
    <definedName name="OSRRefT22_12x_0" localSheetId="77">'405'!$T$60:$T$62</definedName>
    <definedName name="OSRRefT22_12x_0" localSheetId="78">'406'!$T$67</definedName>
    <definedName name="OSRRefT22_12x_0" localSheetId="79">'411'!$T$61:$T$65</definedName>
    <definedName name="OSRRefT22_12x_0" localSheetId="80">'412'!$T$63:$T$69</definedName>
    <definedName name="OSRRefT22_12x_0" localSheetId="83">'414'!$T$61</definedName>
    <definedName name="OSRRefT22_12x_0" localSheetId="84">'415'!$T$63:$T$67</definedName>
    <definedName name="OSRRefT22_12x_0" localSheetId="85">'418'!$T$66:$T$67</definedName>
    <definedName name="OSRRefT22_12x_0" localSheetId="88">'425'!$T$65:$T$71</definedName>
    <definedName name="OSRRefT22_12x_0" localSheetId="91">'433'!$T$67:$T$73</definedName>
    <definedName name="OSRRefT22_12x_0" localSheetId="93">'444'!$T$64:$T$66</definedName>
    <definedName name="OSRRefT22_12x_0" localSheetId="95">'450'!$T$64:$T$66</definedName>
    <definedName name="OSRRefT22_12x_0" localSheetId="76">'491'!$T$74</definedName>
    <definedName name="OSRRefT22_12x_0" localSheetId="89">'492'!$T$66:$T$68</definedName>
    <definedName name="OSRRefT22_12x_0" localSheetId="98">'501'!$T$62</definedName>
    <definedName name="OSRRefT22_12x_0" localSheetId="39">'Div 2'!$T$61:$T$64</definedName>
    <definedName name="OSRRefT22_12x_0" localSheetId="47">'Div 3'!$T$210</definedName>
    <definedName name="OSRRefT22_12x_0" localSheetId="74">'Div 4'!$T$75</definedName>
    <definedName name="OSRRefT22_12x_0" localSheetId="97">'Div 5'!$T$62</definedName>
    <definedName name="OSRRefT22_12x_0" localSheetId="65">'Div 6'!$T$94</definedName>
    <definedName name="OSRRefT22_12x_0" localSheetId="2">Summary!$T$246</definedName>
    <definedName name="OSRRefT22_13x_0" localSheetId="41">'201'!$T$60:$T$62</definedName>
    <definedName name="OSRRefT22_13x_0" localSheetId="42">'202'!$T$58:$T$60</definedName>
    <definedName name="OSRRefT22_13x_0" localSheetId="43">'203'!$T$63</definedName>
    <definedName name="OSRRefT22_13x_0" localSheetId="48">'300'!$T$207</definedName>
    <definedName name="OSRRefT22_13x_0" localSheetId="49">'300 &amp; 317'!$T$232</definedName>
    <definedName name="OSRRefT22_13x_0" localSheetId="50">'301'!$T$62</definedName>
    <definedName name="OSRRefT22_13x_0" localSheetId="54">'307'!$T$114</definedName>
    <definedName name="OSRRefT22_13x_0" localSheetId="56">'308'!$T$109</definedName>
    <definedName name="OSRRefT22_13x_0" localSheetId="68">'309'!$T$69</definedName>
    <definedName name="OSRRefT22_13x_0" localSheetId="67">'310'!$T$71</definedName>
    <definedName name="OSRRefT22_13x_0" localSheetId="75">'310 &amp; 491'!$T$84</definedName>
    <definedName name="OSRRefT22_13x_0" localSheetId="57">'311'!$T$108</definedName>
    <definedName name="OSRRefT22_13x_0" localSheetId="69">'313'!$T$74</definedName>
    <definedName name="OSRRefT22_13x_0" localSheetId="60">'315'!$T$102</definedName>
    <definedName name="OSRRefT22_13x_0" localSheetId="66">'317'!$T$96</definedName>
    <definedName name="OSRRefT22_13x_0" localSheetId="71">'322'!$T$69</definedName>
    <definedName name="OSRRefT22_13x_0" localSheetId="72">'325'!$T$68</definedName>
    <definedName name="OSRRefT22_13x_0" localSheetId="61">'326'!$T$97:$T$98</definedName>
    <definedName name="OSRRefT22_13x_0" localSheetId="53">'330'!$T$121</definedName>
    <definedName name="OSRRefT22_13x_0" localSheetId="59">'331'!$T$114</definedName>
    <definedName name="OSRRefT22_13x_0" localSheetId="62">'332'!$T$83</definedName>
    <definedName name="OSRRefT22_13x_0" localSheetId="77">'405'!$T$64:$T$65</definedName>
    <definedName name="OSRRefT22_13x_0" localSheetId="78">'406'!$T$69</definedName>
    <definedName name="OSRRefT22_13x_0" localSheetId="79">'411'!$T$67</definedName>
    <definedName name="OSRRefT22_13x_0" localSheetId="80">'412'!$T$71</definedName>
    <definedName name="OSRRefT22_13x_0" localSheetId="83">'414'!$T$63:$T$69</definedName>
    <definedName name="OSRRefT22_13x_0" localSheetId="84">'415'!$T$69:$T$70</definedName>
    <definedName name="OSRRefT22_13x_0" localSheetId="85">'418'!$T$69:$T$75</definedName>
    <definedName name="OSRRefT22_13x_0" localSheetId="88">'425'!$T$73</definedName>
    <definedName name="OSRRefT22_13x_0" localSheetId="91">'433'!$T$75</definedName>
    <definedName name="OSRRefT22_13x_0" localSheetId="93">'444'!$T$68:$T$75</definedName>
    <definedName name="OSRRefT22_13x_0" localSheetId="95">'450'!$T$68:$T$74</definedName>
    <definedName name="OSRRefT22_13x_0" localSheetId="76">'491'!$T$76</definedName>
    <definedName name="OSRRefT22_13x_0" localSheetId="89">'492'!$T$70:$T$72</definedName>
    <definedName name="OSRRefT22_13x_0" localSheetId="98">'501'!$T$64</definedName>
    <definedName name="OSRRefT22_13x_0" localSheetId="39">'Div 2'!$T$66:$T$69</definedName>
    <definedName name="OSRRefT22_13x_0" localSheetId="47">'Div 3'!$T$212</definedName>
    <definedName name="OSRRefT22_13x_0" localSheetId="74">'Div 4'!$T$77</definedName>
    <definedName name="OSRRefT22_13x_0" localSheetId="97">'Div 5'!$T$64</definedName>
    <definedName name="OSRRefT22_13x_0" localSheetId="65">'Div 6'!$T$96</definedName>
    <definedName name="OSRRefT22_13x_0" localSheetId="2">Summary!$T$248</definedName>
    <definedName name="OSRRefT22_14x_0" localSheetId="41">'201'!$T$64</definedName>
    <definedName name="OSRRefT22_14x_0" localSheetId="42">'202'!$T$62</definedName>
    <definedName name="OSRRefT22_14x_0" localSheetId="43">'203'!$T$65</definedName>
    <definedName name="OSRRefT22_14x_0" localSheetId="48">'300'!$T$209</definedName>
    <definedName name="OSRRefT22_14x_0" localSheetId="49">'300 &amp; 317'!$T$234</definedName>
    <definedName name="OSRRefT22_14x_0" localSheetId="50">'301'!$T$64:$T$66</definedName>
    <definedName name="OSRRefT22_14x_0" localSheetId="56">'308'!$T$111</definedName>
    <definedName name="OSRRefT22_14x_0" localSheetId="67">'310'!$T$73:$T$75</definedName>
    <definedName name="OSRRefT22_14x_0" localSheetId="75">'310 &amp; 491'!$T$86</definedName>
    <definedName name="OSRRefT22_14x_0" localSheetId="57">'311'!$T$110</definedName>
    <definedName name="OSRRefT22_14x_0" localSheetId="69">'313'!$T$76</definedName>
    <definedName name="OSRRefT22_14x_0" localSheetId="60">'315'!$T$104:$T$105</definedName>
    <definedName name="OSRRefT22_14x_0" localSheetId="66">'317'!$T$98</definedName>
    <definedName name="OSRRefT22_14x_0" localSheetId="71">'322'!$T$71</definedName>
    <definedName name="OSRRefT22_14x_0" localSheetId="72">'325'!$T$70:$T$75</definedName>
    <definedName name="OSRRefT22_14x_0" localSheetId="61">'326'!$T$100:$T$102</definedName>
    <definedName name="OSRRefT22_14x_0" localSheetId="53">'330'!$T$123:$T$125</definedName>
    <definedName name="OSRRefT22_14x_0" localSheetId="59">'331'!$T$116:$T$118</definedName>
    <definedName name="OSRRefT22_14x_0" localSheetId="77">'405'!$T$67:$T$73</definedName>
    <definedName name="OSRRefT22_14x_0" localSheetId="79">'411'!$T$69:$T$75</definedName>
    <definedName name="OSRRefT22_14x_0" localSheetId="80">'412'!$T$73</definedName>
    <definedName name="OSRRefT22_14x_0" localSheetId="83">'414'!$T$71</definedName>
    <definedName name="OSRRefT22_14x_0" localSheetId="84">'415'!$T$72:$T$78</definedName>
    <definedName name="OSRRefT22_14x_0" localSheetId="85">'418'!$T$77</definedName>
    <definedName name="OSRRefT22_14x_0" localSheetId="88">'425'!$T$75</definedName>
    <definedName name="OSRRefT22_14x_0" localSheetId="91">'433'!$T$77</definedName>
    <definedName name="OSRRefT22_14x_0" localSheetId="93">'444'!$T$77</definedName>
    <definedName name="OSRRefT22_14x_0" localSheetId="95">'450'!$T$76</definedName>
    <definedName name="OSRRefT22_14x_0" localSheetId="76">'491'!$T$78</definedName>
    <definedName name="OSRRefT22_14x_0" localSheetId="89">'492'!$T$74:$T$81</definedName>
    <definedName name="OSRRefT22_14x_0" localSheetId="39">'Div 2'!$T$71:$T$72</definedName>
    <definedName name="OSRRefT22_14x_0" localSheetId="47">'Div 3'!$T$214</definedName>
    <definedName name="OSRRefT22_14x_0" localSheetId="74">'Div 4'!$T$79</definedName>
    <definedName name="OSRRefT22_14x_0" localSheetId="65">'Div 6'!$T$98</definedName>
    <definedName name="OSRRefT22_14x_0" localSheetId="2">Summary!$T$250</definedName>
    <definedName name="OSRRefT22_15x_0" localSheetId="41">'201'!$T$66</definedName>
    <definedName name="OSRRefT22_15x_0" localSheetId="42">'202'!$T$64</definedName>
    <definedName name="OSRRefT22_15x_0" localSheetId="43">'203'!$T$67</definedName>
    <definedName name="OSRRefT22_15x_0" localSheetId="48">'300'!$T$211</definedName>
    <definedName name="OSRRefT22_15x_0" localSheetId="49">'300 &amp; 317'!$T$236</definedName>
    <definedName name="OSRRefT22_15x_0" localSheetId="50">'301'!$T$68:$T$70</definedName>
    <definedName name="OSRRefT22_15x_0" localSheetId="67">'310'!$T$77</definedName>
    <definedName name="OSRRefT22_15x_0" localSheetId="75">'310 &amp; 491'!$T$88</definedName>
    <definedName name="OSRRefT22_15x_0" localSheetId="72">'325'!$T$77</definedName>
    <definedName name="OSRRefT22_15x_0" localSheetId="61">'326'!$T$104</definedName>
    <definedName name="OSRRefT22_15x_0" localSheetId="53">'330'!$T$127</definedName>
    <definedName name="OSRRefT22_15x_0" localSheetId="59">'331'!$T$120:$T$121</definedName>
    <definedName name="OSRRefT22_15x_0" localSheetId="77">'405'!$T$75</definedName>
    <definedName name="OSRRefT22_15x_0" localSheetId="79">'411'!$T$77</definedName>
    <definedName name="OSRRefT22_15x_0" localSheetId="83">'414'!$T$73</definedName>
    <definedName name="OSRRefT22_15x_0" localSheetId="84">'415'!$T$80</definedName>
    <definedName name="OSRRefT22_15x_0" localSheetId="85">'418'!$T$79</definedName>
    <definedName name="OSRRefT22_15x_0" localSheetId="88">'425'!$T$77</definedName>
    <definedName name="OSRRefT22_15x_0" localSheetId="91">'433'!$T$79:$T$80</definedName>
    <definedName name="OSRRefT22_15x_0" localSheetId="93">'444'!$T$79</definedName>
    <definedName name="OSRRefT22_15x_0" localSheetId="95">'450'!$T$78</definedName>
    <definedName name="OSRRefT22_15x_0" localSheetId="76">'491'!$T$80:$T$82</definedName>
    <definedName name="OSRRefT22_15x_0" localSheetId="89">'492'!$T$83</definedName>
    <definedName name="OSRRefT22_15x_0" localSheetId="39">'Div 2'!$T$74</definedName>
    <definedName name="OSRRefT22_15x_0" localSheetId="47">'Div 3'!$T$216</definedName>
    <definedName name="OSRRefT22_15x_0" localSheetId="74">'Div 4'!$T$81</definedName>
    <definedName name="OSRRefT22_15x_0" localSheetId="2">Summary!$T$252</definedName>
    <definedName name="OSRRefT22_16x_0" localSheetId="41">'201'!$T$68:$T$69</definedName>
    <definedName name="OSRRefT22_16x_0" localSheetId="48">'300'!$T$213:$T$215</definedName>
    <definedName name="OSRRefT22_16x_0" localSheetId="49">'300 &amp; 317'!$T$238:$T$240</definedName>
    <definedName name="OSRRefT22_16x_0" localSheetId="50">'301'!$T$72</definedName>
    <definedName name="OSRRefT22_16x_0" localSheetId="67">'310'!$T$79:$T$82</definedName>
    <definedName name="OSRRefT22_16x_0" localSheetId="75">'310 &amp; 491'!$T$90:$T$92</definedName>
    <definedName name="OSRRefT22_16x_0" localSheetId="72">'325'!$T$79</definedName>
    <definedName name="OSRRefT22_16x_0" localSheetId="61">'326'!$T$106:$T$110</definedName>
    <definedName name="OSRRefT22_16x_0" localSheetId="53">'330'!$T$129</definedName>
    <definedName name="OSRRefT22_16x_0" localSheetId="59">'331'!$T$123:$T$125</definedName>
    <definedName name="OSRRefT22_16x_0" localSheetId="77">'405'!$T$77</definedName>
    <definedName name="OSRRefT22_16x_0" localSheetId="79">'411'!$T$79</definedName>
    <definedName name="OSRRefT22_16x_0" localSheetId="84">'415'!$T$82</definedName>
    <definedName name="OSRRefT22_16x_0" localSheetId="93">'444'!$T$81</definedName>
    <definedName name="OSRRefT22_16x_0" localSheetId="95">'450'!$T$80:$T$81</definedName>
    <definedName name="OSRRefT22_16x_0" localSheetId="76">'491'!$T$84:$T$85</definedName>
    <definedName name="OSRRefT22_16x_0" localSheetId="89">'492'!$T$85</definedName>
    <definedName name="OSRRefT22_16x_0" localSheetId="39">'Div 2'!$T$76:$T$79</definedName>
    <definedName name="OSRRefT22_16x_0" localSheetId="47">'Div 3'!$T$218</definedName>
    <definedName name="OSRRefT22_16x_0" localSheetId="74">'Div 4'!$T$83:$T$85</definedName>
    <definedName name="OSRRefT22_16x_0" localSheetId="2">Summary!$T$254</definedName>
    <definedName name="OSRRefT22_17x_0" localSheetId="48">'300'!$T$217:$T$219</definedName>
    <definedName name="OSRRefT22_17x_0" localSheetId="49">'300 &amp; 317'!$T$242:$T$244</definedName>
    <definedName name="OSRRefT22_17x_0" localSheetId="50">'301'!$T$74:$T$78</definedName>
    <definedName name="OSRRefT22_17x_0" localSheetId="67">'310'!$T$84:$T$85</definedName>
    <definedName name="OSRRefT22_17x_0" localSheetId="75">'310 &amp; 491'!$T$94:$T$95</definedName>
    <definedName name="OSRRefT22_17x_0" localSheetId="72">'325'!$T$81</definedName>
    <definedName name="OSRRefT22_17x_0" localSheetId="61">'326'!$T$112</definedName>
    <definedName name="OSRRefT22_17x_0" localSheetId="53">'330'!$T$131</definedName>
    <definedName name="OSRRefT22_17x_0" localSheetId="59">'331'!$T$127:$T$128</definedName>
    <definedName name="OSRRefT22_17x_0" localSheetId="77">'405'!$T$79</definedName>
    <definedName name="OSRRefT22_17x_0" localSheetId="79">'411'!$T$81:$T$83</definedName>
    <definedName name="OSRRefT22_17x_0" localSheetId="84">'415'!$T$84</definedName>
    <definedName name="OSRRefT22_17x_0" localSheetId="76">'491'!$T$87:$T$91</definedName>
    <definedName name="OSRRefT22_17x_0" localSheetId="89">'492'!$T$87:$T$88</definedName>
    <definedName name="OSRRefT22_17x_0" localSheetId="39">'Div 2'!$T$81:$T$82</definedName>
    <definedName name="OSRRefT22_17x_0" localSheetId="47">'Div 3'!$T$220:$T$222</definedName>
    <definedName name="OSRRefT22_17x_0" localSheetId="74">'Div 4'!$T$87:$T$88</definedName>
    <definedName name="OSRRefT22_17x_0" localSheetId="2">Summary!$T$256</definedName>
    <definedName name="OSRRefT22_18x_0" localSheetId="48">'300'!$T$221:$T$224</definedName>
    <definedName name="OSRRefT22_18x_0" localSheetId="49">'300 &amp; 317'!$T$246:$T$249</definedName>
    <definedName name="OSRRefT22_18x_0" localSheetId="50">'301'!$T$80</definedName>
    <definedName name="OSRRefT22_18x_0" localSheetId="67">'310'!$T$87:$T$93</definedName>
    <definedName name="OSRRefT22_18x_0" localSheetId="75">'310 &amp; 491'!$T$97:$T$101</definedName>
    <definedName name="OSRRefT22_18x_0" localSheetId="61">'326'!$T$114</definedName>
    <definedName name="OSRRefT22_18x_0" localSheetId="59">'331'!$T$130:$T$135</definedName>
    <definedName name="OSRRefT22_18x_0" localSheetId="79">'411'!$T$85</definedName>
    <definedName name="OSRRefT22_18x_0" localSheetId="76">'491'!$T$93:$T$94</definedName>
    <definedName name="OSRRefT22_18x_0" localSheetId="39">'Div 2'!$T$84</definedName>
    <definedName name="OSRRefT22_18x_0" localSheetId="47">'Div 3'!$T$224:$T$226</definedName>
    <definedName name="OSRRefT22_18x_0" localSheetId="74">'Div 4'!$T$90:$T$94</definedName>
    <definedName name="OSRRefT22_18x_0" localSheetId="2">Summary!$T$258:$T$260</definedName>
    <definedName name="OSRRefT22_19x_0" localSheetId="48">'300'!$T$226:$T$227</definedName>
    <definedName name="OSRRefT22_19x_0" localSheetId="49">'300 &amp; 317'!$T$251:$T$252</definedName>
    <definedName name="OSRRefT22_19x_0" localSheetId="50">'301'!$T$82</definedName>
    <definedName name="OSRRefT22_19x_0" localSheetId="67">'310'!$T$95</definedName>
    <definedName name="OSRRefT22_19x_0" localSheetId="75">'310 &amp; 491'!$T$103:$T$104</definedName>
    <definedName name="OSRRefT22_19x_0" localSheetId="61">'326'!$T$116</definedName>
    <definedName name="OSRRefT22_19x_0" localSheetId="59">'331'!$T$137</definedName>
    <definedName name="OSRRefT22_19x_0" localSheetId="76">'491'!$T$96:$T$103</definedName>
    <definedName name="OSRRefT22_19x_0" localSheetId="39">'Div 2'!$T$86:$T$87</definedName>
    <definedName name="OSRRefT22_19x_0" localSheetId="47">'Div 3'!$T$228:$T$232</definedName>
    <definedName name="OSRRefT22_19x_0" localSheetId="74">'Div 4'!$T$96:$T$97</definedName>
    <definedName name="OSRRefT22_19x_0" localSheetId="2">Summary!$T$262:$T$264</definedName>
    <definedName name="OSRRefT22_1x_0" localSheetId="40">'200'!$T$22</definedName>
    <definedName name="OSRRefT22_1x_0" localSheetId="41">'201'!$T$30:$T$32</definedName>
    <definedName name="OSRRefT22_1x_0" localSheetId="42">'202'!$T$29:$T$32</definedName>
    <definedName name="OSRRefT22_1x_0" localSheetId="43">'203'!$T$31:$T$34</definedName>
    <definedName name="OSRRefT22_1x_0" localSheetId="44">'204'!$T$31:$T$35</definedName>
    <definedName name="OSRRefT22_1x_0" localSheetId="45">'205'!$T$29</definedName>
    <definedName name="OSRRefT22_1x_0" localSheetId="46">'206'!$T$29:$T$34</definedName>
    <definedName name="OSRRefT22_1x_0" localSheetId="48">'300'!$T$173:$T$179</definedName>
    <definedName name="OSRRefT22_1x_0" localSheetId="49">'300 &amp; 317'!$T$198:$T$204</definedName>
    <definedName name="OSRRefT22_1x_0" localSheetId="50">'301'!$T$29:$T$35</definedName>
    <definedName name="OSRRefT22_1x_0" localSheetId="51">'306'!$T$30:$T$34</definedName>
    <definedName name="OSRRefT22_1x_0" localSheetId="54">'307'!$T$83:$T$86</definedName>
    <definedName name="OSRRefT22_1x_0" localSheetId="56">'308'!$T$74:$T$78</definedName>
    <definedName name="OSRRefT22_1x_0" localSheetId="68">'309'!$T$33:$T$37</definedName>
    <definedName name="OSRRefT22_1x_0" localSheetId="67">'310'!$T$41:$T$46</definedName>
    <definedName name="OSRRefT22_1x_0" localSheetId="75">'310 &amp; 491'!$T$50:$T$56</definedName>
    <definedName name="OSRRefT22_1x_0" localSheetId="57">'311'!$T$73:$T$77</definedName>
    <definedName name="OSRRefT22_1x_0" localSheetId="69">'313'!$T$38:$T$42</definedName>
    <definedName name="OSRRefT22_1x_0" localSheetId="55">'314'!$T$64:$T$67</definedName>
    <definedName name="OSRRefT22_1x_0" localSheetId="60">'315'!$T$64:$T$69</definedName>
    <definedName name="OSRRefT22_1x_0" localSheetId="63">'316'!$T$41:$T$44</definedName>
    <definedName name="OSRRefT22_1x_0" localSheetId="66">'317'!$T$68:$T$71</definedName>
    <definedName name="OSRRefT22_1x_0" localSheetId="64">'320'!$T$38:$T$40</definedName>
    <definedName name="OSRRefT22_1x_0" localSheetId="70">'321'!$T$32:$T$36</definedName>
    <definedName name="OSRRefT22_1x_0" localSheetId="71">'322'!$T$33:$T$37</definedName>
    <definedName name="OSRRefT22_1x_0" localSheetId="72">'325'!$T$33:$T$38</definedName>
    <definedName name="OSRRefT22_1x_0" localSheetId="61">'326'!$T$70:$T$73</definedName>
    <definedName name="OSRRefT22_1x_0" localSheetId="73">'327'!$T$24</definedName>
    <definedName name="OSRRefT22_1x_0" localSheetId="53">'330'!$T$90:$T$94</definedName>
    <definedName name="OSRRefT22_1x_0" localSheetId="59">'331'!$T$83:$T$88</definedName>
    <definedName name="OSRRefT22_1x_0" localSheetId="62">'332'!$T$50:$T$53</definedName>
    <definedName name="OSRRefT22_1x_0" localSheetId="77">'405'!$T$33:$T$36</definedName>
    <definedName name="OSRRefT22_1x_0" localSheetId="78">'406'!$T$33:$T$37</definedName>
    <definedName name="OSRRefT22_1x_0" localSheetId="79">'411'!$T$30:$T$35</definedName>
    <definedName name="OSRRefT22_1x_0" localSheetId="80">'412'!$T$33:$T$38</definedName>
    <definedName name="OSRRefT22_1x_0" localSheetId="82">'413'!$T$33:$T$37</definedName>
    <definedName name="OSRRefT22_1x_0" localSheetId="83">'414'!$T$33:$T$38</definedName>
    <definedName name="OSRRefT22_1x_0" localSheetId="84">'415'!$T$33:$T$38</definedName>
    <definedName name="OSRRefT22_1x_0" localSheetId="85">'418'!$T$33:$T$38</definedName>
    <definedName name="OSRRefT22_1x_0" localSheetId="81">'420'!$T$31:$T$34</definedName>
    <definedName name="OSRRefT22_1x_0" localSheetId="86">'423'!$T$30</definedName>
    <definedName name="OSRRefT22_1x_0" localSheetId="87">'424'!$T$28:$T$32</definedName>
    <definedName name="OSRRefT22_1x_0" localSheetId="88">'425'!$T$36:$T$40</definedName>
    <definedName name="OSRRefT22_1x_0" localSheetId="90">'430'!$T$29</definedName>
    <definedName name="OSRRefT22_1x_0" localSheetId="91">'433'!$T$36:$T$41</definedName>
    <definedName name="OSRRefT22_1x_0" localSheetId="92">'435'!$T$29:$T$31</definedName>
    <definedName name="OSRRefT22_1x_0" localSheetId="93">'444'!$T$35:$T$40</definedName>
    <definedName name="OSRRefT22_1x_0" localSheetId="95">'450'!$T$35:$T$40</definedName>
    <definedName name="OSRRefT22_1x_0" localSheetId="96">'455'!$T$28:$T$29</definedName>
    <definedName name="OSRRefT22_1x_0" localSheetId="76">'491'!$T$43:$T$49</definedName>
    <definedName name="OSRRefT22_1x_0" localSheetId="89">'492'!$T$38:$T$44</definedName>
    <definedName name="OSRRefT22_1x_0" localSheetId="98">'501'!$T$30:$T$35</definedName>
    <definedName name="OSRRefT22_1x_0" localSheetId="39">'Div 2'!$T$32:$T$38</definedName>
    <definedName name="OSRRefT22_1x_0" localSheetId="47">'Div 3'!$T$178:$T$184</definedName>
    <definedName name="OSRRefT22_1x_0" localSheetId="74">'Div 4'!$T$44:$T$50</definedName>
    <definedName name="OSRRefT22_1x_0" localSheetId="97">'Div 5'!$T$30:$T$35</definedName>
    <definedName name="OSRRefT22_1x_0" localSheetId="65">'Div 6'!$T$68:$T$71</definedName>
    <definedName name="OSRRefT22_1x_0" localSheetId="2">Summary!$T$212:$T$218</definedName>
    <definedName name="OSRRefT22_20x_0" localSheetId="48">'300'!$T$229:$T$235</definedName>
    <definedName name="OSRRefT22_20x_0" localSheetId="49">'300 &amp; 317'!$T$254:$T$260</definedName>
    <definedName name="OSRRefT22_20x_0" localSheetId="50">'301'!$T$84:$T$86</definedName>
    <definedName name="OSRRefT22_20x_0" localSheetId="67">'310'!$T$97</definedName>
    <definedName name="OSRRefT22_20x_0" localSheetId="75">'310 &amp; 491'!$T$106:$T$113</definedName>
    <definedName name="OSRRefT22_20x_0" localSheetId="59">'331'!$T$139</definedName>
    <definedName name="OSRRefT22_20x_0" localSheetId="76">'491'!$T$105</definedName>
    <definedName name="OSRRefT22_20x_0" localSheetId="47">'Div 3'!$T$234:$T$235</definedName>
    <definedName name="OSRRefT22_20x_0" localSheetId="74">'Div 4'!$T$99:$T$106</definedName>
    <definedName name="OSRRefT22_20x_0" localSheetId="2">Summary!$T$266:$T$270</definedName>
    <definedName name="OSRRefT22_21x_0" localSheetId="48">'300'!$T$237:$T$238</definedName>
    <definedName name="OSRRefT22_21x_0" localSheetId="49">'300 &amp; 317'!$T$262:$T$263</definedName>
    <definedName name="OSRRefT22_21x_0" localSheetId="50">'301'!$T$88</definedName>
    <definedName name="OSRRefT22_21x_0" localSheetId="67">'310'!$T$99</definedName>
    <definedName name="OSRRefT22_21x_0" localSheetId="75">'310 &amp; 491'!$T$115</definedName>
    <definedName name="OSRRefT22_21x_0" localSheetId="59">'331'!$T$141:$T$142</definedName>
    <definedName name="OSRRefT22_21x_0" localSheetId="76">'491'!$T$107</definedName>
    <definedName name="OSRRefT22_21x_0" localSheetId="47">'Div 3'!$T$237:$T$243</definedName>
    <definedName name="OSRRefT22_21x_0" localSheetId="74">'Div 4'!$T$108</definedName>
    <definedName name="OSRRefT22_21x_0" localSheetId="2">Summary!$T$272:$T$273</definedName>
    <definedName name="OSRRefT22_22x_0" localSheetId="48">'300'!$T$240</definedName>
    <definedName name="OSRRefT22_22x_0" localSheetId="49">'300 &amp; 317'!$T$265</definedName>
    <definedName name="OSRRefT22_22x_0" localSheetId="75">'310 &amp; 491'!$T$117</definedName>
    <definedName name="OSRRefT22_22x_0" localSheetId="59">'331'!$T$144</definedName>
    <definedName name="OSRRefT22_22x_0" localSheetId="76">'491'!$T$109:$T$111</definedName>
    <definedName name="OSRRefT22_22x_0" localSheetId="47">'Div 3'!$T$245:$T$246</definedName>
    <definedName name="OSRRefT22_22x_0" localSheetId="74">'Div 4'!$T$110</definedName>
    <definedName name="OSRRefT22_22x_0" localSheetId="2">Summary!$T$275:$T$282</definedName>
    <definedName name="OSRRefT22_23x_0" localSheetId="48">'300'!$T$242:$T$244</definedName>
    <definedName name="OSRRefT22_23x_0" localSheetId="49">'300 &amp; 317'!$T$267:$T$269</definedName>
    <definedName name="OSRRefT22_23x_0" localSheetId="75">'310 &amp; 491'!$T$119:$T$121</definedName>
    <definedName name="OSRRefT22_23x_0" localSheetId="76">'491'!$T$113</definedName>
    <definedName name="OSRRefT22_23x_0" localSheetId="47">'Div 3'!$T$248</definedName>
    <definedName name="OSRRefT22_23x_0" localSheetId="74">'Div 4'!$T$112:$T$114</definedName>
    <definedName name="OSRRefT22_23x_0" localSheetId="2">Summary!$T$284:$T$285</definedName>
    <definedName name="OSRRefT22_24x_0" localSheetId="48">'300'!$T$246</definedName>
    <definedName name="OSRRefT22_24x_0" localSheetId="49">'300 &amp; 317'!$T$271</definedName>
    <definedName name="OSRRefT22_24x_0" localSheetId="75">'310 &amp; 491'!$T$123</definedName>
    <definedName name="OSRRefT22_24x_0" localSheetId="47">'Div 3'!$T$250:$T$252</definedName>
    <definedName name="OSRRefT22_24x_0" localSheetId="74">'Div 4'!$T$116</definedName>
    <definedName name="OSRRefT22_24x_0" localSheetId="2">Summary!$T$287</definedName>
    <definedName name="OSRRefT22_25x_0" localSheetId="47">'Div 3'!$T$254</definedName>
    <definedName name="OSRRefT22_25x_0" localSheetId="2">Summary!$T$289:$T$291</definedName>
    <definedName name="OSRRefT22_26x_0" localSheetId="2">Summary!$T$293</definedName>
    <definedName name="OSRRefT22_2x_0" localSheetId="40">'200'!$T$24</definedName>
    <definedName name="OSRRefT22_2x_0" localSheetId="41">'201'!$T$34</definedName>
    <definedName name="OSRRefT22_2x_0" localSheetId="42">'202'!$T$34</definedName>
    <definedName name="OSRRefT22_2x_0" localSheetId="43">'203'!$T$36</definedName>
    <definedName name="OSRRefT22_2x_0" localSheetId="44">'204'!$T$37</definedName>
    <definedName name="OSRRefT22_2x_0" localSheetId="45">'205'!$T$31</definedName>
    <definedName name="OSRRefT22_2x_0" localSheetId="46">'206'!$T$36</definedName>
    <definedName name="OSRRefT22_2x_0" localSheetId="48">'300'!$T$181</definedName>
    <definedName name="OSRRefT22_2x_0" localSheetId="49">'300 &amp; 317'!$T$206</definedName>
    <definedName name="OSRRefT22_2x_0" localSheetId="50">'301'!$T$37</definedName>
    <definedName name="OSRRefT22_2x_0" localSheetId="51">'306'!$T$36</definedName>
    <definedName name="OSRRefT22_2x_0" localSheetId="54">'307'!$T$88</definedName>
    <definedName name="OSRRefT22_2x_0" localSheetId="56">'308'!$T$80</definedName>
    <definedName name="OSRRefT22_2x_0" localSheetId="68">'309'!$T$39</definedName>
    <definedName name="OSRRefT22_2x_0" localSheetId="67">'310'!$T$48</definedName>
    <definedName name="OSRRefT22_2x_0" localSheetId="75">'310 &amp; 491'!$T$58</definedName>
    <definedName name="OSRRefT22_2x_0" localSheetId="57">'311'!$T$79</definedName>
    <definedName name="OSRRefT22_2x_0" localSheetId="69">'313'!$T$44</definedName>
    <definedName name="OSRRefT22_2x_0" localSheetId="55">'314'!$T$69</definedName>
    <definedName name="OSRRefT22_2x_0" localSheetId="60">'315'!$T$71</definedName>
    <definedName name="OSRRefT22_2x_0" localSheetId="63">'316'!$T$46</definedName>
    <definedName name="OSRRefT22_2x_0" localSheetId="66">'317'!$T$73</definedName>
    <definedName name="OSRRefT22_2x_0" localSheetId="64">'320'!$T$42</definedName>
    <definedName name="OSRRefT22_2x_0" localSheetId="70">'321'!$T$38</definedName>
    <definedName name="OSRRefT22_2x_0" localSheetId="71">'322'!$T$39</definedName>
    <definedName name="OSRRefT22_2x_0" localSheetId="72">'325'!$T$40</definedName>
    <definedName name="OSRRefT22_2x_0" localSheetId="61">'326'!$T$75</definedName>
    <definedName name="OSRRefT22_2x_0" localSheetId="73">'327'!$T$26</definedName>
    <definedName name="OSRRefT22_2x_0" localSheetId="53">'330'!$T$96</definedName>
    <definedName name="OSRRefT22_2x_0" localSheetId="59">'331'!$T$90</definedName>
    <definedName name="OSRRefT22_2x_0" localSheetId="62">'332'!$T$55</definedName>
    <definedName name="OSRRefT22_2x_0" localSheetId="77">'405'!$T$38</definedName>
    <definedName name="OSRRefT22_2x_0" localSheetId="78">'406'!$T$39</definedName>
    <definedName name="OSRRefT22_2x_0" localSheetId="79">'411'!$T$37</definedName>
    <definedName name="OSRRefT22_2x_0" localSheetId="80">'412'!$T$40</definedName>
    <definedName name="OSRRefT22_2x_0" localSheetId="82">'413'!$T$39</definedName>
    <definedName name="OSRRefT22_2x_0" localSheetId="83">'414'!$T$40</definedName>
    <definedName name="OSRRefT22_2x_0" localSheetId="84">'415'!$T$40</definedName>
    <definedName name="OSRRefT22_2x_0" localSheetId="85">'418'!$T$40</definedName>
    <definedName name="OSRRefT22_2x_0" localSheetId="81">'420'!$T$36</definedName>
    <definedName name="OSRRefT22_2x_0" localSheetId="86">'423'!$T$32</definedName>
    <definedName name="OSRRefT22_2x_0" localSheetId="87">'424'!$T$34</definedName>
    <definedName name="OSRRefT22_2x_0" localSheetId="88">'425'!$T$42</definedName>
    <definedName name="OSRRefT22_2x_0" localSheetId="90">'430'!$T$31</definedName>
    <definedName name="OSRRefT22_2x_0" localSheetId="91">'433'!$T$43</definedName>
    <definedName name="OSRRefT22_2x_0" localSheetId="92">'435'!$T$33</definedName>
    <definedName name="OSRRefT22_2x_0" localSheetId="93">'444'!$T$42</definedName>
    <definedName name="OSRRefT22_2x_0" localSheetId="95">'450'!$T$42</definedName>
    <definedName name="OSRRefT22_2x_0" localSheetId="96">'455'!$T$31</definedName>
    <definedName name="OSRRefT22_2x_0" localSheetId="76">'491'!$T$51</definedName>
    <definedName name="OSRRefT22_2x_0" localSheetId="89">'492'!$T$46</definedName>
    <definedName name="OSRRefT22_2x_0" localSheetId="98">'501'!$T$37</definedName>
    <definedName name="OSRRefT22_2x_0" localSheetId="39">'Div 2'!$T$40</definedName>
    <definedName name="OSRRefT22_2x_0" localSheetId="47">'Div 3'!$T$186</definedName>
    <definedName name="OSRRefT22_2x_0" localSheetId="74">'Div 4'!$T$52</definedName>
    <definedName name="OSRRefT22_2x_0" localSheetId="97">'Div 5'!$T$37</definedName>
    <definedName name="OSRRefT22_2x_0" localSheetId="65">'Div 6'!$T$73</definedName>
    <definedName name="OSRRefT22_2x_0" localSheetId="2">Summary!$T$220</definedName>
    <definedName name="OSRRefT22_3x_0" localSheetId="40">'200'!$T$26</definedName>
    <definedName name="OSRRefT22_3x_0" localSheetId="41">'201'!$T$36</definedName>
    <definedName name="OSRRefT22_3x_0" localSheetId="42">'202'!$T$36</definedName>
    <definedName name="OSRRefT22_3x_0" localSheetId="43">'203'!$T$38</definedName>
    <definedName name="OSRRefT22_3x_0" localSheetId="44">'204'!$T$39:$T$40</definedName>
    <definedName name="OSRRefT22_3x_0" localSheetId="45">'205'!$T$33</definedName>
    <definedName name="OSRRefT22_3x_0" localSheetId="46">'206'!$T$38</definedName>
    <definedName name="OSRRefT22_3x_0" localSheetId="48">'300'!$T$183:$T$184</definedName>
    <definedName name="OSRRefT22_3x_0" localSheetId="49">'300 &amp; 317'!$T$208:$T$209</definedName>
    <definedName name="OSRRefT22_3x_0" localSheetId="50">'301'!$T$39:$T$40</definedName>
    <definedName name="OSRRefT22_3x_0" localSheetId="51">'306'!$T$38</definedName>
    <definedName name="OSRRefT22_3x_0" localSheetId="54">'307'!$T$90</definedName>
    <definedName name="OSRRefT22_3x_0" localSheetId="56">'308'!$T$82:$T$83</definedName>
    <definedName name="OSRRefT22_3x_0" localSheetId="68">'309'!$T$41</definedName>
    <definedName name="OSRRefT22_3x_0" localSheetId="67">'310'!$T$50</definedName>
    <definedName name="OSRRefT22_3x_0" localSheetId="75">'310 &amp; 491'!$T$60</definedName>
    <definedName name="OSRRefT22_3x_0" localSheetId="57">'311'!$T$81:$T$82</definedName>
    <definedName name="OSRRefT22_3x_0" localSheetId="69">'313'!$T$46</definedName>
    <definedName name="OSRRefT22_3x_0" localSheetId="55">'314'!$T$71:$T$72</definedName>
    <definedName name="OSRRefT22_3x_0" localSheetId="60">'315'!$T$73:$T$74</definedName>
    <definedName name="OSRRefT22_3x_0" localSheetId="63">'316'!$T$48</definedName>
    <definedName name="OSRRefT22_3x_0" localSheetId="66">'317'!$T$75</definedName>
    <definedName name="OSRRefT22_3x_0" localSheetId="64">'320'!$T$44</definedName>
    <definedName name="OSRRefT22_3x_0" localSheetId="70">'321'!$T$40</definedName>
    <definedName name="OSRRefT22_3x_0" localSheetId="71">'322'!$T$41</definedName>
    <definedName name="OSRRefT22_3x_0" localSheetId="72">'325'!$T$42</definedName>
    <definedName name="OSRRefT22_3x_0" localSheetId="61">'326'!$T$77</definedName>
    <definedName name="OSRRefT22_3x_0" localSheetId="53">'330'!$T$98</definedName>
    <definedName name="OSRRefT22_3x_0" localSheetId="59">'331'!$T$92</definedName>
    <definedName name="OSRRefT22_3x_0" localSheetId="62">'332'!$T$57</definedName>
    <definedName name="OSRRefT22_3x_0" localSheetId="77">'405'!$T$40</definedName>
    <definedName name="OSRRefT22_3x_0" localSheetId="78">'406'!$T$41</definedName>
    <definedName name="OSRRefT22_3x_0" localSheetId="79">'411'!$T$39:$T$41</definedName>
    <definedName name="OSRRefT22_3x_0" localSheetId="80">'412'!$T$42</definedName>
    <definedName name="OSRRefT22_3x_0" localSheetId="82">'413'!$T$41</definedName>
    <definedName name="OSRRefT22_3x_0" localSheetId="83">'414'!$T$42</definedName>
    <definedName name="OSRRefT22_3x_0" localSheetId="84">'415'!$T$42</definedName>
    <definedName name="OSRRefT22_3x_0" localSheetId="85">'418'!$T$42</definedName>
    <definedName name="OSRRefT22_3x_0" localSheetId="81">'420'!$T$38</definedName>
    <definedName name="OSRRefT22_3x_0" localSheetId="86">'423'!$T$34</definedName>
    <definedName name="OSRRefT22_3x_0" localSheetId="87">'424'!$T$36</definedName>
    <definedName name="OSRRefT22_3x_0" localSheetId="88">'425'!$T$44</definedName>
    <definedName name="OSRRefT22_3x_0" localSheetId="90">'430'!$T$33</definedName>
    <definedName name="OSRRefT22_3x_0" localSheetId="91">'433'!$T$45</definedName>
    <definedName name="OSRRefT22_3x_0" localSheetId="92">'435'!$T$35</definedName>
    <definedName name="OSRRefT22_3x_0" localSheetId="93">'444'!$T$44</definedName>
    <definedName name="OSRRefT22_3x_0" localSheetId="95">'450'!$T$44</definedName>
    <definedName name="OSRRefT22_3x_0" localSheetId="76">'491'!$T$53</definedName>
    <definedName name="OSRRefT22_3x_0" localSheetId="89">'492'!$T$48</definedName>
    <definedName name="OSRRefT22_3x_0" localSheetId="98">'501'!$T$39</definedName>
    <definedName name="OSRRefT22_3x_0" localSheetId="39">'Div 2'!$T$42</definedName>
    <definedName name="OSRRefT22_3x_0" localSheetId="47">'Div 3'!$T$188:$T$189</definedName>
    <definedName name="OSRRefT22_3x_0" localSheetId="74">'Div 4'!$T$54</definedName>
    <definedName name="OSRRefT22_3x_0" localSheetId="97">'Div 5'!$T$39</definedName>
    <definedName name="OSRRefT22_3x_0" localSheetId="65">'Div 6'!$T$75</definedName>
    <definedName name="OSRRefT22_3x_0" localSheetId="2">Summary!$T$222:$T$223</definedName>
    <definedName name="OSRRefT22_4x_0" localSheetId="40">'200'!$T$28:$T$29</definedName>
    <definedName name="OSRRefT22_4x_0" localSheetId="41">'201'!$T$38</definedName>
    <definedName name="OSRRefT22_4x_0" localSheetId="42">'202'!$T$38</definedName>
    <definedName name="OSRRefT22_4x_0" localSheetId="43">'203'!$T$40</definedName>
    <definedName name="OSRRefT22_4x_0" localSheetId="44">'204'!$T$42</definedName>
    <definedName name="OSRRefT22_4x_0" localSheetId="45">'205'!$T$35:$T$36</definedName>
    <definedName name="OSRRefT22_4x_0" localSheetId="46">'206'!$T$40</definedName>
    <definedName name="OSRRefT22_4x_0" localSheetId="48">'300'!$T$186</definedName>
    <definedName name="OSRRefT22_4x_0" localSheetId="49">'300 &amp; 317'!$T$211</definedName>
    <definedName name="OSRRefT22_4x_0" localSheetId="50">'301'!$T$42</definedName>
    <definedName name="OSRRefT22_4x_0" localSheetId="51">'306'!$T$40</definedName>
    <definedName name="OSRRefT22_4x_0" localSheetId="54">'307'!$T$92:$T$93</definedName>
    <definedName name="OSRRefT22_4x_0" localSheetId="56">'308'!$T$85</definedName>
    <definedName name="OSRRefT22_4x_0" localSheetId="68">'309'!$T$43</definedName>
    <definedName name="OSRRefT22_4x_0" localSheetId="67">'310'!$T$52</definedName>
    <definedName name="OSRRefT22_4x_0" localSheetId="75">'310 &amp; 491'!$T$62</definedName>
    <definedName name="OSRRefT22_4x_0" localSheetId="57">'311'!$T$84</definedName>
    <definedName name="OSRRefT22_4x_0" localSheetId="69">'313'!$T$48</definedName>
    <definedName name="OSRRefT22_4x_0" localSheetId="55">'314'!$T$74</definedName>
    <definedName name="OSRRefT22_4x_0" localSheetId="60">'315'!$T$76</definedName>
    <definedName name="OSRRefT22_4x_0" localSheetId="63">'316'!$T$50</definedName>
    <definedName name="OSRRefT22_4x_0" localSheetId="66">'317'!$T$77</definedName>
    <definedName name="OSRRefT22_4x_0" localSheetId="64">'320'!$T$46:$T$47</definedName>
    <definedName name="OSRRefT22_4x_0" localSheetId="70">'321'!$T$42</definedName>
    <definedName name="OSRRefT22_4x_0" localSheetId="71">'322'!$T$43</definedName>
    <definedName name="OSRRefT22_4x_0" localSheetId="72">'325'!$T$44</definedName>
    <definedName name="OSRRefT22_4x_0" localSheetId="61">'326'!$T$79</definedName>
    <definedName name="OSRRefT22_4x_0" localSheetId="53">'330'!$T$100:$T$101</definedName>
    <definedName name="OSRRefT22_4x_0" localSheetId="59">'331'!$T$94</definedName>
    <definedName name="OSRRefT22_4x_0" localSheetId="62">'332'!$T$59</definedName>
    <definedName name="OSRRefT22_4x_0" localSheetId="77">'405'!$T$42</definedName>
    <definedName name="OSRRefT22_4x_0" localSheetId="78">'406'!$T$43</definedName>
    <definedName name="OSRRefT22_4x_0" localSheetId="79">'411'!$T$43</definedName>
    <definedName name="OSRRefT22_4x_0" localSheetId="80">'412'!$T$44</definedName>
    <definedName name="OSRRefT22_4x_0" localSheetId="82">'413'!$T$43</definedName>
    <definedName name="OSRRefT22_4x_0" localSheetId="83">'414'!$T$44</definedName>
    <definedName name="OSRRefT22_4x_0" localSheetId="84">'415'!$T$44</definedName>
    <definedName name="OSRRefT22_4x_0" localSheetId="85">'418'!$T$44</definedName>
    <definedName name="OSRRefT22_4x_0" localSheetId="81">'420'!$T$40:$T$41</definedName>
    <definedName name="OSRRefT22_4x_0" localSheetId="86">'423'!$T$36</definedName>
    <definedName name="OSRRefT22_4x_0" localSheetId="87">'424'!$T$38</definedName>
    <definedName name="OSRRefT22_4x_0" localSheetId="88">'425'!$T$46</definedName>
    <definedName name="OSRRefT22_4x_0" localSheetId="90">'430'!$T$35</definedName>
    <definedName name="OSRRefT22_4x_0" localSheetId="91">'433'!$T$47</definedName>
    <definedName name="OSRRefT22_4x_0" localSheetId="92">'435'!$T$37</definedName>
    <definedName name="OSRRefT22_4x_0" localSheetId="93">'444'!$T$46</definedName>
    <definedName name="OSRRefT22_4x_0" localSheetId="95">'450'!$T$46</definedName>
    <definedName name="OSRRefT22_4x_0" localSheetId="76">'491'!$T$55</definedName>
    <definedName name="OSRRefT22_4x_0" localSheetId="89">'492'!$T$50</definedName>
    <definedName name="OSRRefT22_4x_0" localSheetId="98">'501'!$T$41</definedName>
    <definedName name="OSRRefT22_4x_0" localSheetId="39">'Div 2'!$T$44</definedName>
    <definedName name="OSRRefT22_4x_0" localSheetId="47">'Div 3'!$T$191</definedName>
    <definedName name="OSRRefT22_4x_0" localSheetId="74">'Div 4'!$T$56</definedName>
    <definedName name="OSRRefT22_4x_0" localSheetId="97">'Div 5'!$T$41</definedName>
    <definedName name="OSRRefT22_4x_0" localSheetId="65">'Div 6'!$T$77</definedName>
    <definedName name="OSRRefT22_4x_0" localSheetId="2">Summary!$T$225</definedName>
    <definedName name="OSRRefT22_5x_0" localSheetId="41">'201'!$T$40</definedName>
    <definedName name="OSRRefT22_5x_0" localSheetId="42">'202'!$T$40</definedName>
    <definedName name="OSRRefT22_5x_0" localSheetId="43">'203'!$T$42</definedName>
    <definedName name="OSRRefT22_5x_0" localSheetId="44">'204'!$T$44</definedName>
    <definedName name="OSRRefT22_5x_0" localSheetId="45">'205'!$T$38</definedName>
    <definedName name="OSRRefT22_5x_0" localSheetId="46">'206'!$T$42:$T$43</definedName>
    <definedName name="OSRRefT22_5x_0" localSheetId="48">'300'!$T$188:$T$189</definedName>
    <definedName name="OSRRefT22_5x_0" localSheetId="49">'300 &amp; 317'!$T$213:$T$214</definedName>
    <definedName name="OSRRefT22_5x_0" localSheetId="50">'301'!$T$44:$T$45</definedName>
    <definedName name="OSRRefT22_5x_0" localSheetId="51">'306'!$T$42</definedName>
    <definedName name="OSRRefT22_5x_0" localSheetId="54">'307'!$T$95</definedName>
    <definedName name="OSRRefT22_5x_0" localSheetId="56">'308'!$T$87</definedName>
    <definedName name="OSRRefT22_5x_0" localSheetId="68">'309'!$T$45</definedName>
    <definedName name="OSRRefT22_5x_0" localSheetId="67">'310'!$T$54:$T$55</definedName>
    <definedName name="OSRRefT22_5x_0" localSheetId="75">'310 &amp; 491'!$T$64:$T$66</definedName>
    <definedName name="OSRRefT22_5x_0" localSheetId="57">'311'!$T$86</definedName>
    <definedName name="OSRRefT22_5x_0" localSheetId="69">'313'!$T$50</definedName>
    <definedName name="OSRRefT22_5x_0" localSheetId="55">'314'!$T$76</definedName>
    <definedName name="OSRRefT22_5x_0" localSheetId="60">'315'!$T$78:$T$79</definedName>
    <definedName name="OSRRefT22_5x_0" localSheetId="63">'316'!$T$52</definedName>
    <definedName name="OSRRefT22_5x_0" localSheetId="66">'317'!$T$79</definedName>
    <definedName name="OSRRefT22_5x_0" localSheetId="64">'320'!$T$49</definedName>
    <definedName name="OSRRefT22_5x_0" localSheetId="70">'321'!$T$44</definedName>
    <definedName name="OSRRefT22_5x_0" localSheetId="71">'322'!$T$45</definedName>
    <definedName name="OSRRefT22_5x_0" localSheetId="72">'325'!$T$46:$T$47</definedName>
    <definedName name="OSRRefT22_5x_0" localSheetId="61">'326'!$T$81</definedName>
    <definedName name="OSRRefT22_5x_0" localSheetId="53">'330'!$T$103</definedName>
    <definedName name="OSRRefT22_5x_0" localSheetId="59">'331'!$T$96:$T$97</definedName>
    <definedName name="OSRRefT22_5x_0" localSheetId="62">'332'!$T$61</definedName>
    <definedName name="OSRRefT22_5x_0" localSheetId="77">'405'!$T$44:$T$45</definedName>
    <definedName name="OSRRefT22_5x_0" localSheetId="78">'406'!$T$45</definedName>
    <definedName name="OSRRefT22_5x_0" localSheetId="79">'411'!$T$45</definedName>
    <definedName name="OSRRefT22_5x_0" localSheetId="80">'412'!$T$46</definedName>
    <definedName name="OSRRefT22_5x_0" localSheetId="82">'413'!$T$45</definedName>
    <definedName name="OSRRefT22_5x_0" localSheetId="83">'414'!$T$46</definedName>
    <definedName name="OSRRefT22_5x_0" localSheetId="84">'415'!$T$46:$T$47</definedName>
    <definedName name="OSRRefT22_5x_0" localSheetId="85">'418'!$T$46:$T$47</definedName>
    <definedName name="OSRRefT22_5x_0" localSheetId="81">'420'!$T$43</definedName>
    <definedName name="OSRRefT22_5x_0" localSheetId="86">'423'!$T$38</definedName>
    <definedName name="OSRRefT22_5x_0" localSheetId="87">'424'!$T$40</definedName>
    <definedName name="OSRRefT22_5x_0" localSheetId="88">'425'!$T$48</definedName>
    <definedName name="OSRRefT22_5x_0" localSheetId="90">'430'!$T$37</definedName>
    <definedName name="OSRRefT22_5x_0" localSheetId="91">'433'!$T$49</definedName>
    <definedName name="OSRRefT22_5x_0" localSheetId="92">'435'!$T$39</definedName>
    <definedName name="OSRRefT22_5x_0" localSheetId="93">'444'!$T$48</definedName>
    <definedName name="OSRRefT22_5x_0" localSheetId="95">'450'!$T$48</definedName>
    <definedName name="OSRRefT22_5x_0" localSheetId="76">'491'!$T$57:$T$59</definedName>
    <definedName name="OSRRefT22_5x_0" localSheetId="89">'492'!$T$52</definedName>
    <definedName name="OSRRefT22_5x_0" localSheetId="98">'501'!$T$43:$T$44</definedName>
    <definedName name="OSRRefT22_5x_0" localSheetId="39">'Div 2'!$T$46:$T$47</definedName>
    <definedName name="OSRRefT22_5x_0" localSheetId="47">'Div 3'!$T$193:$T$194</definedName>
    <definedName name="OSRRefT22_5x_0" localSheetId="74">'Div 4'!$T$58:$T$60</definedName>
    <definedName name="OSRRefT22_5x_0" localSheetId="97">'Div 5'!$T$43:$T$44</definedName>
    <definedName name="OSRRefT22_5x_0" localSheetId="65">'Div 6'!$T$79</definedName>
    <definedName name="OSRRefT22_5x_0" localSheetId="2">Summary!$T$227:$T$229</definedName>
    <definedName name="OSRRefT22_6x_0" localSheetId="41">'201'!$T$42</definedName>
    <definedName name="OSRRefT22_6x_0" localSheetId="42">'202'!$T$42</definedName>
    <definedName name="OSRRefT22_6x_0" localSheetId="43">'203'!$T$44</definedName>
    <definedName name="OSRRefT22_6x_0" localSheetId="44">'204'!$T$46:$T$49</definedName>
    <definedName name="OSRRefT22_6x_0" localSheetId="45">'205'!$T$40:$T$41</definedName>
    <definedName name="OSRRefT22_6x_0" localSheetId="46">'206'!$T$45</definedName>
    <definedName name="OSRRefT22_6x_0" localSheetId="48">'300'!$T$191:$T$192</definedName>
    <definedName name="OSRRefT22_6x_0" localSheetId="49">'300 &amp; 317'!$T$216:$T$217</definedName>
    <definedName name="OSRRefT22_6x_0" localSheetId="50">'301'!$T$47:$T$48</definedName>
    <definedName name="OSRRefT22_6x_0" localSheetId="51">'306'!$T$44</definedName>
    <definedName name="OSRRefT22_6x_0" localSheetId="54">'307'!$T$97</definedName>
    <definedName name="OSRRefT22_6x_0" localSheetId="56">'308'!$T$89:$T$90</definedName>
    <definedName name="OSRRefT22_6x_0" localSheetId="68">'309'!$T$47</definedName>
    <definedName name="OSRRefT22_6x_0" localSheetId="67">'310'!$T$57</definedName>
    <definedName name="OSRRefT22_6x_0" localSheetId="75">'310 &amp; 491'!$T$68</definedName>
    <definedName name="OSRRefT22_6x_0" localSheetId="57">'311'!$T$88:$T$89</definedName>
    <definedName name="OSRRefT22_6x_0" localSheetId="69">'313'!$T$52</definedName>
    <definedName name="OSRRefT22_6x_0" localSheetId="55">'314'!$T$78</definedName>
    <definedName name="OSRRefT22_6x_0" localSheetId="60">'315'!$T$81</definedName>
    <definedName name="OSRRefT22_6x_0" localSheetId="63">'316'!$T$54</definedName>
    <definedName name="OSRRefT22_6x_0" localSheetId="66">'317'!$T$81</definedName>
    <definedName name="OSRRefT22_6x_0" localSheetId="64">'320'!$T$51</definedName>
    <definedName name="OSRRefT22_6x_0" localSheetId="70">'321'!$T$46:$T$48</definedName>
    <definedName name="OSRRefT22_6x_0" localSheetId="71">'322'!$T$47</definedName>
    <definedName name="OSRRefT22_6x_0" localSheetId="72">'325'!$T$49</definedName>
    <definedName name="OSRRefT22_6x_0" localSheetId="61">'326'!$T$83</definedName>
    <definedName name="OSRRefT22_6x_0" localSheetId="53">'330'!$T$105</definedName>
    <definedName name="OSRRefT22_6x_0" localSheetId="59">'331'!$T$99</definedName>
    <definedName name="OSRRefT22_6x_0" localSheetId="62">'332'!$T$63:$T$64</definedName>
    <definedName name="OSRRefT22_6x_0" localSheetId="77">'405'!$T$47</definedName>
    <definedName name="OSRRefT22_6x_0" localSheetId="78">'406'!$T$47</definedName>
    <definedName name="OSRRefT22_6x_0" localSheetId="79">'411'!$T$47</definedName>
    <definedName name="OSRRefT22_6x_0" localSheetId="80">'412'!$T$48</definedName>
    <definedName name="OSRRefT22_6x_0" localSheetId="82">'413'!$T$47</definedName>
    <definedName name="OSRRefT22_6x_0" localSheetId="83">'414'!$T$48</definedName>
    <definedName name="OSRRefT22_6x_0" localSheetId="84">'415'!$T$49</definedName>
    <definedName name="OSRRefT22_6x_0" localSheetId="85">'418'!$T$49</definedName>
    <definedName name="OSRRefT22_6x_0" localSheetId="87">'424'!$T$42</definedName>
    <definedName name="OSRRefT22_6x_0" localSheetId="88">'425'!$T$50</definedName>
    <definedName name="OSRRefT22_6x_0" localSheetId="90">'430'!$T$39:$T$40</definedName>
    <definedName name="OSRRefT22_6x_0" localSheetId="91">'433'!$T$51</definedName>
    <definedName name="OSRRefT22_6x_0" localSheetId="92">'435'!$T$41</definedName>
    <definedName name="OSRRefT22_6x_0" localSheetId="93">'444'!$T$50</definedName>
    <definedName name="OSRRefT22_6x_0" localSheetId="95">'450'!$T$50</definedName>
    <definedName name="OSRRefT22_6x_0" localSheetId="76">'491'!$T$61</definedName>
    <definedName name="OSRRefT22_6x_0" localSheetId="89">'492'!$T$54</definedName>
    <definedName name="OSRRefT22_6x_0" localSheetId="98">'501'!$T$46</definedName>
    <definedName name="OSRRefT22_6x_0" localSheetId="39">'Div 2'!$T$49</definedName>
    <definedName name="OSRRefT22_6x_0" localSheetId="47">'Div 3'!$T$196:$T$197</definedName>
    <definedName name="OSRRefT22_6x_0" localSheetId="74">'Div 4'!$T$62</definedName>
    <definedName name="OSRRefT22_6x_0" localSheetId="97">'Div 5'!$T$46</definedName>
    <definedName name="OSRRefT22_6x_0" localSheetId="65">'Div 6'!$T$81</definedName>
    <definedName name="OSRRefT22_6x_0" localSheetId="2">Summary!$T$231:$T$232</definedName>
    <definedName name="OSRRefT22_7x_0" localSheetId="41">'201'!$T$44</definedName>
    <definedName name="OSRRefT22_7x_0" localSheetId="42">'202'!$T$44</definedName>
    <definedName name="OSRRefT22_7x_0" localSheetId="43">'203'!$T$46</definedName>
    <definedName name="OSRRefT22_7x_0" localSheetId="44">'204'!$T$51:$T$52</definedName>
    <definedName name="OSRRefT22_7x_0" localSheetId="45">'205'!$T$43</definedName>
    <definedName name="OSRRefT22_7x_0" localSheetId="46">'206'!$T$47</definedName>
    <definedName name="OSRRefT22_7x_0" localSheetId="48">'300'!$T$194</definedName>
    <definedName name="OSRRefT22_7x_0" localSheetId="49">'300 &amp; 317'!$T$219</definedName>
    <definedName name="OSRRefT22_7x_0" localSheetId="50">'301'!$T$50</definedName>
    <definedName name="OSRRefT22_7x_0" localSheetId="51">'306'!$T$46:$T$47</definedName>
    <definedName name="OSRRefT22_7x_0" localSheetId="54">'307'!$T$99</definedName>
    <definedName name="OSRRefT22_7x_0" localSheetId="56">'308'!$T$92</definedName>
    <definedName name="OSRRefT22_7x_0" localSheetId="68">'309'!$T$49</definedName>
    <definedName name="OSRRefT22_7x_0" localSheetId="67">'310'!$T$59</definedName>
    <definedName name="OSRRefT22_7x_0" localSheetId="75">'310 &amp; 491'!$T$70</definedName>
    <definedName name="OSRRefT22_7x_0" localSheetId="57">'311'!$T$91</definedName>
    <definedName name="OSRRefT22_7x_0" localSheetId="69">'313'!$T$54</definedName>
    <definedName name="OSRRefT22_7x_0" localSheetId="55">'314'!$T$80:$T$81</definedName>
    <definedName name="OSRRefT22_7x_0" localSheetId="60">'315'!$T$83</definedName>
    <definedName name="OSRRefT22_7x_0" localSheetId="63">'316'!$T$56</definedName>
    <definedName name="OSRRefT22_7x_0" localSheetId="66">'317'!$T$83</definedName>
    <definedName name="OSRRefT22_7x_0" localSheetId="64">'320'!$T$53:$T$54</definedName>
    <definedName name="OSRRefT22_7x_0" localSheetId="70">'321'!$T$50</definedName>
    <definedName name="OSRRefT22_7x_0" localSheetId="71">'322'!$T$49</definedName>
    <definedName name="OSRRefT22_7x_0" localSheetId="72">'325'!$T$51</definedName>
    <definedName name="OSRRefT22_7x_0" localSheetId="61">'326'!$T$85</definedName>
    <definedName name="OSRRefT22_7x_0" localSheetId="53">'330'!$T$107</definedName>
    <definedName name="OSRRefT22_7x_0" localSheetId="59">'331'!$T$101</definedName>
    <definedName name="OSRRefT22_7x_0" localSheetId="62">'332'!$T$66</definedName>
    <definedName name="OSRRefT22_7x_0" localSheetId="77">'405'!$T$49</definedName>
    <definedName name="OSRRefT22_7x_0" localSheetId="78">'406'!$T$49</definedName>
    <definedName name="OSRRefT22_7x_0" localSheetId="79">'411'!$T$49</definedName>
    <definedName name="OSRRefT22_7x_0" localSheetId="80">'412'!$T$50</definedName>
    <definedName name="OSRRefT22_7x_0" localSheetId="82">'413'!$T$49:$T$51</definedName>
    <definedName name="OSRRefT22_7x_0" localSheetId="83">'414'!$T$50</definedName>
    <definedName name="OSRRefT22_7x_0" localSheetId="84">'415'!$T$51</definedName>
    <definedName name="OSRRefT22_7x_0" localSheetId="85">'418'!$T$51</definedName>
    <definedName name="OSRRefT22_7x_0" localSheetId="87">'424'!$T$44:$T$45</definedName>
    <definedName name="OSRRefT22_7x_0" localSheetId="88">'425'!$T$52</definedName>
    <definedName name="OSRRefT22_7x_0" localSheetId="90">'430'!$T$42</definedName>
    <definedName name="OSRRefT22_7x_0" localSheetId="91">'433'!$T$53</definedName>
    <definedName name="OSRRefT22_7x_0" localSheetId="92">'435'!$T$43:$T$46</definedName>
    <definedName name="OSRRefT22_7x_0" localSheetId="93">'444'!$T$52</definedName>
    <definedName name="OSRRefT22_7x_0" localSheetId="95">'450'!$T$52</definedName>
    <definedName name="OSRRefT22_7x_0" localSheetId="76">'491'!$T$63</definedName>
    <definedName name="OSRRefT22_7x_0" localSheetId="89">'492'!$T$56</definedName>
    <definedName name="OSRRefT22_7x_0" localSheetId="98">'501'!$T$48</definedName>
    <definedName name="OSRRefT22_7x_0" localSheetId="39">'Div 2'!$T$51</definedName>
    <definedName name="OSRRefT22_7x_0" localSheetId="47">'Div 3'!$T$199</definedName>
    <definedName name="OSRRefT22_7x_0" localSheetId="74">'Div 4'!$T$64</definedName>
    <definedName name="OSRRefT22_7x_0" localSheetId="97">'Div 5'!$T$48</definedName>
    <definedName name="OSRRefT22_7x_0" localSheetId="65">'Div 6'!$T$83</definedName>
    <definedName name="OSRRefT22_7x_0" localSheetId="2">Summary!$T$234</definedName>
    <definedName name="OSRRefT22_8x_0" localSheetId="41">'201'!$T$46</definedName>
    <definedName name="OSRRefT22_8x_0" localSheetId="42">'202'!$T$46</definedName>
    <definedName name="OSRRefT22_8x_0" localSheetId="43">'203'!$T$48</definedName>
    <definedName name="OSRRefT22_8x_0" localSheetId="44">'204'!$T$54:$T$55</definedName>
    <definedName name="OSRRefT22_8x_0" localSheetId="45">'205'!$T$45</definedName>
    <definedName name="OSRRefT22_8x_0" localSheetId="48">'300'!$T$196</definedName>
    <definedName name="OSRRefT22_8x_0" localSheetId="49">'300 &amp; 317'!$T$221</definedName>
    <definedName name="OSRRefT22_8x_0" localSheetId="50">'301'!$T$52</definedName>
    <definedName name="OSRRefT22_8x_0" localSheetId="51">'306'!$T$49:$T$53</definedName>
    <definedName name="OSRRefT22_8x_0" localSheetId="54">'307'!$T$101</definedName>
    <definedName name="OSRRefT22_8x_0" localSheetId="56">'308'!$T$94</definedName>
    <definedName name="OSRRefT22_8x_0" localSheetId="68">'309'!$T$51</definedName>
    <definedName name="OSRRefT22_8x_0" localSheetId="67">'310'!$T$61</definedName>
    <definedName name="OSRRefT22_8x_0" localSheetId="75">'310 &amp; 491'!$T$72</definedName>
    <definedName name="OSRRefT22_8x_0" localSheetId="57">'311'!$T$93</definedName>
    <definedName name="OSRRefT22_8x_0" localSheetId="69">'313'!$T$56</definedName>
    <definedName name="OSRRefT22_8x_0" localSheetId="55">'314'!$T$83</definedName>
    <definedName name="OSRRefT22_8x_0" localSheetId="60">'315'!$T$85:$T$86</definedName>
    <definedName name="OSRRefT22_8x_0" localSheetId="63">'316'!$T$58:$T$59</definedName>
    <definedName name="OSRRefT22_8x_0" localSheetId="66">'317'!$T$85</definedName>
    <definedName name="OSRRefT22_8x_0" localSheetId="64">'320'!$T$56</definedName>
    <definedName name="OSRRefT22_8x_0" localSheetId="70">'321'!$T$52:$T$54</definedName>
    <definedName name="OSRRefT22_8x_0" localSheetId="71">'322'!$T$51</definedName>
    <definedName name="OSRRefT22_8x_0" localSheetId="72">'325'!$T$53</definedName>
    <definedName name="OSRRefT22_8x_0" localSheetId="61">'326'!$T$87</definedName>
    <definedName name="OSRRefT22_8x_0" localSheetId="53">'330'!$T$109</definedName>
    <definedName name="OSRRefT22_8x_0" localSheetId="59">'331'!$T$103:$T$104</definedName>
    <definedName name="OSRRefT22_8x_0" localSheetId="62">'332'!$T$68</definedName>
    <definedName name="OSRRefT22_8x_0" localSheetId="77">'405'!$T$51</definedName>
    <definedName name="OSRRefT22_8x_0" localSheetId="78">'406'!$T$51</definedName>
    <definedName name="OSRRefT22_8x_0" localSheetId="79">'411'!$T$51</definedName>
    <definedName name="OSRRefT22_8x_0" localSheetId="80">'412'!$T$52</definedName>
    <definedName name="OSRRefT22_8x_0" localSheetId="82">'413'!$T$53:$T$54</definedName>
    <definedName name="OSRRefT22_8x_0" localSheetId="83">'414'!$T$52</definedName>
    <definedName name="OSRRefT22_8x_0" localSheetId="84">'415'!$T$53</definedName>
    <definedName name="OSRRefT22_8x_0" localSheetId="85">'418'!$T$53</definedName>
    <definedName name="OSRRefT22_8x_0" localSheetId="87">'424'!$T$47</definedName>
    <definedName name="OSRRefT22_8x_0" localSheetId="88">'425'!$T$54</definedName>
    <definedName name="OSRRefT22_8x_0" localSheetId="90">'430'!$T$44</definedName>
    <definedName name="OSRRefT22_8x_0" localSheetId="91">'433'!$T$55</definedName>
    <definedName name="OSRRefT22_8x_0" localSheetId="92">'435'!$T$48</definedName>
    <definedName name="OSRRefT22_8x_0" localSheetId="93">'444'!$T$54</definedName>
    <definedName name="OSRRefT22_8x_0" localSheetId="95">'450'!$T$54</definedName>
    <definedName name="OSRRefT22_8x_0" localSheetId="76">'491'!$T$65</definedName>
    <definedName name="OSRRefT22_8x_0" localSheetId="89">'492'!$T$58</definedName>
    <definedName name="OSRRefT22_8x_0" localSheetId="98">'501'!$T$50</definedName>
    <definedName name="OSRRefT22_8x_0" localSheetId="39">'Div 2'!$T$53</definedName>
    <definedName name="OSRRefT22_8x_0" localSheetId="47">'Div 3'!$T$201</definedName>
    <definedName name="OSRRefT22_8x_0" localSheetId="74">'Div 4'!$T$66</definedName>
    <definedName name="OSRRefT22_8x_0" localSheetId="97">'Div 5'!$T$50</definedName>
    <definedName name="OSRRefT22_8x_0" localSheetId="65">'Div 6'!$T$85</definedName>
    <definedName name="OSRRefT22_8x_0" localSheetId="2">Summary!$T$236</definedName>
    <definedName name="OSRRefT22_9x_0" localSheetId="41">'201'!$T$48</definedName>
    <definedName name="OSRRefT22_9x_0" localSheetId="42">'202'!$T$48</definedName>
    <definedName name="OSRRefT22_9x_0" localSheetId="43">'203'!$T$50:$T$52</definedName>
    <definedName name="OSRRefT22_9x_0" localSheetId="44">'204'!$T$57</definedName>
    <definedName name="OSRRefT22_9x_0" localSheetId="48">'300'!$T$198</definedName>
    <definedName name="OSRRefT22_9x_0" localSheetId="49">'300 &amp; 317'!$T$223</definedName>
    <definedName name="OSRRefT22_9x_0" localSheetId="50">'301'!$T$54</definedName>
    <definedName name="OSRRefT22_9x_0" localSheetId="51">'306'!$T$55</definedName>
    <definedName name="OSRRefT22_9x_0" localSheetId="54">'307'!$T$103:$T$104</definedName>
    <definedName name="OSRRefT22_9x_0" localSheetId="56">'308'!$T$96:$T$97</definedName>
    <definedName name="OSRRefT22_9x_0" localSheetId="68">'309'!$T$53:$T$54</definedName>
    <definedName name="OSRRefT22_9x_0" localSheetId="67">'310'!$T$63</definedName>
    <definedName name="OSRRefT22_9x_0" localSheetId="75">'310 &amp; 491'!$T$74</definedName>
    <definedName name="OSRRefT22_9x_0" localSheetId="57">'311'!$T$95:$T$96</definedName>
    <definedName name="OSRRefT22_9x_0" localSheetId="69">'313'!$T$58:$T$60</definedName>
    <definedName name="OSRRefT22_9x_0" localSheetId="55">'314'!$T$85</definedName>
    <definedName name="OSRRefT22_9x_0" localSheetId="60">'315'!$T$88:$T$89</definedName>
    <definedName name="OSRRefT22_9x_0" localSheetId="63">'316'!$T$61</definedName>
    <definedName name="OSRRefT22_9x_0" localSheetId="66">'317'!$T$87</definedName>
    <definedName name="OSRRefT22_9x_0" localSheetId="70">'321'!$T$56:$T$60</definedName>
    <definedName name="OSRRefT22_9x_0" localSheetId="71">'322'!$T$53:$T$54</definedName>
    <definedName name="OSRRefT22_9x_0" localSheetId="72">'325'!$T$55</definedName>
    <definedName name="OSRRefT22_9x_0" localSheetId="61">'326'!$T$89</definedName>
    <definedName name="OSRRefT22_9x_0" localSheetId="53">'330'!$T$111</definedName>
    <definedName name="OSRRefT22_9x_0" localSheetId="59">'331'!$T$106</definedName>
    <definedName name="OSRRefT22_9x_0" localSheetId="62">'332'!$T$70:$T$71</definedName>
    <definedName name="OSRRefT22_9x_0" localSheetId="77">'405'!$T$53</definedName>
    <definedName name="OSRRefT22_9x_0" localSheetId="78">'406'!$T$53:$T$55</definedName>
    <definedName name="OSRRefT22_9x_0" localSheetId="79">'411'!$T$53</definedName>
    <definedName name="OSRRefT22_9x_0" localSheetId="80">'412'!$T$54:$T$55</definedName>
    <definedName name="OSRRefT22_9x_0" localSheetId="82">'413'!$T$56:$T$60</definedName>
    <definedName name="OSRRefT22_9x_0" localSheetId="83">'414'!$T$54:$T$55</definedName>
    <definedName name="OSRRefT22_9x_0" localSheetId="84">'415'!$T$55</definedName>
    <definedName name="OSRRefT22_9x_0" localSheetId="85">'418'!$T$55:$T$56</definedName>
    <definedName name="OSRRefT22_9x_0" localSheetId="87">'424'!$T$49</definedName>
    <definedName name="OSRRefT22_9x_0" localSheetId="88">'425'!$T$56:$T$58</definedName>
    <definedName name="OSRRefT22_9x_0" localSheetId="90">'430'!$T$46</definedName>
    <definedName name="OSRRefT22_9x_0" localSheetId="91">'433'!$T$57</definedName>
    <definedName name="OSRRefT22_9x_0" localSheetId="93">'444'!$T$56</definedName>
    <definedName name="OSRRefT22_9x_0" localSheetId="95">'450'!$T$56</definedName>
    <definedName name="OSRRefT22_9x_0" localSheetId="76">'491'!$T$67</definedName>
    <definedName name="OSRRefT22_9x_0" localSheetId="89">'492'!$T$60</definedName>
    <definedName name="OSRRefT22_9x_0" localSheetId="98">'501'!$T$52</definedName>
    <definedName name="OSRRefT22_9x_0" localSheetId="39">'Div 2'!$T$55</definedName>
    <definedName name="OSRRefT22_9x_0" localSheetId="47">'Div 3'!$T$203</definedName>
    <definedName name="OSRRefT22_9x_0" localSheetId="74">'Div 4'!$T$68</definedName>
    <definedName name="OSRRefT22_9x_0" localSheetId="97">'Div 5'!$T$52</definedName>
    <definedName name="OSRRefT22_9x_0" localSheetId="65">'Div 6'!$T$87</definedName>
    <definedName name="OSRRefT22_9x_0" localSheetId="2">Summary!$T$238</definedName>
    <definedName name="OSRRefT22x_0" localSheetId="40">'200'!$T$20,'200'!$T$22,'200'!$T$24,'200'!$T$26,'200'!$T$28:$T$29</definedName>
    <definedName name="OSRRefT22x_0" localSheetId="41">'201'!$T$20:$T$28,'201'!$T$30:$T$32,'201'!$T$34,'201'!$T$36,'201'!$T$38,'201'!$T$40,'201'!$T$42,'201'!$T$44,'201'!$T$46,'201'!$T$48,'201'!$T$50:$T$52,'201'!$T$54:$T$56,'201'!$T$58,'201'!$T$60:$T$62,'201'!$T$64,'201'!$T$66,'201'!$T$68:$T$69</definedName>
    <definedName name="OSRRefT22x_0" localSheetId="42">'202'!$T$20:$T$27,'202'!$T$29:$T$32,'202'!$T$34,'202'!$T$36,'202'!$T$38,'202'!$T$40,'202'!$T$42,'202'!$T$44,'202'!$T$46,'202'!$T$48,'202'!$T$50:$T$52,'202'!$T$54,'202'!$T$56,'202'!$T$58:$T$60,'202'!$T$62,'202'!$T$64</definedName>
    <definedName name="OSRRefT22x_0" localSheetId="43">'203'!$T$20:$T$29,'203'!$T$31:$T$34,'203'!$T$36,'203'!$T$38,'203'!$T$40,'203'!$T$42,'203'!$T$44,'203'!$T$46,'203'!$T$48,'203'!$T$50:$T$52,'203'!$T$54:$T$55,'203'!$T$57,'203'!$T$59:$T$61,'203'!$T$63,'203'!$T$65,'203'!$T$67</definedName>
    <definedName name="OSRRefT22x_0" localSheetId="44">'204'!$T$20:$T$29,'204'!$T$31:$T$35,'204'!$T$37,'204'!$T$39:$T$40,'204'!$T$42,'204'!$T$44,'204'!$T$46:$T$49,'204'!$T$51:$T$52,'204'!$T$54:$T$55,'204'!$T$57,'204'!$T$59:$T$60</definedName>
    <definedName name="OSRRefT22x_0" localSheetId="45">'205'!$T$20:$T$27,'205'!$T$29,'205'!$T$31,'205'!$T$33,'205'!$T$35:$T$36,'205'!$T$38,'205'!$T$40:$T$41,'205'!$T$43,'205'!$T$45</definedName>
    <definedName name="OSRRefT22x_0" localSheetId="46">'206'!$T$20:$T$27,'206'!$T$29:$T$34,'206'!$T$36,'206'!$T$38,'206'!$T$40,'206'!$T$42:$T$43,'206'!$T$45,'206'!$T$47</definedName>
    <definedName name="OSRRefT22x_0" localSheetId="48">'300'!$T$163:$T$171,'300'!$T$173:$T$179,'300'!$T$181,'300'!$T$183:$T$184,'300'!$T$186,'300'!$T$188:$T$189,'300'!$T$191:$T$192,'300'!$T$194,'300'!$T$196,'300'!$T$198,'300'!$T$200:$T$201,'300'!$T$203,'300'!$T$205,'300'!$T$207,'300'!$T$209,'300'!$T$211,'300'!$T$213:$T$215,'300'!$T$217:$T$219,'300'!$T$221:$T$224,'300'!$T$226:$T$227,'300'!$T$229:$T$235,'300'!$T$237:$T$238,'300'!$T$240,'300'!$T$242:$T$244,'300'!$T$246</definedName>
    <definedName name="OSRRefT22x_0" localSheetId="49">'300 &amp; 317'!$T$188:$T$196,'300 &amp; 317'!$T$198:$T$204,'300 &amp; 317'!$T$206,'300 &amp; 317'!$T$208:$T$209,'300 &amp; 317'!$T$211,'300 &amp; 317'!$T$213:$T$214,'300 &amp; 317'!$T$216:$T$217,'300 &amp; 317'!$T$219,'300 &amp; 317'!$T$221,'300 &amp; 317'!$T$223,'300 &amp; 317'!$T$225:$T$226,'300 &amp; 317'!$T$228,'300 &amp; 317'!$T$230,'300 &amp; 317'!$T$232,'300 &amp; 317'!$T$234,'300 &amp; 317'!$T$236,'300 &amp; 317'!$T$238:$T$240,'300 &amp; 317'!$T$242:$T$244,'300 &amp; 317'!$T$246:$T$249,'300 &amp; 317'!$T$251:$T$252,'300 &amp; 317'!$T$254:$T$260,'300 &amp; 317'!$T$262:$T$263,'300 &amp; 317'!$T$265,'300 &amp; 317'!$T$267:$T$269,'300 &amp; 317'!$T$271</definedName>
    <definedName name="OSRRefT22x_0" localSheetId="50">'301'!$T$20:$T$27,'301'!$T$29:$T$35,'301'!$T$37,'301'!$T$39:$T$40,'301'!$T$42,'301'!$T$44:$T$45,'301'!$T$47:$T$48,'301'!$T$50,'301'!$T$52,'301'!$T$54,'301'!$T$56,'301'!$T$58,'301'!$T$60,'301'!$T$62,'301'!$T$64:$T$66,'301'!$T$68:$T$70,'301'!$T$72,'301'!$T$74:$T$78,'301'!$T$80,'301'!$T$82,'301'!$T$84:$T$86,'301'!$T$88</definedName>
    <definedName name="OSRRefT22x_0" localSheetId="51">'306'!$T$20:$T$28,'306'!$T$30:$T$34,'306'!$T$36,'306'!$T$38,'306'!$T$40,'306'!$T$42,'306'!$T$44,'306'!$T$46:$T$47,'306'!$T$49:$T$53,'306'!$T$55,'306'!$T$57</definedName>
    <definedName name="OSRRefT22x_0" localSheetId="54">'307'!$T$74:$T$81,'307'!$T$83:$T$86,'307'!$T$88,'307'!$T$90,'307'!$T$92:$T$93,'307'!$T$95,'307'!$T$97,'307'!$T$99,'307'!$T$101,'307'!$T$103:$T$104,'307'!$T$106:$T$107,'307'!$T$109:$T$110,'307'!$T$112,'307'!$T$114</definedName>
    <definedName name="OSRRefT22x_0" localSheetId="56">'308'!$T$64:$T$72,'308'!$T$74:$T$78,'308'!$T$80,'308'!$T$82:$T$83,'308'!$T$85,'308'!$T$87,'308'!$T$89:$T$90,'308'!$T$92,'308'!$T$94,'308'!$T$96:$T$97,'308'!$T$99,'308'!$T$101:$T$104,'308'!$T$106:$T$107,'308'!$T$109,'308'!$T$111</definedName>
    <definedName name="OSRRefT22x_0" localSheetId="68">'309'!$T$24:$T$31,'309'!$T$33:$T$37,'309'!$T$39,'309'!$T$41,'309'!$T$43,'309'!$T$45,'309'!$T$47,'309'!$T$49,'309'!$T$51,'309'!$T$53:$T$54,'309'!$T$56:$T$58,'309'!$T$60,'309'!$T$62:$T$67,'309'!$T$69</definedName>
    <definedName name="OSRRefT22x_0" localSheetId="67">'310'!$T$32:$T$39,'310'!$T$41:$T$46,'310'!$T$48,'310'!$T$50,'310'!$T$52,'310'!$T$54:$T$55,'310'!$T$57,'310'!$T$59,'310'!$T$61,'310'!$T$63,'310'!$T$65,'310'!$T$67,'310'!$T$69,'310'!$T$71,'310'!$T$73:$T$75,'310'!$T$77,'310'!$T$79:$T$82,'310'!$T$84:$T$85,'310'!$T$87:$T$93,'310'!$T$95,'310'!$T$97,'310'!$T$99</definedName>
    <definedName name="OSRRefT22x_0" localSheetId="75">'310 &amp; 491'!$T$40:$T$48,'310 &amp; 491'!$T$50:$T$56,'310 &amp; 491'!$T$58,'310 &amp; 491'!$T$60,'310 &amp; 491'!$T$62,'310 &amp; 491'!$T$64:$T$66,'310 &amp; 491'!$T$68,'310 &amp; 491'!$T$70,'310 &amp; 491'!$T$72,'310 &amp; 491'!$T$74,'310 &amp; 491'!$T$76:$T$77,'310 &amp; 491'!$T$79:$T$80,'310 &amp; 491'!$T$82,'310 &amp; 491'!$T$84,'310 &amp; 491'!$T$86,'310 &amp; 491'!$T$88,'310 &amp; 491'!$T$90:$T$92,'310 &amp; 491'!$T$94:$T$95,'310 &amp; 491'!$T$97:$T$101,'310 &amp; 491'!$T$103:$T$104,'310 &amp; 491'!$T$106:$T$113,'310 &amp; 491'!$T$115,'310 &amp; 491'!$T$117,'310 &amp; 491'!$T$119:$T$121,'310 &amp; 491'!$T$123</definedName>
    <definedName name="OSRRefT22x_0" localSheetId="57">'311'!$T$63:$T$71,'311'!$T$73:$T$77,'311'!$T$79,'311'!$T$81:$T$82,'311'!$T$84,'311'!$T$86,'311'!$T$88:$T$89,'311'!$T$91,'311'!$T$93,'311'!$T$95:$T$96,'311'!$T$98,'311'!$T$100:$T$103,'311'!$T$105:$T$106,'311'!$T$108,'311'!$T$110</definedName>
    <definedName name="OSRRefT22x_0" localSheetId="69">'313'!$T$29:$T$36,'313'!$T$38:$T$42,'313'!$T$44,'313'!$T$46,'313'!$T$48,'313'!$T$50,'313'!$T$52,'313'!$T$54,'313'!$T$56,'313'!$T$58:$T$60,'313'!$T$62,'313'!$T$64:$T$65,'313'!$T$67:$T$72,'313'!$T$74,'313'!$T$76</definedName>
    <definedName name="OSRRefT22x_0" localSheetId="55">'314'!$T$56:$T$62,'314'!$T$64:$T$67,'314'!$T$69,'314'!$T$71:$T$72,'314'!$T$74,'314'!$T$76,'314'!$T$78,'314'!$T$80:$T$81,'314'!$T$83,'314'!$T$85</definedName>
    <definedName name="OSRRefT22x_0" localSheetId="60">'315'!$T$55:$T$62,'315'!$T$64:$T$69,'315'!$T$71,'315'!$T$73:$T$74,'315'!$T$76,'315'!$T$78:$T$79,'315'!$T$81,'315'!$T$83,'315'!$T$85:$T$86,'315'!$T$88:$T$89,'315'!$T$91:$T$92,'315'!$T$94:$T$98,'315'!$T$100,'315'!$T$102,'315'!$T$104:$T$105</definedName>
    <definedName name="OSRRefT22x_0" localSheetId="63">'316'!$T$32:$T$39,'316'!$T$41:$T$44,'316'!$T$46,'316'!$T$48,'316'!$T$50,'316'!$T$52,'316'!$T$54,'316'!$T$56,'316'!$T$58:$T$59,'316'!$T$61,'316'!$T$63:$T$67,'316'!$T$69,'316'!$T$71</definedName>
    <definedName name="OSRRefT22x_0" localSheetId="66">'317'!$T$58:$T$66,'317'!$T$68:$T$71,'317'!$T$73,'317'!$T$75,'317'!$T$77,'317'!$T$79,'317'!$T$81,'317'!$T$83,'317'!$T$85,'317'!$T$87,'317'!$T$89,'317'!$T$91:$T$92,'317'!$T$94,'317'!$T$96,'317'!$T$98</definedName>
    <definedName name="OSRRefT22x_0" localSheetId="64">'320'!$T$29:$T$36,'320'!$T$38:$T$40,'320'!$T$42,'320'!$T$44,'320'!$T$46:$T$47,'320'!$T$49,'320'!$T$51,'320'!$T$53:$T$54,'320'!$T$56</definedName>
    <definedName name="OSRRefT22x_0" localSheetId="70">'321'!$T$24:$T$30,'321'!$T$32:$T$36,'321'!$T$38,'321'!$T$40,'321'!$T$42,'321'!$T$44,'321'!$T$46:$T$48,'321'!$T$50,'321'!$T$52:$T$54,'321'!$T$56:$T$60,'321'!$T$62,'321'!$T$64,'321'!$T$66</definedName>
    <definedName name="OSRRefT22x_0" localSheetId="71">'322'!$T$24:$T$31,'322'!$T$33:$T$37,'322'!$T$39,'322'!$T$41,'322'!$T$43,'322'!$T$45,'322'!$T$47,'322'!$T$49,'322'!$T$51,'322'!$T$53:$T$54,'322'!$T$56:$T$58,'322'!$T$60,'322'!$T$62:$T$67,'322'!$T$69,'322'!$T$71</definedName>
    <definedName name="OSRRefT22x_0" localSheetId="58">'324'!$T$25</definedName>
    <definedName name="OSRRefT22x_0" localSheetId="72">'325'!$T$24:$T$31,'325'!$T$33:$T$38,'325'!$T$40,'325'!$T$42,'325'!$T$44,'325'!$T$46:$T$47,'325'!$T$49,'325'!$T$51,'325'!$T$53,'325'!$T$55,'325'!$T$57,'325'!$T$59:$T$61,'325'!$T$63:$T$66,'325'!$T$68,'325'!$T$70:$T$75,'325'!$T$77,'325'!$T$79,'325'!$T$81</definedName>
    <definedName name="OSRRefT22x_0" localSheetId="61">'326'!$T$61:$T$68,'326'!$T$70:$T$73,'326'!$T$75,'326'!$T$77,'326'!$T$79,'326'!$T$81,'326'!$T$83,'326'!$T$85,'326'!$T$87,'326'!$T$89,'326'!$T$91,'326'!$T$93,'326'!$T$95,'326'!$T$97:$T$98,'326'!$T$100:$T$102,'326'!$T$104,'326'!$T$106:$T$110,'326'!$T$112,'326'!$T$114,'326'!$T$116</definedName>
    <definedName name="OSRRefT22x_0" localSheetId="73">'327'!$T$22,'327'!$T$24,'327'!$T$26</definedName>
    <definedName name="OSRRefT22x_0" localSheetId="53">'330'!$T$81:$T$88,'330'!$T$90:$T$94,'330'!$T$96,'330'!$T$98,'330'!$T$100:$T$101,'330'!$T$103,'330'!$T$105,'330'!$T$107,'330'!$T$109,'330'!$T$111,'330'!$T$113,'330'!$T$115:$T$116,'330'!$T$118:$T$119,'330'!$T$121,'330'!$T$123:$T$125,'330'!$T$127,'330'!$T$129,'330'!$T$131</definedName>
    <definedName name="OSRRefT22x_0" localSheetId="59">'331'!$T$74:$T$81,'331'!$T$83:$T$88,'331'!$T$90,'331'!$T$92,'331'!$T$94,'331'!$T$96:$T$97,'331'!$T$99,'331'!$T$101,'331'!$T$103:$T$104,'331'!$T$106,'331'!$T$108,'331'!$T$110,'331'!$T$112,'331'!$T$114,'331'!$T$116:$T$118,'331'!$T$120:$T$121,'331'!$T$123:$T$125,'331'!$T$127:$T$128,'331'!$T$130:$T$135,'331'!$T$137,'331'!$T$139,'331'!$T$141:$T$142,'331'!$T$144</definedName>
    <definedName name="OSRRefT22x_0" localSheetId="62">'332'!$T$41:$T$48,'332'!$T$50:$T$53,'332'!$T$55,'332'!$T$57,'332'!$T$59,'332'!$T$61,'332'!$T$63:$T$64,'332'!$T$66,'332'!$T$68,'332'!$T$70:$T$71,'332'!$T$73,'332'!$T$75:$T$79,'332'!$T$81,'332'!$T$83</definedName>
    <definedName name="OSRRefT22x_0" localSheetId="52">'335'!$T$20</definedName>
    <definedName name="OSRRefT22x_0" localSheetId="77">'405'!$T$24:$T$31,'405'!$T$33:$T$36,'405'!$T$38,'405'!$T$40,'405'!$T$42,'405'!$T$44:$T$45,'405'!$T$47,'405'!$T$49,'405'!$T$51,'405'!$T$53,'405'!$T$55:$T$56,'405'!$T$58,'405'!$T$60:$T$62,'405'!$T$64:$T$65,'405'!$T$67:$T$73,'405'!$T$75,'405'!$T$77,'405'!$T$79</definedName>
    <definedName name="OSRRefT22x_0" localSheetId="78">'406'!$T$24:$T$31,'406'!$T$33:$T$37,'406'!$T$39,'406'!$T$41,'406'!$T$43,'406'!$T$45,'406'!$T$47,'406'!$T$49,'406'!$T$51,'406'!$T$53:$T$55,'406'!$T$57:$T$58,'406'!$T$60:$T$65,'406'!$T$67,'406'!$T$69</definedName>
    <definedName name="OSRRefT22x_0" localSheetId="79">'411'!$T$20:$T$28,'411'!$T$30:$T$35,'411'!$T$37,'411'!$T$39:$T$41,'411'!$T$43,'411'!$T$45,'411'!$T$47,'411'!$T$49,'411'!$T$51,'411'!$T$53,'411'!$T$55,'411'!$T$57:$T$59,'411'!$T$61:$T$65,'411'!$T$67,'411'!$T$69:$T$75,'411'!$T$77,'411'!$T$79,'411'!$T$81:$T$83,'411'!$T$85</definedName>
    <definedName name="OSRRefT22x_0" localSheetId="80">'412'!$T$24:$T$31,'412'!$T$33:$T$38,'412'!$T$40,'412'!$T$42,'412'!$T$44,'412'!$T$46,'412'!$T$48,'412'!$T$50,'412'!$T$52,'412'!$T$54:$T$55,'412'!$T$57,'412'!$T$59:$T$61,'412'!$T$63:$T$69,'412'!$T$71,'412'!$T$73</definedName>
    <definedName name="OSRRefT22x_0" localSheetId="82">'413'!$T$24:$T$31,'413'!$T$33:$T$37,'413'!$T$39,'413'!$T$41,'413'!$T$43,'413'!$T$45,'413'!$T$47,'413'!$T$49:$T$51,'413'!$T$53:$T$54,'413'!$T$56:$T$60,'413'!$T$62</definedName>
    <definedName name="OSRRefT22x_0" localSheetId="83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4">'415'!$T$24:$T$31,'415'!$T$33:$T$38,'415'!$T$40,'415'!$T$42,'415'!$T$44,'415'!$T$46:$T$47,'415'!$T$49,'415'!$T$51,'415'!$T$53,'415'!$T$55,'415'!$T$57,'415'!$T$59:$T$61,'415'!$T$63:$T$67,'415'!$T$69:$T$70,'415'!$T$72:$T$78,'415'!$T$80,'415'!$T$82,'415'!$T$84</definedName>
    <definedName name="OSRRefT22x_0" localSheetId="85">'418'!$T$24:$T$31,'418'!$T$33:$T$38,'418'!$T$40,'418'!$T$42,'418'!$T$44,'418'!$T$46:$T$47,'418'!$T$49,'418'!$T$51,'418'!$T$53,'418'!$T$55:$T$56,'418'!$T$58:$T$60,'418'!$T$62:$T$64,'418'!$T$66:$T$67,'418'!$T$69:$T$75,'418'!$T$77,'418'!$T$79</definedName>
    <definedName name="OSRRefT22x_0" localSheetId="81">'420'!$T$23:$T$29,'420'!$T$31:$T$34,'420'!$T$36,'420'!$T$38,'420'!$T$40:$T$41,'420'!$T$43</definedName>
    <definedName name="OSRRefT22x_0" localSheetId="86">'423'!$T$21:$T$28,'423'!$T$30,'423'!$T$32,'423'!$T$34,'423'!$T$36,'423'!$T$38</definedName>
    <definedName name="OSRRefT22x_0" localSheetId="87">'424'!$T$24:$T$26,'424'!$T$28:$T$32,'424'!$T$34,'424'!$T$36,'424'!$T$38,'424'!$T$40,'424'!$T$42,'424'!$T$44:$T$45,'424'!$T$47,'424'!$T$49,'424'!$T$51:$T$55,'424'!$T$57</definedName>
    <definedName name="OSRRefT22x_0" localSheetId="88">'425'!$T$27:$T$34,'425'!$T$36:$T$40,'425'!$T$42,'425'!$T$44,'425'!$T$46,'425'!$T$48,'425'!$T$50,'425'!$T$52,'425'!$T$54,'425'!$T$56:$T$58,'425'!$T$60,'425'!$T$62:$T$63,'425'!$T$65:$T$71,'425'!$T$73,'425'!$T$75,'425'!$T$77</definedName>
    <definedName name="OSRRefT22x_0" localSheetId="90">'430'!$T$20:$T$27,'430'!$T$29,'430'!$T$31,'430'!$T$33,'430'!$T$35,'430'!$T$37,'430'!$T$39:$T$40,'430'!$T$42,'430'!$T$44,'430'!$T$46</definedName>
    <definedName name="OSRRefT22x_0" localSheetId="91">'433'!$T$26:$T$34,'433'!$T$36:$T$41,'433'!$T$43,'433'!$T$45,'433'!$T$47,'433'!$T$49,'433'!$T$51,'433'!$T$53,'433'!$T$55,'433'!$T$57,'433'!$T$59:$T$61,'433'!$T$63:$T$65,'433'!$T$67:$T$73,'433'!$T$75,'433'!$T$77,'433'!$T$79:$T$80</definedName>
    <definedName name="OSRRefT22x_0" localSheetId="92">'435'!$T$25:$T$27,'435'!$T$29:$T$31,'435'!$T$33,'435'!$T$35,'435'!$T$37,'435'!$T$39,'435'!$T$41,'435'!$T$43:$T$46,'435'!$T$48</definedName>
    <definedName name="OSRRefT22x_0" localSheetId="93">'444'!$T$25:$T$33,'444'!$T$35:$T$40,'444'!$T$42,'444'!$T$44,'444'!$T$46,'444'!$T$48,'444'!$T$50,'444'!$T$52,'444'!$T$54,'444'!$T$56,'444'!$T$58,'444'!$T$60:$T$62,'444'!$T$64:$T$66,'444'!$T$68:$T$75,'444'!$T$77,'444'!$T$79,'444'!$T$81</definedName>
    <definedName name="OSRRefT22x_0" localSheetId="94">'445'!$T$20</definedName>
    <definedName name="OSRRefT22x_0" localSheetId="95">'450'!$T$25:$T$33,'450'!$T$35:$T$40,'450'!$T$42,'450'!$T$44,'450'!$T$46,'450'!$T$48,'450'!$T$50,'450'!$T$52,'450'!$T$54,'450'!$T$56,'450'!$T$58,'450'!$T$60:$T$62,'450'!$T$64:$T$66,'450'!$T$68:$T$74,'450'!$T$76,'450'!$T$78,'450'!$T$80:$T$81</definedName>
    <definedName name="OSRRefT22x_0" localSheetId="96">'455'!$T$20:$T$26,'455'!$T$28:$T$29,'455'!$T$31</definedName>
    <definedName name="OSRRefT22x_0" localSheetId="76">'491'!$T$33:$T$41,'491'!$T$43:$T$49,'491'!$T$51,'491'!$T$53,'491'!$T$55,'491'!$T$57:$T$59,'491'!$T$61,'491'!$T$63,'491'!$T$65,'491'!$T$67,'491'!$T$69:$T$70,'491'!$T$72,'491'!$T$74,'491'!$T$76,'491'!$T$78,'491'!$T$80:$T$82,'491'!$T$84:$T$85,'491'!$T$87:$T$91,'491'!$T$93:$T$94,'491'!$T$96:$T$103,'491'!$T$105,'491'!$T$107,'491'!$T$109:$T$111,'491'!$T$113</definedName>
    <definedName name="OSRRefT22x_0" localSheetId="89">'492'!$T$28:$T$36,'492'!$T$38:$T$44,'492'!$T$46,'492'!$T$48,'492'!$T$50,'492'!$T$52,'492'!$T$54,'492'!$T$56,'492'!$T$58,'492'!$T$60,'492'!$T$62,'492'!$T$64,'492'!$T$66:$T$68,'492'!$T$70:$T$72,'492'!$T$74:$T$81,'492'!$T$83,'492'!$T$85,'492'!$T$87:$T$88</definedName>
    <definedName name="OSRRefT22x_0" localSheetId="98">'501'!$T$21:$T$28,'501'!$T$30:$T$35,'501'!$T$37,'501'!$T$39,'501'!$T$41,'501'!$T$43:$T$44,'501'!$T$46,'501'!$T$48,'501'!$T$50,'501'!$T$52,'501'!$T$54:$T$55,'501'!$T$57:$T$60,'501'!$T$62,'501'!$T$64</definedName>
    <definedName name="OSRRefT22x_0" localSheetId="39">'Div 2'!$T$20:$T$30,'Div 2'!$T$32:$T$38,'Div 2'!$T$40,'Div 2'!$T$42,'Div 2'!$T$44,'Div 2'!$T$46:$T$47,'Div 2'!$T$49,'Div 2'!$T$51,'Div 2'!$T$53,'Div 2'!$T$55,'Div 2'!$T$57,'Div 2'!$T$59,'Div 2'!$T$61:$T$64,'Div 2'!$T$66:$T$69,'Div 2'!$T$71:$T$72,'Div 2'!$T$74,'Div 2'!$T$76:$T$79,'Div 2'!$T$81:$T$82,'Div 2'!$T$84,'Div 2'!$T$86:$T$87</definedName>
    <definedName name="OSRRefT22x_0" localSheetId="47">'Div 3'!$T$168:$T$176,'Div 3'!$T$178:$T$184,'Div 3'!$T$186,'Div 3'!$T$188:$T$189,'Div 3'!$T$191,'Div 3'!$T$193:$T$194,'Div 3'!$T$196:$T$197,'Div 3'!$T$199,'Div 3'!$T$201,'Div 3'!$T$203,'Div 3'!$T$205:$T$206,'Div 3'!$T$208,'Div 3'!$T$210,'Div 3'!$T$212,'Div 3'!$T$214,'Div 3'!$T$216,'Div 3'!$T$218,'Div 3'!$T$220:$T$222,'Div 3'!$T$224:$T$226,'Div 3'!$T$228:$T$232,'Div 3'!$T$234:$T$235,'Div 3'!$T$237:$T$243,'Div 3'!$T$245:$T$246,'Div 3'!$T$248,'Div 3'!$T$250:$T$252,'Div 3'!$T$254</definedName>
    <definedName name="OSRRefT22x_0" localSheetId="74">'Div 4'!$T$34:$T$42,'Div 4'!$T$44:$T$50,'Div 4'!$T$52,'Div 4'!$T$54,'Div 4'!$T$56,'Div 4'!$T$58:$T$60,'Div 4'!$T$62,'Div 4'!$T$64,'Div 4'!$T$66,'Div 4'!$T$68,'Div 4'!$T$70:$T$71,'Div 4'!$T$73,'Div 4'!$T$75,'Div 4'!$T$77,'Div 4'!$T$79,'Div 4'!$T$81,'Div 4'!$T$83:$T$85,'Div 4'!$T$87:$T$88,'Div 4'!$T$90:$T$94,'Div 4'!$T$96:$T$97,'Div 4'!$T$99:$T$106,'Div 4'!$T$108,'Div 4'!$T$110,'Div 4'!$T$112:$T$114,'Div 4'!$T$116</definedName>
    <definedName name="OSRRefT22x_0" localSheetId="97">'Div 5'!$T$21:$T$28,'Div 5'!$T$30:$T$35,'Div 5'!$T$37,'Div 5'!$T$39,'Div 5'!$T$41,'Div 5'!$T$43:$T$44,'Div 5'!$T$46,'Div 5'!$T$48,'Div 5'!$T$50,'Div 5'!$T$52,'Div 5'!$T$54:$T$55,'Div 5'!$T$57:$T$60,'Div 5'!$T$62,'Div 5'!$T$64</definedName>
    <definedName name="OSRRefT22x_0" localSheetId="65">'Div 6'!$T$58:$T$66,'Div 6'!$T$68:$T$71,'Div 6'!$T$73,'Div 6'!$T$75,'Div 6'!$T$77,'Div 6'!$T$79,'Div 6'!$T$81,'Div 6'!$T$83,'Div 6'!$T$85,'Div 6'!$T$87,'Div 6'!$T$89,'Div 6'!$T$91:$T$92,'Div 6'!$T$94,'Div 6'!$T$96,'Div 6'!$T$98</definedName>
    <definedName name="OSRRefT22x_0" localSheetId="2">Summary!$T$202:$T$210,Summary!$T$212:$T$218,Summary!$T$220,Summary!$T$222:$T$223,Summary!$T$225,Summary!$T$227:$T$229,Summary!$T$231:$T$232,Summary!$T$234,Summary!$T$236,Summary!$T$238,Summary!$T$240:$T$241,Summary!$T$243:$T$244,Summary!$T$246,Summary!$T$248,Summary!$T$250,Summary!$T$252,Summary!$T$254,Summary!$T$256,Summary!$T$258:$T$260,Summary!$T$262:$T$264,Summary!$T$266:$T$270,Summary!$T$272:$T$273,Summary!$T$275:$T$282,Summary!$T$284:$T$285,Summary!$T$287,Summary!$T$289:$T$291,Summary!$T$293</definedName>
    <definedName name="OSRRefT25x_0" localSheetId="48">'300'!$T$249:$T$257</definedName>
    <definedName name="OSRRefT25x_0" localSheetId="49">'300 &amp; 317'!$T$274:$T$285</definedName>
    <definedName name="OSRRefT25x_0" localSheetId="50">'301'!$T$91:$T$93</definedName>
    <definedName name="OSRRefT25x_0" localSheetId="54">'307'!$T$117</definedName>
    <definedName name="OSRRefT25x_0" localSheetId="56">'308'!$T$114:$T$116</definedName>
    <definedName name="OSRRefT25x_0" localSheetId="75">'310 &amp; 491'!$T$126:$T$128</definedName>
    <definedName name="OSRRefT25x_0" localSheetId="57">'311'!$T$113:$T$115</definedName>
    <definedName name="OSRRefT25x_0" localSheetId="60">'315'!$T$108</definedName>
    <definedName name="OSRRefT25x_0" localSheetId="63">'316'!$T$74</definedName>
    <definedName name="OSRRefT25x_0" localSheetId="66">'317'!$T$101:$T$104</definedName>
    <definedName name="OSRRefT25x_0" localSheetId="64">'320'!$T$59:$T$63</definedName>
    <definedName name="OSRRefT25x_0" localSheetId="53">'330'!$T$134</definedName>
    <definedName name="OSRRefT25x_0" localSheetId="59">'331'!$T$147</definedName>
    <definedName name="OSRRefT25x_0" localSheetId="62">'332'!$T$86:$T$91</definedName>
    <definedName name="OSRRefT25x_0" localSheetId="79">'411'!$T$88:$T$89</definedName>
    <definedName name="OSRRefT25x_0" localSheetId="82">'413'!$T$65</definedName>
    <definedName name="OSRRefT25x_0" localSheetId="84">'415'!$T$87</definedName>
    <definedName name="OSRRefT25x_0" localSheetId="85">'418'!$T$82</definedName>
    <definedName name="OSRRefT25x_0" localSheetId="86">'423'!$T$41</definedName>
    <definedName name="OSRRefT25x_0" localSheetId="87">'424'!$T$60</definedName>
    <definedName name="OSRRefT25x_0" localSheetId="88">'425'!$T$80</definedName>
    <definedName name="OSRRefT25x_0" localSheetId="96">'455'!$T$34:$T$35</definedName>
    <definedName name="OSRRefT25x_0" localSheetId="76">'491'!$T$116:$T$118</definedName>
    <definedName name="OSRRefT25x_0" localSheetId="98">'501'!$T$67:$T$68</definedName>
    <definedName name="OSRRefT25x_0" localSheetId="47">'Div 3'!$T$257:$T$265</definedName>
    <definedName name="OSRRefT25x_0" localSheetId="74">'Div 4'!$T$119:$T$121</definedName>
    <definedName name="OSRRefT25x_0" localSheetId="97">'Div 5'!$T$67:$T$68</definedName>
    <definedName name="OSRRefT25x_0" localSheetId="65">'Div 6'!$T$101:$T$104</definedName>
    <definedName name="OSRRefT25x_0" localSheetId="2">Summary!$T$296:$T$308</definedName>
    <definedName name="_xlnm.Print_Area" localSheetId="38">'100'!$A$1:$Z$34</definedName>
    <definedName name="_xlnm.Print_Area" localSheetId="40">'200'!$A$1:$Z$43</definedName>
    <definedName name="_xlnm.Print_Area" localSheetId="41">'201'!$A$1:$Z$83</definedName>
    <definedName name="_xlnm.Print_Area" localSheetId="42">'202'!$A$1:$Z$78</definedName>
    <definedName name="_xlnm.Print_Area" localSheetId="43">'203'!$A$1:$Z$81</definedName>
    <definedName name="_xlnm.Print_Area" localSheetId="44">'204'!$A$1:$Z$74</definedName>
    <definedName name="_xlnm.Print_Area" localSheetId="45">'205'!$A$1:$Z$59</definedName>
    <definedName name="_xlnm.Print_Area" localSheetId="46">'206'!$A$1:$Z$61</definedName>
    <definedName name="_xlnm.Print_Area" localSheetId="48">'300'!$A$1:$Z$269</definedName>
    <definedName name="_xlnm.Print_Area" localSheetId="49">'300 &amp; 317'!$A$1:$Z$297</definedName>
    <definedName name="_xlnm.Print_Area" localSheetId="50">'301'!$A$1:$Z$105</definedName>
    <definedName name="_xlnm.Print_Area" localSheetId="51">'306'!$A$1:$Z$71</definedName>
    <definedName name="_xlnm.Print_Area" localSheetId="54">'307'!$A$1:$Z$129</definedName>
    <definedName name="_xlnm.Print_Area" localSheetId="56">'308'!$A$1:$Z$128</definedName>
    <definedName name="_xlnm.Print_Area" localSheetId="68">'309'!$A$1:$Z$83</definedName>
    <definedName name="_xlnm.Print_Area" localSheetId="67">'310'!$A$1:$Z$113</definedName>
    <definedName name="_xlnm.Print_Area" localSheetId="75">'310 &amp; 491'!$A$1:$Z$140</definedName>
    <definedName name="_xlnm.Print_Area" localSheetId="57">'311'!$A$1:$Z$127</definedName>
    <definedName name="_xlnm.Print_Area" localSheetId="69">'313'!$A$1:$Z$90</definedName>
    <definedName name="_xlnm.Print_Area" localSheetId="55">'314'!$A$1:$Z$99</definedName>
    <definedName name="_xlnm.Print_Area" localSheetId="60">'315'!$A$1:$Z$120</definedName>
    <definedName name="_xlnm.Print_Area" localSheetId="63">'316'!$A$1:$Z$86</definedName>
    <definedName name="_xlnm.Print_Area" localSheetId="66">'317'!$A$1:$Z$116</definedName>
    <definedName name="_xlnm.Print_Area" localSheetId="64">'320'!$A$1:$Z$75</definedName>
    <definedName name="_xlnm.Print_Area" localSheetId="70">'321'!$A$1:$Z$80</definedName>
    <definedName name="_xlnm.Print_Area" localSheetId="71">'322'!$A$1:$Z$85</definedName>
    <definedName name="_xlnm.Print_Area" localSheetId="58">'324'!$A$1:$Z$39</definedName>
    <definedName name="_xlnm.Print_Area" localSheetId="72">'325'!$A$1:$Z$95</definedName>
    <definedName name="_xlnm.Print_Area" localSheetId="61">'326'!$A$1:$Z$130</definedName>
    <definedName name="_xlnm.Print_Area" localSheetId="73">'327'!$A$1:$Z$40</definedName>
    <definedName name="_xlnm.Print_Area" localSheetId="53">'330'!$A$1:$Z$146</definedName>
    <definedName name="_xlnm.Print_Area" localSheetId="59">'331'!$A$1:$Z$159</definedName>
    <definedName name="_xlnm.Print_Area" localSheetId="62">'332'!$A$1:$Z$103</definedName>
    <definedName name="_xlnm.Print_Area" localSheetId="52">'335'!$A$1:$Z$34</definedName>
    <definedName name="_xlnm.Print_Area" localSheetId="77">'405'!$A$1:$Z$93</definedName>
    <definedName name="_xlnm.Print_Area" localSheetId="78">'406'!$A$1:$Z$83</definedName>
    <definedName name="_xlnm.Print_Area" localSheetId="79">'411'!$A$1:$Z$101</definedName>
    <definedName name="_xlnm.Print_Area" localSheetId="80">'412'!$A$1:$Z$87</definedName>
    <definedName name="_xlnm.Print_Area" localSheetId="82">'413'!$A$1:$Z$77</definedName>
    <definedName name="_xlnm.Print_Area" localSheetId="83">'414'!$A$1:$Z$87</definedName>
    <definedName name="_xlnm.Print_Area" localSheetId="84">'415'!$A$1:$Z$99</definedName>
    <definedName name="_xlnm.Print_Area" localSheetId="85">'418'!$A$1:$Z$94</definedName>
    <definedName name="_xlnm.Print_Area" localSheetId="81">'420'!$A$1:$Z$57</definedName>
    <definedName name="_xlnm.Print_Area" localSheetId="86">'423'!$A$1:$Z$53</definedName>
    <definedName name="_xlnm.Print_Area" localSheetId="87">'424'!$A$1:$Z$72</definedName>
    <definedName name="_xlnm.Print_Area" localSheetId="88">'425'!$A$1:$Z$92</definedName>
    <definedName name="_xlnm.Print_Area" localSheetId="90">'430'!$A$1:$Z$60</definedName>
    <definedName name="_xlnm.Print_Area" localSheetId="91">'433'!$A$1:$Z$94</definedName>
    <definedName name="_xlnm.Print_Area" localSheetId="92">'435'!$A$1:$Z$62</definedName>
    <definedName name="_xlnm.Print_Area" localSheetId="93">'444'!$A$1:$Z$95</definedName>
    <definedName name="_xlnm.Print_Area" localSheetId="94">'445'!$A$1:$Z$34</definedName>
    <definedName name="_xlnm.Print_Area" localSheetId="95">'450'!$A$1:$Z$95</definedName>
    <definedName name="_xlnm.Print_Area" localSheetId="96">'455'!$A$1:$Z$47</definedName>
    <definedName name="_xlnm.Print_Area" localSheetId="76">'491'!$A$1:$Z$130</definedName>
    <definedName name="_xlnm.Print_Area" localSheetId="89">'492'!$A$1:$Z$102</definedName>
    <definedName name="_xlnm.Print_Area" localSheetId="98">'501'!$A$1:$Z$80</definedName>
    <definedName name="_xlnm.Print_Area" localSheetId="99">Dept!$A$1:$Z$39</definedName>
    <definedName name="_xlnm.Print_Area" localSheetId="37">'Div 1'!$A$1:$Z$34</definedName>
    <definedName name="_xlnm.Print_Area" localSheetId="39">'Div 2'!$A$1:$Z$101</definedName>
    <definedName name="_xlnm.Print_Area" localSheetId="47">'Div 3'!$A$1:$Z$277</definedName>
    <definedName name="_xlnm.Print_Area" localSheetId="74">'Div 4'!$A$1:$Z$133</definedName>
    <definedName name="_xlnm.Print_Area" localSheetId="97">'Div 5'!$A$1:$Z$80</definedName>
    <definedName name="_xlnm.Print_Area" localSheetId="65">'Div 6'!$A$1:$Z$116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100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1">'OSR_Summary (...56e5d78f_5JEYZH'!$A$1:$Z$39</definedName>
    <definedName name="_xlnm.Print_Area" localSheetId="3">OSR_Summary_18VAVWG!$A$1:$Z$39</definedName>
    <definedName name="_xlnm.Print_Area" localSheetId="2">Summary!$A$1:$Z$322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4">'307'!$A:$C,'307'!$1:$10</definedName>
    <definedName name="_xlnm.Print_Titles" localSheetId="56">'308'!$A:$C,'308'!$1:$10</definedName>
    <definedName name="_xlnm.Print_Titles" localSheetId="68">'309'!$A:$C,'309'!$1:$10</definedName>
    <definedName name="_xlnm.Print_Titles" localSheetId="67">'310'!$A:$C,'310'!$1:$10</definedName>
    <definedName name="_xlnm.Print_Titles" localSheetId="75">'310 &amp; 491'!$A:$C,'310 &amp; 491'!$1:$10</definedName>
    <definedName name="_xlnm.Print_Titles" localSheetId="57">'311'!$A:$C,'311'!$1:$10</definedName>
    <definedName name="_xlnm.Print_Titles" localSheetId="69">'313'!$A:$C,'313'!$1:$10</definedName>
    <definedName name="_xlnm.Print_Titles" localSheetId="55">'314'!$A:$C,'314'!$1:$10</definedName>
    <definedName name="_xlnm.Print_Titles" localSheetId="60">'315'!$A:$C,'315'!$1:$10</definedName>
    <definedName name="_xlnm.Print_Titles" localSheetId="63">'316'!$A:$C,'316'!$1:$10</definedName>
    <definedName name="_xlnm.Print_Titles" localSheetId="66">'317'!$A:$C,'317'!$1:$10</definedName>
    <definedName name="_xlnm.Print_Titles" localSheetId="64">'320'!$A:$C,'320'!$1:$10</definedName>
    <definedName name="_xlnm.Print_Titles" localSheetId="70">'321'!$A:$C,'321'!$1:$10</definedName>
    <definedName name="_xlnm.Print_Titles" localSheetId="71">'322'!$A:$C,'322'!$1:$10</definedName>
    <definedName name="_xlnm.Print_Titles" localSheetId="58">'324'!$A:$C,'324'!$1:$10</definedName>
    <definedName name="_xlnm.Print_Titles" localSheetId="72">'325'!$A:$C,'325'!$1:$10</definedName>
    <definedName name="_xlnm.Print_Titles" localSheetId="61">'326'!$A:$C,'326'!$1:$10</definedName>
    <definedName name="_xlnm.Print_Titles" localSheetId="73">'327'!$A:$C,'327'!$1:$10</definedName>
    <definedName name="_xlnm.Print_Titles" localSheetId="53">'330'!$A:$C,'330'!$1:$10</definedName>
    <definedName name="_xlnm.Print_Titles" localSheetId="59">'331'!$A:$C,'331'!$1:$10</definedName>
    <definedName name="_xlnm.Print_Titles" localSheetId="62">'332'!$A:$C,'332'!$1:$10</definedName>
    <definedName name="_xlnm.Print_Titles" localSheetId="52">'335'!$A:$C,'335'!$1:$10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2">'413'!$A:$C,'413'!$1:$10</definedName>
    <definedName name="_xlnm.Print_Titles" localSheetId="83">'414'!$A:$C,'414'!$1:$10</definedName>
    <definedName name="_xlnm.Print_Titles" localSheetId="84">'415'!$A:$C,'415'!$1:$10</definedName>
    <definedName name="_xlnm.Print_Titles" localSheetId="85">'418'!$A:$C,'418'!$1:$10</definedName>
    <definedName name="_xlnm.Print_Titles" localSheetId="81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96">'455'!$A:$C,'455'!$1:$10</definedName>
    <definedName name="_xlnm.Print_Titles" localSheetId="76">'491'!$A:$C,'491'!$1:$10</definedName>
    <definedName name="_xlnm.Print_Titles" localSheetId="89">'492'!$A:$C,'492'!$1:$10</definedName>
    <definedName name="_xlnm.Print_Titles" localSheetId="98">'501'!$A:$C,'501'!$1:$10</definedName>
    <definedName name="_xlnm.Print_Titles" localSheetId="99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4">'Div 4'!$A:$C,'Div 4'!$1:$10</definedName>
    <definedName name="_xlnm.Print_Titles" localSheetId="97">'Div 5'!$A:$C,'Div 5'!$1:$10</definedName>
    <definedName name="_xlnm.Print_Titles" localSheetId="65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100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1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2" i="110" l="1"/>
  <c r="X72" i="110"/>
  <c r="N72" i="110"/>
  <c r="L72" i="110"/>
  <c r="X68" i="110"/>
  <c r="T68" i="110"/>
  <c r="P68" i="110"/>
  <c r="N68" i="110"/>
  <c r="H68" i="110"/>
  <c r="D68" i="110"/>
  <c r="L68" i="110" s="1"/>
  <c r="B68" i="110"/>
  <c r="T67" i="110"/>
  <c r="T66" i="110" s="1"/>
  <c r="P67" i="110"/>
  <c r="H67" i="110"/>
  <c r="D67" i="110"/>
  <c r="L67" i="110" s="1"/>
  <c r="N67" i="110" s="1"/>
  <c r="B67" i="110"/>
  <c r="H66" i="110"/>
  <c r="N66" i="110" s="1"/>
  <c r="D66" i="110"/>
  <c r="L66" i="110" s="1"/>
  <c r="X64" i="110"/>
  <c r="Z64" i="110" s="1"/>
  <c r="N64" i="110"/>
  <c r="L64" i="110"/>
  <c r="B64" i="110"/>
  <c r="V63" i="110"/>
  <c r="T63" i="110"/>
  <c r="P63" i="110"/>
  <c r="X63" i="110" s="1"/>
  <c r="L63" i="110"/>
  <c r="H63" i="110"/>
  <c r="N63" i="110" s="1"/>
  <c r="D63" i="110"/>
  <c r="B63" i="110"/>
  <c r="X62" i="110"/>
  <c r="Z62" i="110" s="1"/>
  <c r="N62" i="110"/>
  <c r="L62" i="110"/>
  <c r="B62" i="110"/>
  <c r="T61" i="110"/>
  <c r="Z61" i="110" s="1"/>
  <c r="R61" i="110"/>
  <c r="P61" i="110"/>
  <c r="X61" i="110" s="1"/>
  <c r="L61" i="110"/>
  <c r="H61" i="110"/>
  <c r="N61" i="110" s="1"/>
  <c r="D61" i="110"/>
  <c r="B61" i="110"/>
  <c r="Z60" i="110"/>
  <c r="X60" i="110"/>
  <c r="N60" i="110"/>
  <c r="L60" i="110"/>
  <c r="B60" i="110"/>
  <c r="X59" i="110"/>
  <c r="Z59" i="110" s="1"/>
  <c r="N59" i="110"/>
  <c r="L59" i="110"/>
  <c r="B59" i="110"/>
  <c r="Z58" i="110"/>
  <c r="X58" i="110"/>
  <c r="N58" i="110"/>
  <c r="L58" i="110"/>
  <c r="B58" i="110"/>
  <c r="Z57" i="110"/>
  <c r="X57" i="110"/>
  <c r="N57" i="110"/>
  <c r="L57" i="110"/>
  <c r="B57" i="110"/>
  <c r="T56" i="110"/>
  <c r="P56" i="110"/>
  <c r="N56" i="110"/>
  <c r="L56" i="110"/>
  <c r="H56" i="110"/>
  <c r="D56" i="110"/>
  <c r="B56" i="110"/>
  <c r="Z55" i="110"/>
  <c r="X55" i="110"/>
  <c r="N55" i="110"/>
  <c r="L55" i="110"/>
  <c r="B55" i="110"/>
  <c r="Z54" i="110"/>
  <c r="X54" i="110"/>
  <c r="N54" i="110"/>
  <c r="L54" i="110"/>
  <c r="B54" i="110"/>
  <c r="T53" i="110"/>
  <c r="P53" i="110"/>
  <c r="H53" i="110"/>
  <c r="N53" i="110" s="1"/>
  <c r="D53" i="110"/>
  <c r="L53" i="110" s="1"/>
  <c r="B53" i="110"/>
  <c r="Z52" i="110"/>
  <c r="X52" i="110"/>
  <c r="L52" i="110"/>
  <c r="N52" i="110" s="1"/>
  <c r="B52" i="110"/>
  <c r="T51" i="110"/>
  <c r="P51" i="110"/>
  <c r="X51" i="110" s="1"/>
  <c r="H51" i="110"/>
  <c r="D51" i="110"/>
  <c r="L51" i="110" s="1"/>
  <c r="B51" i="110"/>
  <c r="Z50" i="110"/>
  <c r="X50" i="110"/>
  <c r="N50" i="110"/>
  <c r="L50" i="110"/>
  <c r="B50" i="110"/>
  <c r="T49" i="110"/>
  <c r="P49" i="110"/>
  <c r="X49" i="110" s="1"/>
  <c r="Z49" i="110" s="1"/>
  <c r="N49" i="110"/>
  <c r="L49" i="110"/>
  <c r="H49" i="110"/>
  <c r="D49" i="110"/>
  <c r="B49" i="110"/>
  <c r="X48" i="110"/>
  <c r="Z48" i="110" s="1"/>
  <c r="V48" i="110"/>
  <c r="N48" i="110"/>
  <c r="L48" i="110"/>
  <c r="B48" i="110"/>
  <c r="V47" i="110"/>
  <c r="T47" i="110"/>
  <c r="Z47" i="110" s="1"/>
  <c r="P47" i="110"/>
  <c r="X47" i="110" s="1"/>
  <c r="H47" i="110"/>
  <c r="D47" i="110"/>
  <c r="B47" i="110"/>
  <c r="X46" i="110"/>
  <c r="Z46" i="110" s="1"/>
  <c r="N46" i="110"/>
  <c r="L46" i="110"/>
  <c r="B46" i="110"/>
  <c r="T45" i="110"/>
  <c r="Z45" i="110" s="1"/>
  <c r="P45" i="110"/>
  <c r="X45" i="110" s="1"/>
  <c r="H45" i="110"/>
  <c r="D45" i="110"/>
  <c r="B45" i="110"/>
  <c r="X44" i="110"/>
  <c r="Z44" i="110" s="1"/>
  <c r="N44" i="110"/>
  <c r="L44" i="110"/>
  <c r="B44" i="110"/>
  <c r="X43" i="110"/>
  <c r="Z43" i="110" s="1"/>
  <c r="N43" i="110"/>
  <c r="L43" i="110"/>
  <c r="B43" i="110"/>
  <c r="T42" i="110"/>
  <c r="X42" i="110" s="1"/>
  <c r="Z42" i="110" s="1"/>
  <c r="R42" i="110"/>
  <c r="P42" i="110"/>
  <c r="H42" i="110"/>
  <c r="D42" i="110"/>
  <c r="B42" i="110"/>
  <c r="X41" i="110"/>
  <c r="Z41" i="110" s="1"/>
  <c r="L41" i="110"/>
  <c r="N41" i="110" s="1"/>
  <c r="B41" i="110"/>
  <c r="X40" i="110"/>
  <c r="Z40" i="110" s="1"/>
  <c r="T40" i="110"/>
  <c r="P40" i="110"/>
  <c r="H40" i="110"/>
  <c r="D40" i="110"/>
  <c r="L40" i="110" s="1"/>
  <c r="N40" i="110" s="1"/>
  <c r="B40" i="110"/>
  <c r="X39" i="110"/>
  <c r="Z39" i="110" s="1"/>
  <c r="L39" i="110"/>
  <c r="N39" i="110" s="1"/>
  <c r="B39" i="110"/>
  <c r="X38" i="110"/>
  <c r="T38" i="110"/>
  <c r="P38" i="110"/>
  <c r="N38" i="110"/>
  <c r="H38" i="110"/>
  <c r="D38" i="110"/>
  <c r="L38" i="110" s="1"/>
  <c r="B38" i="110"/>
  <c r="Z37" i="110"/>
  <c r="X37" i="110"/>
  <c r="L37" i="110"/>
  <c r="N37" i="110" s="1"/>
  <c r="B37" i="110"/>
  <c r="T36" i="110"/>
  <c r="P36" i="110"/>
  <c r="H36" i="110"/>
  <c r="L36" i="110" s="1"/>
  <c r="N36" i="110" s="1"/>
  <c r="D36" i="110"/>
  <c r="B36" i="110"/>
  <c r="Z35" i="110"/>
  <c r="X35" i="110"/>
  <c r="R35" i="110"/>
  <c r="L35" i="110"/>
  <c r="N35" i="110" s="1"/>
  <c r="B35" i="110"/>
  <c r="Z34" i="110"/>
  <c r="X34" i="110"/>
  <c r="L34" i="110"/>
  <c r="N34" i="110" s="1"/>
  <c r="B34" i="110"/>
  <c r="X33" i="110"/>
  <c r="Z33" i="110" s="1"/>
  <c r="R33" i="110"/>
  <c r="N33" i="110"/>
  <c r="L33" i="110"/>
  <c r="B33" i="110"/>
  <c r="X32" i="110"/>
  <c r="Z32" i="110" s="1"/>
  <c r="V32" i="110"/>
  <c r="N32" i="110"/>
  <c r="L32" i="110"/>
  <c r="B32" i="110"/>
  <c r="Z31" i="110"/>
  <c r="X31" i="110"/>
  <c r="N31" i="110"/>
  <c r="L31" i="110"/>
  <c r="B31" i="110"/>
  <c r="Z30" i="110"/>
  <c r="X30" i="110"/>
  <c r="L30" i="110"/>
  <c r="N30" i="110" s="1"/>
  <c r="B30" i="110"/>
  <c r="T29" i="110"/>
  <c r="P29" i="110"/>
  <c r="H29" i="110"/>
  <c r="D29" i="110"/>
  <c r="B29" i="110"/>
  <c r="Z28" i="110"/>
  <c r="X28" i="110"/>
  <c r="L28" i="110"/>
  <c r="N28" i="110" s="1"/>
  <c r="B28" i="110"/>
  <c r="Z27" i="110"/>
  <c r="X27" i="110"/>
  <c r="R27" i="110"/>
  <c r="L27" i="110"/>
  <c r="N27" i="110" s="1"/>
  <c r="B27" i="110"/>
  <c r="X26" i="110"/>
  <c r="Z26" i="110" s="1"/>
  <c r="N26" i="110"/>
  <c r="L26" i="110"/>
  <c r="B26" i="110"/>
  <c r="X25" i="110"/>
  <c r="Z25" i="110" s="1"/>
  <c r="L25" i="110"/>
  <c r="N25" i="110" s="1"/>
  <c r="B25" i="110"/>
  <c r="Z24" i="110"/>
  <c r="X24" i="110"/>
  <c r="V24" i="110"/>
  <c r="L24" i="110"/>
  <c r="N24" i="110" s="1"/>
  <c r="B24" i="110"/>
  <c r="Z23" i="110"/>
  <c r="X23" i="110"/>
  <c r="R23" i="110"/>
  <c r="L23" i="110"/>
  <c r="N23" i="110" s="1"/>
  <c r="B23" i="110"/>
  <c r="X22" i="110"/>
  <c r="Z22" i="110" s="1"/>
  <c r="N22" i="110"/>
  <c r="L22" i="110"/>
  <c r="B22" i="110"/>
  <c r="X21" i="110"/>
  <c r="Z21" i="110" s="1"/>
  <c r="N21" i="110"/>
  <c r="L21" i="110"/>
  <c r="B21" i="110"/>
  <c r="V20" i="110"/>
  <c r="T20" i="110"/>
  <c r="P20" i="110"/>
  <c r="X20" i="110" s="1"/>
  <c r="Z20" i="110" s="1"/>
  <c r="L20" i="110"/>
  <c r="H20" i="110"/>
  <c r="D20" i="110"/>
  <c r="B20" i="110"/>
  <c r="X19" i="110"/>
  <c r="T19" i="110"/>
  <c r="P19" i="110"/>
  <c r="H19" i="110"/>
  <c r="D19" i="110"/>
  <c r="L19" i="110" s="1"/>
  <c r="N19" i="110" s="1"/>
  <c r="T15" i="110"/>
  <c r="Z15" i="110" s="1"/>
  <c r="P15" i="110"/>
  <c r="N15" i="110"/>
  <c r="L15" i="110"/>
  <c r="H15" i="110"/>
  <c r="D15" i="110"/>
  <c r="X13" i="110"/>
  <c r="Z13" i="110" s="1"/>
  <c r="T13" i="110"/>
  <c r="P13" i="110"/>
  <c r="P12" i="110" s="1"/>
  <c r="R46" i="110" s="1"/>
  <c r="H13" i="110"/>
  <c r="H12" i="110" s="1"/>
  <c r="J46" i="110" s="1"/>
  <c r="D13" i="110"/>
  <c r="B13" i="110"/>
  <c r="T12" i="110"/>
  <c r="V52" i="110" s="1"/>
  <c r="D6" i="110"/>
  <c r="D4" i="110"/>
  <c r="R44" i="109"/>
  <c r="Z39" i="109"/>
  <c r="X39" i="109"/>
  <c r="N39" i="109"/>
  <c r="L39" i="109"/>
  <c r="X35" i="109"/>
  <c r="T35" i="109"/>
  <c r="P35" i="109"/>
  <c r="N35" i="109"/>
  <c r="H35" i="109"/>
  <c r="L35" i="109" s="1"/>
  <c r="D35" i="109"/>
  <c r="B35" i="109"/>
  <c r="X34" i="109"/>
  <c r="T34" i="109"/>
  <c r="Z34" i="109" s="1"/>
  <c r="P34" i="109"/>
  <c r="P33" i="109" s="1"/>
  <c r="X33" i="109" s="1"/>
  <c r="L34" i="109"/>
  <c r="H34" i="109"/>
  <c r="D34" i="109"/>
  <c r="B34" i="109"/>
  <c r="T33" i="109"/>
  <c r="F33" i="109"/>
  <c r="D33" i="109"/>
  <c r="X31" i="109"/>
  <c r="Z31" i="109" s="1"/>
  <c r="N31" i="109"/>
  <c r="L31" i="109"/>
  <c r="B31" i="109"/>
  <c r="V30" i="109"/>
  <c r="T30" i="109"/>
  <c r="P30" i="109"/>
  <c r="H30" i="109"/>
  <c r="N30" i="109" s="1"/>
  <c r="F30" i="109"/>
  <c r="D30" i="109"/>
  <c r="L30" i="109" s="1"/>
  <c r="B30" i="109"/>
  <c r="Z29" i="109"/>
  <c r="X29" i="109"/>
  <c r="V29" i="109"/>
  <c r="N29" i="109"/>
  <c r="L29" i="109"/>
  <c r="B29" i="109"/>
  <c r="X28" i="109"/>
  <c r="Z28" i="109" s="1"/>
  <c r="L28" i="109"/>
  <c r="N28" i="109" s="1"/>
  <c r="F28" i="109"/>
  <c r="B28" i="109"/>
  <c r="X27" i="109"/>
  <c r="Z27" i="109" s="1"/>
  <c r="T27" i="109"/>
  <c r="P27" i="109"/>
  <c r="H27" i="109"/>
  <c r="F27" i="109"/>
  <c r="D27" i="109"/>
  <c r="L27" i="109" s="1"/>
  <c r="N27" i="109" s="1"/>
  <c r="B27" i="109"/>
  <c r="Z26" i="109"/>
  <c r="X26" i="109"/>
  <c r="L26" i="109"/>
  <c r="N26" i="109" s="1"/>
  <c r="B26" i="109"/>
  <c r="X25" i="109"/>
  <c r="Z25" i="109" s="1"/>
  <c r="V25" i="109"/>
  <c r="N25" i="109"/>
  <c r="L25" i="109"/>
  <c r="B25" i="109"/>
  <c r="X24" i="109"/>
  <c r="Z24" i="109" s="1"/>
  <c r="V24" i="109"/>
  <c r="N24" i="109"/>
  <c r="L24" i="109"/>
  <c r="B24" i="109"/>
  <c r="X23" i="109"/>
  <c r="Z23" i="109" s="1"/>
  <c r="V23" i="109"/>
  <c r="L23" i="109"/>
  <c r="N23" i="109" s="1"/>
  <c r="F23" i="109"/>
  <c r="B23" i="109"/>
  <c r="Z22" i="109"/>
  <c r="X22" i="109"/>
  <c r="L22" i="109"/>
  <c r="N22" i="109" s="1"/>
  <c r="B22" i="109"/>
  <c r="X21" i="109"/>
  <c r="Z21" i="109" s="1"/>
  <c r="V21" i="109"/>
  <c r="N21" i="109"/>
  <c r="L21" i="109"/>
  <c r="B21" i="109"/>
  <c r="X20" i="109"/>
  <c r="Z20" i="109" s="1"/>
  <c r="V20" i="109"/>
  <c r="N20" i="109"/>
  <c r="L20" i="109"/>
  <c r="B20" i="109"/>
  <c r="V19" i="109"/>
  <c r="T19" i="109"/>
  <c r="P19" i="109"/>
  <c r="X19" i="109" s="1"/>
  <c r="L19" i="109"/>
  <c r="N19" i="109" s="1"/>
  <c r="H19" i="109"/>
  <c r="D19" i="109"/>
  <c r="B19" i="109"/>
  <c r="X18" i="109"/>
  <c r="T18" i="109"/>
  <c r="Z18" i="109" s="1"/>
  <c r="R18" i="109"/>
  <c r="P18" i="109"/>
  <c r="N18" i="109"/>
  <c r="L18" i="109"/>
  <c r="H18" i="109"/>
  <c r="D18" i="109"/>
  <c r="R16" i="109"/>
  <c r="X14" i="109"/>
  <c r="T14" i="109"/>
  <c r="Z14" i="109" s="1"/>
  <c r="R14" i="109"/>
  <c r="P14" i="109"/>
  <c r="N14" i="109"/>
  <c r="L14" i="109"/>
  <c r="H14" i="109"/>
  <c r="D14" i="109"/>
  <c r="Z12" i="109"/>
  <c r="X12" i="109"/>
  <c r="T12" i="109"/>
  <c r="V28" i="109" s="1"/>
  <c r="P12" i="109"/>
  <c r="R39" i="109" s="1"/>
  <c r="H12" i="109"/>
  <c r="D12" i="109"/>
  <c r="D6" i="109"/>
  <c r="D4" i="109"/>
  <c r="X87" i="108"/>
  <c r="Z87" i="108" s="1"/>
  <c r="L87" i="108"/>
  <c r="N87" i="108" s="1"/>
  <c r="Z83" i="108"/>
  <c r="X83" i="108"/>
  <c r="T83" i="108"/>
  <c r="P83" i="108"/>
  <c r="L83" i="108"/>
  <c r="H83" i="108"/>
  <c r="N83" i="108" s="1"/>
  <c r="D83" i="108"/>
  <c r="Z81" i="108"/>
  <c r="X81" i="108"/>
  <c r="N81" i="108"/>
  <c r="L81" i="108"/>
  <c r="B81" i="108"/>
  <c r="Z80" i="108"/>
  <c r="X80" i="108"/>
  <c r="N80" i="108"/>
  <c r="L80" i="108"/>
  <c r="B80" i="108"/>
  <c r="X79" i="108"/>
  <c r="T79" i="108"/>
  <c r="Z79" i="108" s="1"/>
  <c r="P79" i="108"/>
  <c r="N79" i="108"/>
  <c r="L79" i="108"/>
  <c r="H79" i="108"/>
  <c r="D79" i="108"/>
  <c r="B79" i="108"/>
  <c r="Z78" i="108"/>
  <c r="X78" i="108"/>
  <c r="L78" i="108"/>
  <c r="N78" i="108" s="1"/>
  <c r="B78" i="108"/>
  <c r="T77" i="108"/>
  <c r="P77" i="108"/>
  <c r="X77" i="108" s="1"/>
  <c r="H77" i="108"/>
  <c r="D77" i="108"/>
  <c r="L77" i="108" s="1"/>
  <c r="B77" i="108"/>
  <c r="X76" i="108"/>
  <c r="Z76" i="108" s="1"/>
  <c r="L76" i="108"/>
  <c r="N76" i="108" s="1"/>
  <c r="B76" i="108"/>
  <c r="T75" i="108"/>
  <c r="P75" i="108"/>
  <c r="X75" i="108" s="1"/>
  <c r="H75" i="108"/>
  <c r="D75" i="108"/>
  <c r="L75" i="108" s="1"/>
  <c r="N75" i="108" s="1"/>
  <c r="B75" i="108"/>
  <c r="Z74" i="108"/>
  <c r="X74" i="108"/>
  <c r="N74" i="108"/>
  <c r="L74" i="108"/>
  <c r="B74" i="108"/>
  <c r="Z73" i="108"/>
  <c r="X73" i="108"/>
  <c r="N73" i="108"/>
  <c r="L73" i="108"/>
  <c r="B73" i="108"/>
  <c r="X72" i="108"/>
  <c r="Z72" i="108" s="1"/>
  <c r="N72" i="108"/>
  <c r="L72" i="108"/>
  <c r="B72" i="108"/>
  <c r="X71" i="108"/>
  <c r="Z71" i="108" s="1"/>
  <c r="N71" i="108"/>
  <c r="L71" i="108"/>
  <c r="B71" i="108"/>
  <c r="Z70" i="108"/>
  <c r="X70" i="108"/>
  <c r="N70" i="108"/>
  <c r="L70" i="108"/>
  <c r="B70" i="108"/>
  <c r="Z69" i="108"/>
  <c r="X69" i="108"/>
  <c r="L69" i="108"/>
  <c r="N69" i="108" s="1"/>
  <c r="B69" i="108"/>
  <c r="X68" i="108"/>
  <c r="Z68" i="108" s="1"/>
  <c r="N68" i="108"/>
  <c r="L68" i="108"/>
  <c r="B68" i="108"/>
  <c r="X67" i="108"/>
  <c r="T67" i="108"/>
  <c r="Z67" i="108" s="1"/>
  <c r="P67" i="108"/>
  <c r="N67" i="108"/>
  <c r="L67" i="108"/>
  <c r="H67" i="108"/>
  <c r="D67" i="108"/>
  <c r="B67" i="108"/>
  <c r="Z66" i="108"/>
  <c r="X66" i="108"/>
  <c r="L66" i="108"/>
  <c r="N66" i="108" s="1"/>
  <c r="B66" i="108"/>
  <c r="X65" i="108"/>
  <c r="Z65" i="108" s="1"/>
  <c r="L65" i="108"/>
  <c r="N65" i="108" s="1"/>
  <c r="B65" i="108"/>
  <c r="Z64" i="108"/>
  <c r="X64" i="108"/>
  <c r="N64" i="108"/>
  <c r="L64" i="108"/>
  <c r="B64" i="108"/>
  <c r="T63" i="108"/>
  <c r="Z63" i="108" s="1"/>
  <c r="P63" i="108"/>
  <c r="X63" i="108" s="1"/>
  <c r="H63" i="108"/>
  <c r="D63" i="108"/>
  <c r="L63" i="108" s="1"/>
  <c r="B63" i="108"/>
  <c r="X62" i="108"/>
  <c r="Z62" i="108" s="1"/>
  <c r="N62" i="108"/>
  <c r="L62" i="108"/>
  <c r="B62" i="108"/>
  <c r="X61" i="108"/>
  <c r="Z61" i="108" s="1"/>
  <c r="N61" i="108"/>
  <c r="L61" i="108"/>
  <c r="B61" i="108"/>
  <c r="X60" i="108"/>
  <c r="Z60" i="108" s="1"/>
  <c r="N60" i="108"/>
  <c r="L60" i="108"/>
  <c r="B60" i="108"/>
  <c r="T59" i="108"/>
  <c r="P59" i="108"/>
  <c r="X59" i="108" s="1"/>
  <c r="H59" i="108"/>
  <c r="D59" i="108"/>
  <c r="L59" i="108" s="1"/>
  <c r="N59" i="108" s="1"/>
  <c r="B59" i="108"/>
  <c r="Z58" i="108"/>
  <c r="X58" i="108"/>
  <c r="N58" i="108"/>
  <c r="L58" i="108"/>
  <c r="B58" i="108"/>
  <c r="Z57" i="108"/>
  <c r="X57" i="108"/>
  <c r="T57" i="108"/>
  <c r="P57" i="108"/>
  <c r="L57" i="108"/>
  <c r="H57" i="108"/>
  <c r="N57" i="108" s="1"/>
  <c r="D57" i="108"/>
  <c r="B57" i="108"/>
  <c r="Z56" i="108"/>
  <c r="X56" i="108"/>
  <c r="L56" i="108"/>
  <c r="N56" i="108" s="1"/>
  <c r="B56" i="108"/>
  <c r="T55" i="108"/>
  <c r="P55" i="108"/>
  <c r="X55" i="108" s="1"/>
  <c r="H55" i="108"/>
  <c r="D55" i="108"/>
  <c r="L55" i="108" s="1"/>
  <c r="B55" i="108"/>
  <c r="X54" i="108"/>
  <c r="Z54" i="108" s="1"/>
  <c r="N54" i="108"/>
  <c r="L54" i="108"/>
  <c r="B54" i="108"/>
  <c r="T53" i="108"/>
  <c r="Z53" i="108" s="1"/>
  <c r="P53" i="108"/>
  <c r="X53" i="108" s="1"/>
  <c r="H53" i="108"/>
  <c r="N53" i="108" s="1"/>
  <c r="D53" i="108"/>
  <c r="L53" i="108" s="1"/>
  <c r="B53" i="108"/>
  <c r="X52" i="108"/>
  <c r="Z52" i="108" s="1"/>
  <c r="N52" i="108"/>
  <c r="L52" i="108"/>
  <c r="B52" i="108"/>
  <c r="X51" i="108"/>
  <c r="T51" i="108"/>
  <c r="P51" i="108"/>
  <c r="N51" i="108"/>
  <c r="L51" i="108"/>
  <c r="H51" i="108"/>
  <c r="D51" i="108"/>
  <c r="B51" i="108"/>
  <c r="Z50" i="108"/>
  <c r="X50" i="108"/>
  <c r="N50" i="108"/>
  <c r="L50" i="108"/>
  <c r="J50" i="108"/>
  <c r="B50" i="108"/>
  <c r="T49" i="108"/>
  <c r="P49" i="108"/>
  <c r="H49" i="108"/>
  <c r="N49" i="108" s="1"/>
  <c r="D49" i="108"/>
  <c r="B49" i="108"/>
  <c r="X48" i="108"/>
  <c r="Z48" i="108" s="1"/>
  <c r="N48" i="108"/>
  <c r="L48" i="108"/>
  <c r="B48" i="108"/>
  <c r="T47" i="108"/>
  <c r="Z47" i="108" s="1"/>
  <c r="P47" i="108"/>
  <c r="X47" i="108" s="1"/>
  <c r="H47" i="108"/>
  <c r="N47" i="108" s="1"/>
  <c r="D47" i="108"/>
  <c r="L47" i="108" s="1"/>
  <c r="B47" i="108"/>
  <c r="Z46" i="108"/>
  <c r="X46" i="108"/>
  <c r="N46" i="108"/>
  <c r="L46" i="108"/>
  <c r="B46" i="108"/>
  <c r="X45" i="108"/>
  <c r="Z45" i="108" s="1"/>
  <c r="T45" i="108"/>
  <c r="P45" i="108"/>
  <c r="L45" i="108"/>
  <c r="H45" i="108"/>
  <c r="D45" i="108"/>
  <c r="B45" i="108"/>
  <c r="Z44" i="108"/>
  <c r="X44" i="108"/>
  <c r="L44" i="108"/>
  <c r="N44" i="108" s="1"/>
  <c r="B44" i="108"/>
  <c r="T43" i="108"/>
  <c r="P43" i="108"/>
  <c r="X43" i="108" s="1"/>
  <c r="H43" i="108"/>
  <c r="D43" i="108"/>
  <c r="B43" i="108"/>
  <c r="X42" i="108"/>
  <c r="Z42" i="108" s="1"/>
  <c r="N42" i="108"/>
  <c r="L42" i="108"/>
  <c r="B42" i="108"/>
  <c r="T41" i="108"/>
  <c r="Z41" i="108" s="1"/>
  <c r="P41" i="108"/>
  <c r="X41" i="108" s="1"/>
  <c r="H41" i="108"/>
  <c r="D41" i="108"/>
  <c r="L41" i="108" s="1"/>
  <c r="B41" i="108"/>
  <c r="Z40" i="108"/>
  <c r="X40" i="108"/>
  <c r="N40" i="108"/>
  <c r="L40" i="108"/>
  <c r="B40" i="108"/>
  <c r="X39" i="108"/>
  <c r="Z39" i="108" s="1"/>
  <c r="N39" i="108"/>
  <c r="L39" i="108"/>
  <c r="B39" i="108"/>
  <c r="Z38" i="108"/>
  <c r="X38" i="108"/>
  <c r="N38" i="108"/>
  <c r="L38" i="108"/>
  <c r="B38" i="108"/>
  <c r="Z37" i="108"/>
  <c r="X37" i="108"/>
  <c r="L37" i="108"/>
  <c r="N37" i="108" s="1"/>
  <c r="B37" i="108"/>
  <c r="Z36" i="108"/>
  <c r="X36" i="108"/>
  <c r="N36" i="108"/>
  <c r="L36" i="108"/>
  <c r="B36" i="108"/>
  <c r="X35" i="108"/>
  <c r="Z35" i="108" s="1"/>
  <c r="N35" i="108"/>
  <c r="L35" i="108"/>
  <c r="B35" i="108"/>
  <c r="T34" i="108"/>
  <c r="P34" i="108"/>
  <c r="X34" i="108" s="1"/>
  <c r="Z34" i="108" s="1"/>
  <c r="H34" i="108"/>
  <c r="D34" i="108"/>
  <c r="B34" i="108"/>
  <c r="X33" i="108"/>
  <c r="Z33" i="108" s="1"/>
  <c r="L33" i="108"/>
  <c r="N33" i="108" s="1"/>
  <c r="B33" i="108"/>
  <c r="Z32" i="108"/>
  <c r="X32" i="108"/>
  <c r="N32" i="108"/>
  <c r="L32" i="108"/>
  <c r="B32" i="108"/>
  <c r="Z31" i="108"/>
  <c r="X31" i="108"/>
  <c r="L31" i="108"/>
  <c r="N31" i="108" s="1"/>
  <c r="B31" i="108"/>
  <c r="Z30" i="108"/>
  <c r="X30" i="108"/>
  <c r="L30" i="108"/>
  <c r="N30" i="108" s="1"/>
  <c r="B30" i="108"/>
  <c r="X29" i="108"/>
  <c r="Z29" i="108" s="1"/>
  <c r="L29" i="108"/>
  <c r="N29" i="108" s="1"/>
  <c r="B29" i="108"/>
  <c r="Z28" i="108"/>
  <c r="X28" i="108"/>
  <c r="L28" i="108"/>
  <c r="N28" i="108" s="1"/>
  <c r="B28" i="108"/>
  <c r="Z27" i="108"/>
  <c r="X27" i="108"/>
  <c r="L27" i="108"/>
  <c r="N27" i="108" s="1"/>
  <c r="B27" i="108"/>
  <c r="Z26" i="108"/>
  <c r="X26" i="108"/>
  <c r="L26" i="108"/>
  <c r="N26" i="108" s="1"/>
  <c r="B26" i="108"/>
  <c r="X25" i="108"/>
  <c r="Z25" i="108" s="1"/>
  <c r="L25" i="108"/>
  <c r="N25" i="108" s="1"/>
  <c r="B25" i="108"/>
  <c r="Z24" i="108"/>
  <c r="T24" i="108"/>
  <c r="P24" i="108"/>
  <c r="X24" i="108" s="1"/>
  <c r="H24" i="108"/>
  <c r="D24" i="108"/>
  <c r="L24" i="108" s="1"/>
  <c r="N24" i="108" s="1"/>
  <c r="B24" i="108"/>
  <c r="T23" i="108"/>
  <c r="P23" i="108"/>
  <c r="X23" i="108" s="1"/>
  <c r="H23" i="108"/>
  <c r="D23" i="108"/>
  <c r="L23" i="108" s="1"/>
  <c r="X19" i="108"/>
  <c r="Z19" i="108" s="1"/>
  <c r="L19" i="108"/>
  <c r="N19" i="108" s="1"/>
  <c r="B19" i="108"/>
  <c r="X18" i="108"/>
  <c r="Z18" i="108" s="1"/>
  <c r="N18" i="108"/>
  <c r="L18" i="108"/>
  <c r="J18" i="108"/>
  <c r="B18" i="108"/>
  <c r="T17" i="108"/>
  <c r="P17" i="108"/>
  <c r="X17" i="108" s="1"/>
  <c r="H17" i="108"/>
  <c r="D17" i="108"/>
  <c r="L17" i="108" s="1"/>
  <c r="Z15" i="108"/>
  <c r="T15" i="108"/>
  <c r="X15" i="108" s="1"/>
  <c r="P15" i="108"/>
  <c r="N15" i="108"/>
  <c r="L15" i="108"/>
  <c r="H15" i="108"/>
  <c r="D15" i="108"/>
  <c r="B15" i="108"/>
  <c r="T14" i="108"/>
  <c r="T12" i="108" s="1"/>
  <c r="V31" i="108" s="1"/>
  <c r="P14" i="108"/>
  <c r="X14" i="108" s="1"/>
  <c r="L14" i="108"/>
  <c r="N14" i="108" s="1"/>
  <c r="H14" i="108"/>
  <c r="D14" i="108"/>
  <c r="B14" i="108"/>
  <c r="X13" i="108"/>
  <c r="Z13" i="108" s="1"/>
  <c r="T13" i="108"/>
  <c r="P13" i="108"/>
  <c r="H13" i="108"/>
  <c r="H12" i="108" s="1"/>
  <c r="D13" i="108"/>
  <c r="B13" i="108"/>
  <c r="D6" i="108"/>
  <c r="D4" i="108"/>
  <c r="V31" i="107"/>
  <c r="R31" i="107"/>
  <c r="J31" i="107"/>
  <c r="F31" i="107"/>
  <c r="R28" i="107"/>
  <c r="J28" i="107"/>
  <c r="F28" i="107"/>
  <c r="Z26" i="107"/>
  <c r="X26" i="107"/>
  <c r="N26" i="107"/>
  <c r="L26" i="107"/>
  <c r="J26" i="107"/>
  <c r="Z22" i="107"/>
  <c r="X22" i="107"/>
  <c r="T22" i="107"/>
  <c r="P22" i="107"/>
  <c r="N22" i="107"/>
  <c r="L22" i="107"/>
  <c r="H22" i="107"/>
  <c r="D22" i="107"/>
  <c r="X20" i="107"/>
  <c r="Z20" i="107" s="1"/>
  <c r="R20" i="107"/>
  <c r="N20" i="107"/>
  <c r="L20" i="107"/>
  <c r="J20" i="107"/>
  <c r="F20" i="107"/>
  <c r="B20" i="107"/>
  <c r="T19" i="107"/>
  <c r="P19" i="107"/>
  <c r="X19" i="107" s="1"/>
  <c r="N19" i="107"/>
  <c r="J19" i="107"/>
  <c r="H19" i="107"/>
  <c r="F19" i="107"/>
  <c r="D19" i="107"/>
  <c r="L19" i="107" s="1"/>
  <c r="B19" i="107"/>
  <c r="T18" i="107"/>
  <c r="P18" i="107"/>
  <c r="X18" i="107" s="1"/>
  <c r="Z18" i="107" s="1"/>
  <c r="N18" i="107"/>
  <c r="L18" i="107"/>
  <c r="J18" i="107"/>
  <c r="H18" i="107"/>
  <c r="F18" i="107"/>
  <c r="D18" i="107"/>
  <c r="J16" i="107"/>
  <c r="Z14" i="107"/>
  <c r="V14" i="107"/>
  <c r="T14" i="107"/>
  <c r="P14" i="107"/>
  <c r="J14" i="107"/>
  <c r="H14" i="107"/>
  <c r="F14" i="107"/>
  <c r="D14" i="107"/>
  <c r="T12" i="107"/>
  <c r="V19" i="107" s="1"/>
  <c r="P12" i="107"/>
  <c r="X12" i="107" s="1"/>
  <c r="N12" i="107"/>
  <c r="L12" i="107"/>
  <c r="H12" i="107"/>
  <c r="J22" i="107" s="1"/>
  <c r="D12" i="107"/>
  <c r="F24" i="107" s="1"/>
  <c r="D6" i="107"/>
  <c r="D4" i="107"/>
  <c r="Z87" i="106"/>
  <c r="X87" i="106"/>
  <c r="L87" i="106"/>
  <c r="N87" i="106" s="1"/>
  <c r="Z83" i="106"/>
  <c r="T83" i="106"/>
  <c r="P83" i="106"/>
  <c r="X83" i="106" s="1"/>
  <c r="H83" i="106"/>
  <c r="N83" i="106" s="1"/>
  <c r="D83" i="106"/>
  <c r="L83" i="106" s="1"/>
  <c r="Z81" i="106"/>
  <c r="X81" i="106"/>
  <c r="N81" i="106"/>
  <c r="L81" i="106"/>
  <c r="B81" i="106"/>
  <c r="Z80" i="106"/>
  <c r="X80" i="106"/>
  <c r="T80" i="106"/>
  <c r="P80" i="106"/>
  <c r="N80" i="106"/>
  <c r="L80" i="106"/>
  <c r="H80" i="106"/>
  <c r="D80" i="106"/>
  <c r="B80" i="106"/>
  <c r="Z79" i="106"/>
  <c r="X79" i="106"/>
  <c r="L79" i="106"/>
  <c r="N79" i="106" s="1"/>
  <c r="B79" i="106"/>
  <c r="T78" i="106"/>
  <c r="P78" i="106"/>
  <c r="X78" i="106" s="1"/>
  <c r="L78" i="106"/>
  <c r="H78" i="106"/>
  <c r="N78" i="106" s="1"/>
  <c r="D78" i="106"/>
  <c r="B78" i="106"/>
  <c r="X77" i="106"/>
  <c r="Z77" i="106" s="1"/>
  <c r="N77" i="106"/>
  <c r="L77" i="106"/>
  <c r="B77" i="106"/>
  <c r="T76" i="106"/>
  <c r="P76" i="106"/>
  <c r="X76" i="106" s="1"/>
  <c r="Z76" i="106" s="1"/>
  <c r="L76" i="106"/>
  <c r="H76" i="106"/>
  <c r="N76" i="106" s="1"/>
  <c r="D76" i="106"/>
  <c r="B76" i="106"/>
  <c r="Z75" i="106"/>
  <c r="X75" i="106"/>
  <c r="N75" i="106"/>
  <c r="L75" i="106"/>
  <c r="B75" i="106"/>
  <c r="Z74" i="106"/>
  <c r="X74" i="106"/>
  <c r="N74" i="106"/>
  <c r="L74" i="106"/>
  <c r="B74" i="106"/>
  <c r="Z73" i="106"/>
  <c r="X73" i="106"/>
  <c r="N73" i="106"/>
  <c r="L73" i="106"/>
  <c r="B73" i="106"/>
  <c r="X72" i="106"/>
  <c r="Z72" i="106" s="1"/>
  <c r="L72" i="106"/>
  <c r="N72" i="106" s="1"/>
  <c r="B72" i="106"/>
  <c r="Z71" i="106"/>
  <c r="X71" i="106"/>
  <c r="N71" i="106"/>
  <c r="L71" i="106"/>
  <c r="B71" i="106"/>
  <c r="Z70" i="106"/>
  <c r="X70" i="106"/>
  <c r="L70" i="106"/>
  <c r="N70" i="106" s="1"/>
  <c r="B70" i="106"/>
  <c r="Z69" i="106"/>
  <c r="X69" i="106"/>
  <c r="N69" i="106"/>
  <c r="L69" i="106"/>
  <c r="B69" i="106"/>
  <c r="Z68" i="106"/>
  <c r="X68" i="106"/>
  <c r="N68" i="106"/>
  <c r="L68" i="106"/>
  <c r="B68" i="106"/>
  <c r="T67" i="106"/>
  <c r="P67" i="106"/>
  <c r="X67" i="106" s="1"/>
  <c r="H67" i="106"/>
  <c r="D67" i="106"/>
  <c r="L67" i="106" s="1"/>
  <c r="N67" i="106" s="1"/>
  <c r="B67" i="106"/>
  <c r="X66" i="106"/>
  <c r="Z66" i="106" s="1"/>
  <c r="L66" i="106"/>
  <c r="N66" i="106" s="1"/>
  <c r="B66" i="106"/>
  <c r="Z65" i="106"/>
  <c r="X65" i="106"/>
  <c r="L65" i="106"/>
  <c r="N65" i="106" s="1"/>
  <c r="J65" i="106"/>
  <c r="B65" i="106"/>
  <c r="X64" i="106"/>
  <c r="Z64" i="106" s="1"/>
  <c r="N64" i="106"/>
  <c r="L64" i="106"/>
  <c r="B64" i="106"/>
  <c r="Z63" i="106"/>
  <c r="T63" i="106"/>
  <c r="P63" i="106"/>
  <c r="X63" i="106" s="1"/>
  <c r="H63" i="106"/>
  <c r="D63" i="106"/>
  <c r="L63" i="106" s="1"/>
  <c r="N63" i="106" s="1"/>
  <c r="B63" i="106"/>
  <c r="X62" i="106"/>
  <c r="Z62" i="106" s="1"/>
  <c r="N62" i="106"/>
  <c r="L62" i="106"/>
  <c r="B62" i="106"/>
  <c r="X61" i="106"/>
  <c r="Z61" i="106" s="1"/>
  <c r="N61" i="106"/>
  <c r="L61" i="106"/>
  <c r="B61" i="106"/>
  <c r="Z60" i="106"/>
  <c r="X60" i="106"/>
  <c r="N60" i="106"/>
  <c r="L60" i="106"/>
  <c r="B60" i="106"/>
  <c r="X59" i="106"/>
  <c r="T59" i="106"/>
  <c r="Z59" i="106" s="1"/>
  <c r="P59" i="106"/>
  <c r="L59" i="106"/>
  <c r="J59" i="106"/>
  <c r="H59" i="106"/>
  <c r="N59" i="106" s="1"/>
  <c r="D59" i="106"/>
  <c r="B59" i="106"/>
  <c r="Z58" i="106"/>
  <c r="X58" i="106"/>
  <c r="L58" i="106"/>
  <c r="N58" i="106" s="1"/>
  <c r="J58" i="106"/>
  <c r="B58" i="106"/>
  <c r="T57" i="106"/>
  <c r="P57" i="106"/>
  <c r="X57" i="106" s="1"/>
  <c r="Z57" i="106" s="1"/>
  <c r="H57" i="106"/>
  <c r="D57" i="106"/>
  <c r="B57" i="106"/>
  <c r="X56" i="106"/>
  <c r="Z56" i="106" s="1"/>
  <c r="N56" i="106"/>
  <c r="L56" i="106"/>
  <c r="B56" i="106"/>
  <c r="Z55" i="106"/>
  <c r="T55" i="106"/>
  <c r="P55" i="106"/>
  <c r="X55" i="106" s="1"/>
  <c r="H55" i="106"/>
  <c r="D55" i="106"/>
  <c r="L55" i="106" s="1"/>
  <c r="N55" i="106" s="1"/>
  <c r="B55" i="106"/>
  <c r="X54" i="106"/>
  <c r="Z54" i="106" s="1"/>
  <c r="N54" i="106"/>
  <c r="L54" i="106"/>
  <c r="B54" i="106"/>
  <c r="X53" i="106"/>
  <c r="V53" i="106"/>
  <c r="T53" i="106"/>
  <c r="Z53" i="106" s="1"/>
  <c r="P53" i="106"/>
  <c r="L53" i="106"/>
  <c r="H53" i="106"/>
  <c r="N53" i="106" s="1"/>
  <c r="D53" i="106"/>
  <c r="B53" i="106"/>
  <c r="Z52" i="106"/>
  <c r="X52" i="106"/>
  <c r="L52" i="106"/>
  <c r="N52" i="106" s="1"/>
  <c r="B52" i="106"/>
  <c r="T51" i="106"/>
  <c r="R51" i="106"/>
  <c r="P51" i="106"/>
  <c r="X51" i="106" s="1"/>
  <c r="H51" i="106"/>
  <c r="D51" i="106"/>
  <c r="L51" i="106" s="1"/>
  <c r="N51" i="106" s="1"/>
  <c r="B51" i="106"/>
  <c r="X50" i="106"/>
  <c r="Z50" i="106" s="1"/>
  <c r="N50" i="106"/>
  <c r="L50" i="106"/>
  <c r="B50" i="106"/>
  <c r="T49" i="106"/>
  <c r="P49" i="106"/>
  <c r="X49" i="106" s="1"/>
  <c r="Z49" i="106" s="1"/>
  <c r="N49" i="106"/>
  <c r="H49" i="106"/>
  <c r="D49" i="106"/>
  <c r="L49" i="106" s="1"/>
  <c r="B49" i="106"/>
  <c r="Z48" i="106"/>
  <c r="X48" i="106"/>
  <c r="N48" i="106"/>
  <c r="L48" i="106"/>
  <c r="B48" i="106"/>
  <c r="X47" i="106"/>
  <c r="T47" i="106"/>
  <c r="Z47" i="106" s="1"/>
  <c r="P47" i="106"/>
  <c r="L47" i="106"/>
  <c r="J47" i="106"/>
  <c r="H47" i="106"/>
  <c r="D47" i="106"/>
  <c r="B47" i="106"/>
  <c r="X46" i="106"/>
  <c r="Z46" i="106" s="1"/>
  <c r="L46" i="106"/>
  <c r="N46" i="106" s="1"/>
  <c r="J46" i="106"/>
  <c r="B46" i="106"/>
  <c r="T45" i="106"/>
  <c r="P45" i="106"/>
  <c r="X45" i="106" s="1"/>
  <c r="Z45" i="106" s="1"/>
  <c r="H45" i="106"/>
  <c r="D45" i="106"/>
  <c r="B45" i="106"/>
  <c r="X44" i="106"/>
  <c r="Z44" i="106" s="1"/>
  <c r="N44" i="106"/>
  <c r="L44" i="106"/>
  <c r="B44" i="106"/>
  <c r="Z43" i="106"/>
  <c r="T43" i="106"/>
  <c r="P43" i="106"/>
  <c r="X43" i="106" s="1"/>
  <c r="H43" i="106"/>
  <c r="D43" i="106"/>
  <c r="L43" i="106" s="1"/>
  <c r="N43" i="106" s="1"/>
  <c r="B43" i="106"/>
  <c r="X42" i="106"/>
  <c r="Z42" i="106" s="1"/>
  <c r="L42" i="106"/>
  <c r="N42" i="106" s="1"/>
  <c r="B42" i="106"/>
  <c r="X41" i="106"/>
  <c r="T41" i="106"/>
  <c r="P41" i="106"/>
  <c r="L41" i="106"/>
  <c r="H41" i="106"/>
  <c r="N41" i="106" s="1"/>
  <c r="D41" i="106"/>
  <c r="B41" i="106"/>
  <c r="X40" i="106"/>
  <c r="Z40" i="106" s="1"/>
  <c r="L40" i="106"/>
  <c r="N40" i="106" s="1"/>
  <c r="B40" i="106"/>
  <c r="Z39" i="106"/>
  <c r="X39" i="106"/>
  <c r="N39" i="106"/>
  <c r="L39" i="106"/>
  <c r="B39" i="106"/>
  <c r="X38" i="106"/>
  <c r="Z38" i="106" s="1"/>
  <c r="N38" i="106"/>
  <c r="L38" i="106"/>
  <c r="J38" i="106"/>
  <c r="B38" i="106"/>
  <c r="Z37" i="106"/>
  <c r="X37" i="106"/>
  <c r="N37" i="106"/>
  <c r="L37" i="106"/>
  <c r="B37" i="106"/>
  <c r="X36" i="106"/>
  <c r="Z36" i="106" s="1"/>
  <c r="L36" i="106"/>
  <c r="N36" i="106" s="1"/>
  <c r="B36" i="106"/>
  <c r="Z35" i="106"/>
  <c r="X35" i="106"/>
  <c r="N35" i="106"/>
  <c r="L35" i="106"/>
  <c r="B35" i="106"/>
  <c r="X34" i="106"/>
  <c r="Z34" i="106" s="1"/>
  <c r="T34" i="106"/>
  <c r="P34" i="106"/>
  <c r="N34" i="106"/>
  <c r="L34" i="106"/>
  <c r="H34" i="106"/>
  <c r="D34" i="106"/>
  <c r="B34" i="106"/>
  <c r="Z33" i="106"/>
  <c r="X33" i="106"/>
  <c r="L33" i="106"/>
  <c r="N33" i="106" s="1"/>
  <c r="J33" i="106"/>
  <c r="B33" i="106"/>
  <c r="X32" i="106"/>
  <c r="Z32" i="106" s="1"/>
  <c r="N32" i="106"/>
  <c r="L32" i="106"/>
  <c r="B32" i="106"/>
  <c r="Z31" i="106"/>
  <c r="X31" i="106"/>
  <c r="L31" i="106"/>
  <c r="N31" i="106" s="1"/>
  <c r="B31" i="106"/>
  <c r="X30" i="106"/>
  <c r="Z30" i="106" s="1"/>
  <c r="L30" i="106"/>
  <c r="N30" i="106" s="1"/>
  <c r="B30" i="106"/>
  <c r="Z29" i="106"/>
  <c r="X29" i="106"/>
  <c r="L29" i="106"/>
  <c r="N29" i="106" s="1"/>
  <c r="J29" i="106"/>
  <c r="B29" i="106"/>
  <c r="X28" i="106"/>
  <c r="Z28" i="106" s="1"/>
  <c r="N28" i="106"/>
  <c r="L28" i="106"/>
  <c r="B28" i="106"/>
  <c r="Z27" i="106"/>
  <c r="X27" i="106"/>
  <c r="L27" i="106"/>
  <c r="N27" i="106" s="1"/>
  <c r="B27" i="106"/>
  <c r="X26" i="106"/>
  <c r="Z26" i="106" s="1"/>
  <c r="V26" i="106"/>
  <c r="L26" i="106"/>
  <c r="N26" i="106" s="1"/>
  <c r="B26" i="106"/>
  <c r="Z25" i="106"/>
  <c r="X25" i="106"/>
  <c r="L25" i="106"/>
  <c r="N25" i="106" s="1"/>
  <c r="J25" i="106"/>
  <c r="B25" i="106"/>
  <c r="T24" i="106"/>
  <c r="P24" i="106"/>
  <c r="J24" i="106"/>
  <c r="H24" i="106"/>
  <c r="D24" i="106"/>
  <c r="B24" i="106"/>
  <c r="T23" i="106"/>
  <c r="P23" i="106"/>
  <c r="L23" i="106"/>
  <c r="J23" i="106"/>
  <c r="H23" i="106"/>
  <c r="D23" i="106"/>
  <c r="X19" i="106"/>
  <c r="Z19" i="106" s="1"/>
  <c r="L19" i="106"/>
  <c r="N19" i="106" s="1"/>
  <c r="B19" i="106"/>
  <c r="Z18" i="106"/>
  <c r="X18" i="106"/>
  <c r="N18" i="106"/>
  <c r="L18" i="106"/>
  <c r="B18" i="106"/>
  <c r="X17" i="106"/>
  <c r="T17" i="106"/>
  <c r="P17" i="106"/>
  <c r="H17" i="106"/>
  <c r="D17" i="106"/>
  <c r="X15" i="106"/>
  <c r="T15" i="106"/>
  <c r="P15" i="106"/>
  <c r="H15" i="106"/>
  <c r="D15" i="106"/>
  <c r="L15" i="106" s="1"/>
  <c r="N15" i="106" s="1"/>
  <c r="B15" i="106"/>
  <c r="T14" i="106"/>
  <c r="X14" i="106" s="1"/>
  <c r="Z14" i="106" s="1"/>
  <c r="P14" i="106"/>
  <c r="L14" i="106"/>
  <c r="N14" i="106" s="1"/>
  <c r="H14" i="106"/>
  <c r="D14" i="106"/>
  <c r="B14" i="106"/>
  <c r="T13" i="106"/>
  <c r="T12" i="106" s="1"/>
  <c r="V50" i="106" s="1"/>
  <c r="P13" i="106"/>
  <c r="P12" i="106" s="1"/>
  <c r="R50" i="106" s="1"/>
  <c r="H13" i="106"/>
  <c r="D13" i="106"/>
  <c r="B13" i="106"/>
  <c r="H12" i="106"/>
  <c r="J76" i="106" s="1"/>
  <c r="D6" i="106"/>
  <c r="D4" i="106"/>
  <c r="X54" i="105"/>
  <c r="Z54" i="105" s="1"/>
  <c r="L54" i="105"/>
  <c r="N54" i="105" s="1"/>
  <c r="Z50" i="105"/>
  <c r="T50" i="105"/>
  <c r="P50" i="105"/>
  <c r="X50" i="105" s="1"/>
  <c r="N50" i="105"/>
  <c r="H50" i="105"/>
  <c r="D50" i="105"/>
  <c r="L50" i="105" s="1"/>
  <c r="Z48" i="105"/>
  <c r="X48" i="105"/>
  <c r="N48" i="105"/>
  <c r="L48" i="105"/>
  <c r="B48" i="105"/>
  <c r="T47" i="105"/>
  <c r="P47" i="105"/>
  <c r="L47" i="105"/>
  <c r="J47" i="105"/>
  <c r="H47" i="105"/>
  <c r="N47" i="105" s="1"/>
  <c r="D47" i="105"/>
  <c r="B47" i="105"/>
  <c r="Z46" i="105"/>
  <c r="X46" i="105"/>
  <c r="N46" i="105"/>
  <c r="L46" i="105"/>
  <c r="B46" i="105"/>
  <c r="Z45" i="105"/>
  <c r="X45" i="105"/>
  <c r="N45" i="105"/>
  <c r="L45" i="105"/>
  <c r="B45" i="105"/>
  <c r="X44" i="105"/>
  <c r="Z44" i="105" s="1"/>
  <c r="N44" i="105"/>
  <c r="L44" i="105"/>
  <c r="B44" i="105"/>
  <c r="X43" i="105"/>
  <c r="Z43" i="105" s="1"/>
  <c r="N43" i="105"/>
  <c r="L43" i="105"/>
  <c r="B43" i="105"/>
  <c r="X42" i="105"/>
  <c r="Z42" i="105" s="1"/>
  <c r="T42" i="105"/>
  <c r="P42" i="105"/>
  <c r="N42" i="105"/>
  <c r="L42" i="105"/>
  <c r="H42" i="105"/>
  <c r="D42" i="105"/>
  <c r="B42" i="105"/>
  <c r="X41" i="105"/>
  <c r="Z41" i="105" s="1"/>
  <c r="L41" i="105"/>
  <c r="N41" i="105" s="1"/>
  <c r="J41" i="105"/>
  <c r="B41" i="105"/>
  <c r="T40" i="105"/>
  <c r="P40" i="105"/>
  <c r="H40" i="105"/>
  <c r="D40" i="105"/>
  <c r="B40" i="105"/>
  <c r="X39" i="105"/>
  <c r="Z39" i="105" s="1"/>
  <c r="L39" i="105"/>
  <c r="N39" i="105" s="1"/>
  <c r="B39" i="105"/>
  <c r="T38" i="105"/>
  <c r="P38" i="105"/>
  <c r="X38" i="105" s="1"/>
  <c r="Z38" i="105" s="1"/>
  <c r="N38" i="105"/>
  <c r="H38" i="105"/>
  <c r="D38" i="105"/>
  <c r="L38" i="105" s="1"/>
  <c r="B38" i="105"/>
  <c r="Z37" i="105"/>
  <c r="X37" i="105"/>
  <c r="L37" i="105"/>
  <c r="N37" i="105" s="1"/>
  <c r="B37" i="105"/>
  <c r="X36" i="105"/>
  <c r="Z36" i="105" s="1"/>
  <c r="T36" i="105"/>
  <c r="P36" i="105"/>
  <c r="L36" i="105"/>
  <c r="N36" i="105" s="1"/>
  <c r="H36" i="105"/>
  <c r="D36" i="105"/>
  <c r="B36" i="105"/>
  <c r="Z35" i="105"/>
  <c r="X35" i="105"/>
  <c r="L35" i="105"/>
  <c r="N35" i="105" s="1"/>
  <c r="B35" i="105"/>
  <c r="T34" i="105"/>
  <c r="P34" i="105"/>
  <c r="H34" i="105"/>
  <c r="D34" i="105"/>
  <c r="B34" i="105"/>
  <c r="X33" i="105"/>
  <c r="Z33" i="105" s="1"/>
  <c r="N33" i="105"/>
  <c r="L33" i="105"/>
  <c r="B33" i="105"/>
  <c r="T32" i="105"/>
  <c r="P32" i="105"/>
  <c r="X32" i="105" s="1"/>
  <c r="Z32" i="105" s="1"/>
  <c r="N32" i="105"/>
  <c r="H32" i="105"/>
  <c r="D32" i="105"/>
  <c r="L32" i="105" s="1"/>
  <c r="B32" i="105"/>
  <c r="Z31" i="105"/>
  <c r="X31" i="105"/>
  <c r="N31" i="105"/>
  <c r="L31" i="105"/>
  <c r="B31" i="105"/>
  <c r="Z30" i="105"/>
  <c r="X30" i="105"/>
  <c r="N30" i="105"/>
  <c r="L30" i="105"/>
  <c r="B30" i="105"/>
  <c r="Z29" i="105"/>
  <c r="X29" i="105"/>
  <c r="L29" i="105"/>
  <c r="N29" i="105" s="1"/>
  <c r="B29" i="105"/>
  <c r="T28" i="105"/>
  <c r="P28" i="105"/>
  <c r="L28" i="105"/>
  <c r="N28" i="105" s="1"/>
  <c r="H28" i="105"/>
  <c r="D28" i="105"/>
  <c r="B28" i="105"/>
  <c r="Z27" i="105"/>
  <c r="X27" i="105"/>
  <c r="L27" i="105"/>
  <c r="N27" i="105" s="1"/>
  <c r="B27" i="105"/>
  <c r="X26" i="105"/>
  <c r="Z26" i="105" s="1"/>
  <c r="L26" i="105"/>
  <c r="N26" i="105" s="1"/>
  <c r="B26" i="105"/>
  <c r="Z25" i="105"/>
  <c r="X25" i="105"/>
  <c r="L25" i="105"/>
  <c r="N25" i="105" s="1"/>
  <c r="B25" i="105"/>
  <c r="T24" i="105"/>
  <c r="P24" i="105"/>
  <c r="H24" i="105"/>
  <c r="D24" i="105"/>
  <c r="B24" i="105"/>
  <c r="T23" i="105"/>
  <c r="P23" i="105"/>
  <c r="L23" i="105"/>
  <c r="H23" i="105"/>
  <c r="D23" i="105"/>
  <c r="X19" i="105"/>
  <c r="Z19" i="105" s="1"/>
  <c r="L19" i="105"/>
  <c r="N19" i="105" s="1"/>
  <c r="B19" i="105"/>
  <c r="X18" i="105"/>
  <c r="Z18" i="105" s="1"/>
  <c r="L18" i="105"/>
  <c r="N18" i="105" s="1"/>
  <c r="B18" i="105"/>
  <c r="X17" i="105"/>
  <c r="T17" i="105"/>
  <c r="P17" i="105"/>
  <c r="L17" i="105"/>
  <c r="H17" i="105"/>
  <c r="D17" i="105"/>
  <c r="T15" i="105"/>
  <c r="P15" i="105"/>
  <c r="N15" i="105"/>
  <c r="H15" i="105"/>
  <c r="D15" i="105"/>
  <c r="L15" i="105" s="1"/>
  <c r="B15" i="105"/>
  <c r="Z14" i="105"/>
  <c r="T14" i="105"/>
  <c r="P14" i="105"/>
  <c r="X14" i="105" s="1"/>
  <c r="H14" i="105"/>
  <c r="D14" i="105"/>
  <c r="L14" i="105" s="1"/>
  <c r="B14" i="105"/>
  <c r="X13" i="105"/>
  <c r="T13" i="105"/>
  <c r="P13" i="105"/>
  <c r="H13" i="105"/>
  <c r="D13" i="105"/>
  <c r="B13" i="105"/>
  <c r="H12" i="105"/>
  <c r="J46" i="105" s="1"/>
  <c r="D6" i="105"/>
  <c r="D4" i="105"/>
  <c r="X86" i="104"/>
  <c r="Z86" i="104" s="1"/>
  <c r="N86" i="104"/>
  <c r="L86" i="104"/>
  <c r="Z82" i="104"/>
  <c r="X82" i="104"/>
  <c r="T82" i="104"/>
  <c r="P82" i="104"/>
  <c r="N82" i="104"/>
  <c r="L82" i="104"/>
  <c r="H82" i="104"/>
  <c r="D82" i="104"/>
  <c r="Z80" i="104"/>
  <c r="X80" i="104"/>
  <c r="L80" i="104"/>
  <c r="N80" i="104" s="1"/>
  <c r="B80" i="104"/>
  <c r="Z79" i="104"/>
  <c r="X79" i="104"/>
  <c r="N79" i="104"/>
  <c r="L79" i="104"/>
  <c r="B79" i="104"/>
  <c r="Z78" i="104"/>
  <c r="X78" i="104"/>
  <c r="T78" i="104"/>
  <c r="P78" i="104"/>
  <c r="L78" i="104"/>
  <c r="N78" i="104" s="1"/>
  <c r="H78" i="104"/>
  <c r="D78" i="104"/>
  <c r="B78" i="104"/>
  <c r="Z77" i="104"/>
  <c r="X77" i="104"/>
  <c r="L77" i="104"/>
  <c r="N77" i="104" s="1"/>
  <c r="B77" i="104"/>
  <c r="X76" i="104"/>
  <c r="T76" i="104"/>
  <c r="Z76" i="104" s="1"/>
  <c r="P76" i="104"/>
  <c r="H76" i="104"/>
  <c r="D76" i="104"/>
  <c r="B76" i="104"/>
  <c r="X75" i="104"/>
  <c r="Z75" i="104" s="1"/>
  <c r="L75" i="104"/>
  <c r="N75" i="104" s="1"/>
  <c r="B75" i="104"/>
  <c r="T74" i="104"/>
  <c r="P74" i="104"/>
  <c r="H74" i="104"/>
  <c r="D74" i="104"/>
  <c r="L74" i="104" s="1"/>
  <c r="N74" i="104" s="1"/>
  <c r="B74" i="104"/>
  <c r="Z73" i="104"/>
  <c r="X73" i="104"/>
  <c r="N73" i="104"/>
  <c r="L73" i="104"/>
  <c r="B73" i="104"/>
  <c r="Z72" i="104"/>
  <c r="X72" i="104"/>
  <c r="N72" i="104"/>
  <c r="L72" i="104"/>
  <c r="B72" i="104"/>
  <c r="Z71" i="104"/>
  <c r="X71" i="104"/>
  <c r="N71" i="104"/>
  <c r="L71" i="104"/>
  <c r="B71" i="104"/>
  <c r="Z70" i="104"/>
  <c r="X70" i="104"/>
  <c r="L70" i="104"/>
  <c r="N70" i="104" s="1"/>
  <c r="B70" i="104"/>
  <c r="Z69" i="104"/>
  <c r="X69" i="104"/>
  <c r="N69" i="104"/>
  <c r="L69" i="104"/>
  <c r="B69" i="104"/>
  <c r="Z68" i="104"/>
  <c r="X68" i="104"/>
  <c r="L68" i="104"/>
  <c r="N68" i="104" s="1"/>
  <c r="B68" i="104"/>
  <c r="X67" i="104"/>
  <c r="Z67" i="104" s="1"/>
  <c r="N67" i="104"/>
  <c r="L67" i="104"/>
  <c r="B67" i="104"/>
  <c r="Z66" i="104"/>
  <c r="X66" i="104"/>
  <c r="T66" i="104"/>
  <c r="P66" i="104"/>
  <c r="L66" i="104"/>
  <c r="N66" i="104" s="1"/>
  <c r="H66" i="104"/>
  <c r="D66" i="104"/>
  <c r="B66" i="104"/>
  <c r="Z65" i="104"/>
  <c r="X65" i="104"/>
  <c r="L65" i="104"/>
  <c r="N65" i="104" s="1"/>
  <c r="B65" i="104"/>
  <c r="X64" i="104"/>
  <c r="Z64" i="104" s="1"/>
  <c r="N64" i="104"/>
  <c r="L64" i="104"/>
  <c r="B64" i="104"/>
  <c r="Z63" i="104"/>
  <c r="X63" i="104"/>
  <c r="N63" i="104"/>
  <c r="L63" i="104"/>
  <c r="B63" i="104"/>
  <c r="T62" i="104"/>
  <c r="P62" i="104"/>
  <c r="L62" i="104"/>
  <c r="H62" i="104"/>
  <c r="N62" i="104" s="1"/>
  <c r="D62" i="104"/>
  <c r="B62" i="104"/>
  <c r="X61" i="104"/>
  <c r="Z61" i="104" s="1"/>
  <c r="N61" i="104"/>
  <c r="L61" i="104"/>
  <c r="B61" i="104"/>
  <c r="Z60" i="104"/>
  <c r="X60" i="104"/>
  <c r="L60" i="104"/>
  <c r="N60" i="104" s="1"/>
  <c r="B60" i="104"/>
  <c r="Z59" i="104"/>
  <c r="X59" i="104"/>
  <c r="N59" i="104"/>
  <c r="L59" i="104"/>
  <c r="B59" i="104"/>
  <c r="T58" i="104"/>
  <c r="P58" i="104"/>
  <c r="H58" i="104"/>
  <c r="D58" i="104"/>
  <c r="L58" i="104" s="1"/>
  <c r="N58" i="104" s="1"/>
  <c r="B58" i="104"/>
  <c r="Z57" i="104"/>
  <c r="X57" i="104"/>
  <c r="N57" i="104"/>
  <c r="L57" i="104"/>
  <c r="B57" i="104"/>
  <c r="X56" i="104"/>
  <c r="Z56" i="104" s="1"/>
  <c r="T56" i="104"/>
  <c r="P56" i="104"/>
  <c r="N56" i="104"/>
  <c r="L56" i="104"/>
  <c r="H56" i="104"/>
  <c r="D56" i="104"/>
  <c r="B56" i="104"/>
  <c r="Z55" i="104"/>
  <c r="X55" i="104"/>
  <c r="N55" i="104"/>
  <c r="L55" i="104"/>
  <c r="B55" i="104"/>
  <c r="T54" i="104"/>
  <c r="P54" i="104"/>
  <c r="L54" i="104"/>
  <c r="H54" i="104"/>
  <c r="N54" i="104" s="1"/>
  <c r="D54" i="104"/>
  <c r="B54" i="104"/>
  <c r="X53" i="104"/>
  <c r="Z53" i="104" s="1"/>
  <c r="N53" i="104"/>
  <c r="L53" i="104"/>
  <c r="B53" i="104"/>
  <c r="T52" i="104"/>
  <c r="Z52" i="104" s="1"/>
  <c r="P52" i="104"/>
  <c r="X52" i="104" s="1"/>
  <c r="H52" i="104"/>
  <c r="N52" i="104" s="1"/>
  <c r="D52" i="104"/>
  <c r="L52" i="104" s="1"/>
  <c r="B52" i="104"/>
  <c r="Z51" i="104"/>
  <c r="X51" i="104"/>
  <c r="N51" i="104"/>
  <c r="L51" i="104"/>
  <c r="B51" i="104"/>
  <c r="Z50" i="104"/>
  <c r="X50" i="104"/>
  <c r="T50" i="104"/>
  <c r="P50" i="104"/>
  <c r="N50" i="104"/>
  <c r="L50" i="104"/>
  <c r="H50" i="104"/>
  <c r="D50" i="104"/>
  <c r="B50" i="104"/>
  <c r="Z49" i="104"/>
  <c r="X49" i="104"/>
  <c r="L49" i="104"/>
  <c r="N49" i="104" s="1"/>
  <c r="B49" i="104"/>
  <c r="X48" i="104"/>
  <c r="T48" i="104"/>
  <c r="Z48" i="104" s="1"/>
  <c r="P48" i="104"/>
  <c r="H48" i="104"/>
  <c r="D48" i="104"/>
  <c r="B48" i="104"/>
  <c r="Z47" i="104"/>
  <c r="X47" i="104"/>
  <c r="N47" i="104"/>
  <c r="L47" i="104"/>
  <c r="B47" i="104"/>
  <c r="T46" i="104"/>
  <c r="P46" i="104"/>
  <c r="X46" i="104" s="1"/>
  <c r="H46" i="104"/>
  <c r="D46" i="104"/>
  <c r="L46" i="104" s="1"/>
  <c r="B46" i="104"/>
  <c r="Z45" i="104"/>
  <c r="X45" i="104"/>
  <c r="N45" i="104"/>
  <c r="L45" i="104"/>
  <c r="B45" i="104"/>
  <c r="X44" i="104"/>
  <c r="Z44" i="104" s="1"/>
  <c r="T44" i="104"/>
  <c r="P44" i="104"/>
  <c r="N44" i="104"/>
  <c r="L44" i="104"/>
  <c r="H44" i="104"/>
  <c r="D44" i="104"/>
  <c r="B44" i="104"/>
  <c r="Z43" i="104"/>
  <c r="X43" i="104"/>
  <c r="N43" i="104"/>
  <c r="L43" i="104"/>
  <c r="B43" i="104"/>
  <c r="T42" i="104"/>
  <c r="P42" i="104"/>
  <c r="X42" i="104" s="1"/>
  <c r="L42" i="104"/>
  <c r="H42" i="104"/>
  <c r="N42" i="104" s="1"/>
  <c r="D42" i="104"/>
  <c r="B42" i="104"/>
  <c r="X41" i="104"/>
  <c r="Z41" i="104" s="1"/>
  <c r="N41" i="104"/>
  <c r="L41" i="104"/>
  <c r="B41" i="104"/>
  <c r="X40" i="104"/>
  <c r="Z40" i="104" s="1"/>
  <c r="L40" i="104"/>
  <c r="N40" i="104" s="1"/>
  <c r="B40" i="104"/>
  <c r="Z39" i="104"/>
  <c r="X39" i="104"/>
  <c r="N39" i="104"/>
  <c r="L39" i="104"/>
  <c r="B39" i="104"/>
  <c r="X38" i="104"/>
  <c r="Z38" i="104" s="1"/>
  <c r="L38" i="104"/>
  <c r="N38" i="104" s="1"/>
  <c r="B38" i="104"/>
  <c r="X37" i="104"/>
  <c r="Z37" i="104" s="1"/>
  <c r="V37" i="104"/>
  <c r="N37" i="104"/>
  <c r="L37" i="104"/>
  <c r="B37" i="104"/>
  <c r="X36" i="104"/>
  <c r="Z36" i="104" s="1"/>
  <c r="N36" i="104"/>
  <c r="L36" i="104"/>
  <c r="B36" i="104"/>
  <c r="Z35" i="104"/>
  <c r="X35" i="104"/>
  <c r="T35" i="104"/>
  <c r="P35" i="104"/>
  <c r="L35" i="104"/>
  <c r="N35" i="104" s="1"/>
  <c r="H35" i="104"/>
  <c r="D35" i="104"/>
  <c r="B35" i="104"/>
  <c r="X34" i="104"/>
  <c r="Z34" i="104" s="1"/>
  <c r="L34" i="104"/>
  <c r="N34" i="104" s="1"/>
  <c r="B34" i="104"/>
  <c r="X33" i="104"/>
  <c r="Z33" i="104" s="1"/>
  <c r="N33" i="104"/>
  <c r="L33" i="104"/>
  <c r="B33" i="104"/>
  <c r="Z32" i="104"/>
  <c r="X32" i="104"/>
  <c r="L32" i="104"/>
  <c r="N32" i="104" s="1"/>
  <c r="B32" i="104"/>
  <c r="Z31" i="104"/>
  <c r="X31" i="104"/>
  <c r="N31" i="104"/>
  <c r="L31" i="104"/>
  <c r="B31" i="104"/>
  <c r="X30" i="104"/>
  <c r="Z30" i="104" s="1"/>
  <c r="L30" i="104"/>
  <c r="N30" i="104" s="1"/>
  <c r="B30" i="104"/>
  <c r="X29" i="104"/>
  <c r="Z29" i="104" s="1"/>
  <c r="N29" i="104"/>
  <c r="L29" i="104"/>
  <c r="B29" i="104"/>
  <c r="X28" i="104"/>
  <c r="Z28" i="104" s="1"/>
  <c r="L28" i="104"/>
  <c r="N28" i="104" s="1"/>
  <c r="B28" i="104"/>
  <c r="Z27" i="104"/>
  <c r="X27" i="104"/>
  <c r="N27" i="104"/>
  <c r="L27" i="104"/>
  <c r="B27" i="104"/>
  <c r="X26" i="104"/>
  <c r="Z26" i="104" s="1"/>
  <c r="L26" i="104"/>
  <c r="N26" i="104" s="1"/>
  <c r="B26" i="104"/>
  <c r="V25" i="104"/>
  <c r="T25" i="104"/>
  <c r="X25" i="104" s="1"/>
  <c r="P25" i="104"/>
  <c r="H25" i="104"/>
  <c r="D25" i="104"/>
  <c r="L25" i="104" s="1"/>
  <c r="B25" i="104"/>
  <c r="X24" i="104"/>
  <c r="T24" i="104"/>
  <c r="P24" i="104"/>
  <c r="H24" i="104"/>
  <c r="D24" i="104"/>
  <c r="L24" i="104" s="1"/>
  <c r="X20" i="104"/>
  <c r="Z20" i="104" s="1"/>
  <c r="L20" i="104"/>
  <c r="N20" i="104" s="1"/>
  <c r="B20" i="104"/>
  <c r="Z19" i="104"/>
  <c r="X19" i="104"/>
  <c r="N19" i="104"/>
  <c r="L19" i="104"/>
  <c r="B19" i="104"/>
  <c r="T18" i="104"/>
  <c r="P18" i="104"/>
  <c r="X18" i="104" s="1"/>
  <c r="H18" i="104"/>
  <c r="D18" i="104"/>
  <c r="T16" i="104"/>
  <c r="P16" i="104"/>
  <c r="X16" i="104" s="1"/>
  <c r="H16" i="104"/>
  <c r="N16" i="104" s="1"/>
  <c r="D16" i="104"/>
  <c r="B16" i="104"/>
  <c r="Z15" i="104"/>
  <c r="T15" i="104"/>
  <c r="X15" i="104" s="1"/>
  <c r="P15" i="104"/>
  <c r="L15" i="104"/>
  <c r="H15" i="104"/>
  <c r="D15" i="104"/>
  <c r="B15" i="104"/>
  <c r="T14" i="104"/>
  <c r="P14" i="104"/>
  <c r="X14" i="104" s="1"/>
  <c r="L14" i="104"/>
  <c r="N14" i="104" s="1"/>
  <c r="H14" i="104"/>
  <c r="D14" i="104"/>
  <c r="B14" i="104"/>
  <c r="T13" i="104"/>
  <c r="P13" i="104"/>
  <c r="X13" i="104" s="1"/>
  <c r="Z13" i="104" s="1"/>
  <c r="H13" i="104"/>
  <c r="D13" i="104"/>
  <c r="B13" i="104"/>
  <c r="T12" i="104"/>
  <c r="V61" i="104" s="1"/>
  <c r="P12" i="104"/>
  <c r="D6" i="104"/>
  <c r="D4" i="104"/>
  <c r="Z52" i="103"/>
  <c r="X52" i="103"/>
  <c r="N52" i="103"/>
  <c r="L52" i="103"/>
  <c r="J50" i="103"/>
  <c r="T48" i="103"/>
  <c r="Z48" i="103" s="1"/>
  <c r="P48" i="103"/>
  <c r="J48" i="103"/>
  <c r="H48" i="103"/>
  <c r="N48" i="103" s="1"/>
  <c r="D48" i="103"/>
  <c r="L48" i="103" s="1"/>
  <c r="X46" i="103"/>
  <c r="Z46" i="103" s="1"/>
  <c r="L46" i="103"/>
  <c r="N46" i="103" s="1"/>
  <c r="B46" i="103"/>
  <c r="Z45" i="103"/>
  <c r="T45" i="103"/>
  <c r="P45" i="103"/>
  <c r="X45" i="103" s="1"/>
  <c r="H45" i="103"/>
  <c r="D45" i="103"/>
  <c r="L45" i="103" s="1"/>
  <c r="N45" i="103" s="1"/>
  <c r="B45" i="103"/>
  <c r="X44" i="103"/>
  <c r="Z44" i="103" s="1"/>
  <c r="N44" i="103"/>
  <c r="L44" i="103"/>
  <c r="B44" i="103"/>
  <c r="X43" i="103"/>
  <c r="V43" i="103"/>
  <c r="T43" i="103"/>
  <c r="P43" i="103"/>
  <c r="N43" i="103"/>
  <c r="L43" i="103"/>
  <c r="J43" i="103"/>
  <c r="H43" i="103"/>
  <c r="D43" i="103"/>
  <c r="B43" i="103"/>
  <c r="Z42" i="103"/>
  <c r="X42" i="103"/>
  <c r="L42" i="103"/>
  <c r="N42" i="103" s="1"/>
  <c r="B42" i="103"/>
  <c r="T41" i="103"/>
  <c r="P41" i="103"/>
  <c r="X41" i="103" s="1"/>
  <c r="J41" i="103"/>
  <c r="H41" i="103"/>
  <c r="L41" i="103" s="1"/>
  <c r="N41" i="103" s="1"/>
  <c r="F41" i="103"/>
  <c r="D41" i="103"/>
  <c r="B41" i="103"/>
  <c r="Z40" i="103"/>
  <c r="X40" i="103"/>
  <c r="V40" i="103"/>
  <c r="N40" i="103"/>
  <c r="L40" i="103"/>
  <c r="F40" i="103"/>
  <c r="B40" i="103"/>
  <c r="Z39" i="103"/>
  <c r="X39" i="103"/>
  <c r="V39" i="103"/>
  <c r="N39" i="103"/>
  <c r="L39" i="103"/>
  <c r="J39" i="103"/>
  <c r="B39" i="103"/>
  <c r="T38" i="103"/>
  <c r="P38" i="103"/>
  <c r="X38" i="103" s="1"/>
  <c r="J38" i="103"/>
  <c r="H38" i="103"/>
  <c r="N38" i="103" s="1"/>
  <c r="D38" i="103"/>
  <c r="B38" i="103"/>
  <c r="Z37" i="103"/>
  <c r="X37" i="103"/>
  <c r="V37" i="103"/>
  <c r="N37" i="103"/>
  <c r="L37" i="103"/>
  <c r="F37" i="103"/>
  <c r="B37" i="103"/>
  <c r="T36" i="103"/>
  <c r="Z36" i="103" s="1"/>
  <c r="P36" i="103"/>
  <c r="N36" i="103"/>
  <c r="L36" i="103"/>
  <c r="H36" i="103"/>
  <c r="F36" i="103"/>
  <c r="D36" i="103"/>
  <c r="B36" i="103"/>
  <c r="Z35" i="103"/>
  <c r="X35" i="103"/>
  <c r="V35" i="103"/>
  <c r="N35" i="103"/>
  <c r="L35" i="103"/>
  <c r="J35" i="103"/>
  <c r="B35" i="103"/>
  <c r="T34" i="103"/>
  <c r="Z34" i="103" s="1"/>
  <c r="P34" i="103"/>
  <c r="X34" i="103" s="1"/>
  <c r="L34" i="103"/>
  <c r="H34" i="103"/>
  <c r="D34" i="103"/>
  <c r="B34" i="103"/>
  <c r="Z33" i="103"/>
  <c r="X33" i="103"/>
  <c r="V33" i="103"/>
  <c r="N33" i="103"/>
  <c r="L33" i="103"/>
  <c r="J33" i="103"/>
  <c r="B33" i="103"/>
  <c r="V32" i="103"/>
  <c r="T32" i="103"/>
  <c r="P32" i="103"/>
  <c r="J32" i="103"/>
  <c r="H32" i="103"/>
  <c r="N32" i="103" s="1"/>
  <c r="D32" i="103"/>
  <c r="L32" i="103" s="1"/>
  <c r="B32" i="103"/>
  <c r="X31" i="103"/>
  <c r="Z31" i="103" s="1"/>
  <c r="V31" i="103"/>
  <c r="N31" i="103"/>
  <c r="L31" i="103"/>
  <c r="J31" i="103"/>
  <c r="B31" i="103"/>
  <c r="T30" i="103"/>
  <c r="P30" i="103"/>
  <c r="X30" i="103" s="1"/>
  <c r="H30" i="103"/>
  <c r="N30" i="103" s="1"/>
  <c r="D30" i="103"/>
  <c r="B30" i="103"/>
  <c r="Z29" i="103"/>
  <c r="X29" i="103"/>
  <c r="N29" i="103"/>
  <c r="L29" i="103"/>
  <c r="J29" i="103"/>
  <c r="B29" i="103"/>
  <c r="X28" i="103"/>
  <c r="T28" i="103"/>
  <c r="P28" i="103"/>
  <c r="H28" i="103"/>
  <c r="N28" i="103" s="1"/>
  <c r="D28" i="103"/>
  <c r="L28" i="103" s="1"/>
  <c r="B28" i="103"/>
  <c r="Z27" i="103"/>
  <c r="X27" i="103"/>
  <c r="V27" i="103"/>
  <c r="L27" i="103"/>
  <c r="N27" i="103" s="1"/>
  <c r="J27" i="103"/>
  <c r="B27" i="103"/>
  <c r="X26" i="103"/>
  <c r="Z26" i="103" s="1"/>
  <c r="V26" i="103"/>
  <c r="L26" i="103"/>
  <c r="N26" i="103" s="1"/>
  <c r="B26" i="103"/>
  <c r="Z25" i="103"/>
  <c r="X25" i="103"/>
  <c r="V25" i="103"/>
  <c r="N25" i="103"/>
  <c r="L25" i="103"/>
  <c r="J25" i="103"/>
  <c r="B25" i="103"/>
  <c r="X24" i="103"/>
  <c r="Z24" i="103" s="1"/>
  <c r="V24" i="103"/>
  <c r="L24" i="103"/>
  <c r="N24" i="103" s="1"/>
  <c r="F24" i="103"/>
  <c r="B24" i="103"/>
  <c r="Z23" i="103"/>
  <c r="X23" i="103"/>
  <c r="V23" i="103"/>
  <c r="L23" i="103"/>
  <c r="N23" i="103" s="1"/>
  <c r="J23" i="103"/>
  <c r="B23" i="103"/>
  <c r="X22" i="103"/>
  <c r="Z22" i="103" s="1"/>
  <c r="V22" i="103"/>
  <c r="L22" i="103"/>
  <c r="N22" i="103" s="1"/>
  <c r="B22" i="103"/>
  <c r="Z21" i="103"/>
  <c r="X21" i="103"/>
  <c r="V21" i="103"/>
  <c r="N21" i="103"/>
  <c r="L21" i="103"/>
  <c r="J21" i="103"/>
  <c r="B21" i="103"/>
  <c r="X20" i="103"/>
  <c r="Z20" i="103" s="1"/>
  <c r="V20" i="103"/>
  <c r="L20" i="103"/>
  <c r="N20" i="103" s="1"/>
  <c r="J20" i="103"/>
  <c r="F20" i="103"/>
  <c r="B20" i="103"/>
  <c r="V19" i="103"/>
  <c r="T19" i="103"/>
  <c r="P19" i="103"/>
  <c r="X19" i="103" s="1"/>
  <c r="Z19" i="103" s="1"/>
  <c r="N19" i="103"/>
  <c r="J19" i="103"/>
  <c r="H19" i="103"/>
  <c r="D19" i="103"/>
  <c r="L19" i="103" s="1"/>
  <c r="B19" i="103"/>
  <c r="T18" i="103"/>
  <c r="P18" i="103"/>
  <c r="X18" i="103" s="1"/>
  <c r="J18" i="103"/>
  <c r="H18" i="103"/>
  <c r="F18" i="103"/>
  <c r="D18" i="103"/>
  <c r="T16" i="103"/>
  <c r="Z16" i="103" s="1"/>
  <c r="J16" i="103"/>
  <c r="H16" i="103"/>
  <c r="N16" i="103" s="1"/>
  <c r="F16" i="103"/>
  <c r="D16" i="103"/>
  <c r="X14" i="103"/>
  <c r="T14" i="103"/>
  <c r="Z14" i="103" s="1"/>
  <c r="P14" i="103"/>
  <c r="J14" i="103"/>
  <c r="H14" i="103"/>
  <c r="N14" i="103" s="1"/>
  <c r="F14" i="103"/>
  <c r="D14" i="103"/>
  <c r="T12" i="103"/>
  <c r="V44" i="103" s="1"/>
  <c r="P12" i="103"/>
  <c r="N12" i="103"/>
  <c r="L12" i="103"/>
  <c r="H12" i="103"/>
  <c r="J57" i="103" s="1"/>
  <c r="D12" i="103"/>
  <c r="F42" i="103" s="1"/>
  <c r="D6" i="103"/>
  <c r="D4" i="103"/>
  <c r="Z84" i="102"/>
  <c r="X84" i="102"/>
  <c r="L84" i="102"/>
  <c r="N84" i="102" s="1"/>
  <c r="T80" i="102"/>
  <c r="P80" i="102"/>
  <c r="X80" i="102" s="1"/>
  <c r="Z80" i="102" s="1"/>
  <c r="N80" i="102"/>
  <c r="L80" i="102"/>
  <c r="H80" i="102"/>
  <c r="D80" i="102"/>
  <c r="B80" i="102"/>
  <c r="T79" i="102"/>
  <c r="N79" i="102"/>
  <c r="L79" i="102"/>
  <c r="H79" i="102"/>
  <c r="D79" i="102"/>
  <c r="X77" i="102"/>
  <c r="Z77" i="102" s="1"/>
  <c r="N77" i="102"/>
  <c r="L77" i="102"/>
  <c r="B77" i="102"/>
  <c r="T76" i="102"/>
  <c r="P76" i="102"/>
  <c r="X76" i="102" s="1"/>
  <c r="H76" i="102"/>
  <c r="F76" i="102"/>
  <c r="D76" i="102"/>
  <c r="B76" i="102"/>
  <c r="X75" i="102"/>
  <c r="Z75" i="102" s="1"/>
  <c r="L75" i="102"/>
  <c r="N75" i="102" s="1"/>
  <c r="B75" i="102"/>
  <c r="Z74" i="102"/>
  <c r="T74" i="102"/>
  <c r="P74" i="102"/>
  <c r="X74" i="102" s="1"/>
  <c r="H74" i="102"/>
  <c r="D74" i="102"/>
  <c r="L74" i="102" s="1"/>
  <c r="B74" i="102"/>
  <c r="X73" i="102"/>
  <c r="Z73" i="102" s="1"/>
  <c r="L73" i="102"/>
  <c r="N73" i="102" s="1"/>
  <c r="B73" i="102"/>
  <c r="X72" i="102"/>
  <c r="Z72" i="102" s="1"/>
  <c r="T72" i="102"/>
  <c r="P72" i="102"/>
  <c r="H72" i="102"/>
  <c r="D72" i="102"/>
  <c r="L72" i="102" s="1"/>
  <c r="N72" i="102" s="1"/>
  <c r="B72" i="102"/>
  <c r="X71" i="102"/>
  <c r="Z71" i="102" s="1"/>
  <c r="L71" i="102"/>
  <c r="N71" i="102" s="1"/>
  <c r="B71" i="102"/>
  <c r="X70" i="102"/>
  <c r="Z70" i="102" s="1"/>
  <c r="N70" i="102"/>
  <c r="L70" i="102"/>
  <c r="B70" i="102"/>
  <c r="X69" i="102"/>
  <c r="Z69" i="102" s="1"/>
  <c r="N69" i="102"/>
  <c r="L69" i="102"/>
  <c r="F69" i="102"/>
  <c r="B69" i="102"/>
  <c r="Z68" i="102"/>
  <c r="X68" i="102"/>
  <c r="N68" i="102"/>
  <c r="L68" i="102"/>
  <c r="B68" i="102"/>
  <c r="Z67" i="102"/>
  <c r="X67" i="102"/>
  <c r="L67" i="102"/>
  <c r="N67" i="102" s="1"/>
  <c r="B67" i="102"/>
  <c r="X66" i="102"/>
  <c r="Z66" i="102" s="1"/>
  <c r="N66" i="102"/>
  <c r="L66" i="102"/>
  <c r="B66" i="102"/>
  <c r="Z65" i="102"/>
  <c r="X65" i="102"/>
  <c r="N65" i="102"/>
  <c r="L65" i="102"/>
  <c r="B65" i="102"/>
  <c r="T64" i="102"/>
  <c r="P64" i="102"/>
  <c r="X64" i="102" s="1"/>
  <c r="H64" i="102"/>
  <c r="D64" i="102"/>
  <c r="B64" i="102"/>
  <c r="X63" i="102"/>
  <c r="Z63" i="102" s="1"/>
  <c r="L63" i="102"/>
  <c r="N63" i="102" s="1"/>
  <c r="B63" i="102"/>
  <c r="Z62" i="102"/>
  <c r="X62" i="102"/>
  <c r="N62" i="102"/>
  <c r="L62" i="102"/>
  <c r="B62" i="102"/>
  <c r="T61" i="102"/>
  <c r="P61" i="102"/>
  <c r="H61" i="102"/>
  <c r="D61" i="102"/>
  <c r="B61" i="102"/>
  <c r="X60" i="102"/>
  <c r="Z60" i="102" s="1"/>
  <c r="N60" i="102"/>
  <c r="L60" i="102"/>
  <c r="B60" i="102"/>
  <c r="T59" i="102"/>
  <c r="Z59" i="102" s="1"/>
  <c r="P59" i="102"/>
  <c r="X59" i="102" s="1"/>
  <c r="H59" i="102"/>
  <c r="N59" i="102" s="1"/>
  <c r="D59" i="102"/>
  <c r="L59" i="102" s="1"/>
  <c r="B59" i="102"/>
  <c r="X58" i="102"/>
  <c r="Z58" i="102" s="1"/>
  <c r="N58" i="102"/>
  <c r="L58" i="102"/>
  <c r="B58" i="102"/>
  <c r="X57" i="102"/>
  <c r="Z57" i="102" s="1"/>
  <c r="N57" i="102"/>
  <c r="L57" i="102"/>
  <c r="B57" i="102"/>
  <c r="Z56" i="102"/>
  <c r="X56" i="102"/>
  <c r="N56" i="102"/>
  <c r="L56" i="102"/>
  <c r="B56" i="102"/>
  <c r="X55" i="102"/>
  <c r="Z55" i="102" s="1"/>
  <c r="T55" i="102"/>
  <c r="P55" i="102"/>
  <c r="N55" i="102"/>
  <c r="L55" i="102"/>
  <c r="H55" i="102"/>
  <c r="D55" i="102"/>
  <c r="B55" i="102"/>
  <c r="Z54" i="102"/>
  <c r="X54" i="102"/>
  <c r="N54" i="102"/>
  <c r="L54" i="102"/>
  <c r="B54" i="102"/>
  <c r="T53" i="102"/>
  <c r="P53" i="102"/>
  <c r="H53" i="102"/>
  <c r="D53" i="102"/>
  <c r="B53" i="102"/>
  <c r="Z52" i="102"/>
  <c r="X52" i="102"/>
  <c r="N52" i="102"/>
  <c r="L52" i="102"/>
  <c r="B52" i="102"/>
  <c r="T51" i="102"/>
  <c r="Z51" i="102" s="1"/>
  <c r="P51" i="102"/>
  <c r="X51" i="102" s="1"/>
  <c r="H51" i="102"/>
  <c r="N51" i="102" s="1"/>
  <c r="D51" i="102"/>
  <c r="L51" i="102" s="1"/>
  <c r="B51" i="102"/>
  <c r="Z50" i="102"/>
  <c r="X50" i="102"/>
  <c r="N50" i="102"/>
  <c r="L50" i="102"/>
  <c r="B50" i="102"/>
  <c r="Z49" i="102"/>
  <c r="X49" i="102"/>
  <c r="T49" i="102"/>
  <c r="P49" i="102"/>
  <c r="N49" i="102"/>
  <c r="L49" i="102"/>
  <c r="H49" i="102"/>
  <c r="D49" i="102"/>
  <c r="B49" i="102"/>
  <c r="Z48" i="102"/>
  <c r="X48" i="102"/>
  <c r="N48" i="102"/>
  <c r="L48" i="102"/>
  <c r="J48" i="102"/>
  <c r="B48" i="102"/>
  <c r="T47" i="102"/>
  <c r="Z47" i="102" s="1"/>
  <c r="P47" i="102"/>
  <c r="H47" i="102"/>
  <c r="D47" i="102"/>
  <c r="B47" i="102"/>
  <c r="Z46" i="102"/>
  <c r="X46" i="102"/>
  <c r="L46" i="102"/>
  <c r="N46" i="102" s="1"/>
  <c r="F46" i="102"/>
  <c r="B46" i="102"/>
  <c r="T45" i="102"/>
  <c r="P45" i="102"/>
  <c r="X45" i="102" s="1"/>
  <c r="H45" i="102"/>
  <c r="D45" i="102"/>
  <c r="L45" i="102" s="1"/>
  <c r="B45" i="102"/>
  <c r="Z44" i="102"/>
  <c r="X44" i="102"/>
  <c r="N44" i="102"/>
  <c r="L44" i="102"/>
  <c r="B44" i="102"/>
  <c r="Z43" i="102"/>
  <c r="X43" i="102"/>
  <c r="T43" i="102"/>
  <c r="P43" i="102"/>
  <c r="L43" i="102"/>
  <c r="N43" i="102" s="1"/>
  <c r="H43" i="102"/>
  <c r="D43" i="102"/>
  <c r="B43" i="102"/>
  <c r="Z42" i="102"/>
  <c r="X42" i="102"/>
  <c r="N42" i="102"/>
  <c r="L42" i="102"/>
  <c r="B42" i="102"/>
  <c r="T41" i="102"/>
  <c r="P41" i="102"/>
  <c r="H41" i="102"/>
  <c r="D41" i="102"/>
  <c r="B41" i="102"/>
  <c r="X40" i="102"/>
  <c r="Z40" i="102" s="1"/>
  <c r="N40" i="102"/>
  <c r="L40" i="102"/>
  <c r="B40" i="102"/>
  <c r="X39" i="102"/>
  <c r="Z39" i="102" s="1"/>
  <c r="L39" i="102"/>
  <c r="N39" i="102" s="1"/>
  <c r="B39" i="102"/>
  <c r="Z38" i="102"/>
  <c r="X38" i="102"/>
  <c r="N38" i="102"/>
  <c r="L38" i="102"/>
  <c r="B38" i="102"/>
  <c r="X37" i="102"/>
  <c r="Z37" i="102" s="1"/>
  <c r="L37" i="102"/>
  <c r="N37" i="102" s="1"/>
  <c r="B37" i="102"/>
  <c r="X36" i="102"/>
  <c r="Z36" i="102" s="1"/>
  <c r="N36" i="102"/>
  <c r="L36" i="102"/>
  <c r="B36" i="102"/>
  <c r="T35" i="102"/>
  <c r="Z35" i="102" s="1"/>
  <c r="P35" i="102"/>
  <c r="X35" i="102" s="1"/>
  <c r="H35" i="102"/>
  <c r="D35" i="102"/>
  <c r="L35" i="102" s="1"/>
  <c r="B35" i="102"/>
  <c r="X34" i="102"/>
  <c r="Z34" i="102" s="1"/>
  <c r="N34" i="102"/>
  <c r="L34" i="102"/>
  <c r="B34" i="102"/>
  <c r="X33" i="102"/>
  <c r="Z33" i="102" s="1"/>
  <c r="N33" i="102"/>
  <c r="L33" i="102"/>
  <c r="B33" i="102"/>
  <c r="Z32" i="102"/>
  <c r="X32" i="102"/>
  <c r="N32" i="102"/>
  <c r="L32" i="102"/>
  <c r="B32" i="102"/>
  <c r="X31" i="102"/>
  <c r="Z31" i="102" s="1"/>
  <c r="L31" i="102"/>
  <c r="N31" i="102" s="1"/>
  <c r="B31" i="102"/>
  <c r="X30" i="102"/>
  <c r="Z30" i="102" s="1"/>
  <c r="N30" i="102"/>
  <c r="L30" i="102"/>
  <c r="B30" i="102"/>
  <c r="X29" i="102"/>
  <c r="Z29" i="102" s="1"/>
  <c r="N29" i="102"/>
  <c r="L29" i="102"/>
  <c r="J29" i="102"/>
  <c r="B29" i="102"/>
  <c r="Z28" i="102"/>
  <c r="X28" i="102"/>
  <c r="N28" i="102"/>
  <c r="L28" i="102"/>
  <c r="B28" i="102"/>
  <c r="X27" i="102"/>
  <c r="Z27" i="102" s="1"/>
  <c r="L27" i="102"/>
  <c r="N27" i="102" s="1"/>
  <c r="B27" i="102"/>
  <c r="T26" i="102"/>
  <c r="P26" i="102"/>
  <c r="H26" i="102"/>
  <c r="D26" i="102"/>
  <c r="L26" i="102" s="1"/>
  <c r="B26" i="102"/>
  <c r="T25" i="102"/>
  <c r="P25" i="102"/>
  <c r="H25" i="102"/>
  <c r="D25" i="102"/>
  <c r="Z21" i="102"/>
  <c r="X21" i="102"/>
  <c r="L21" i="102"/>
  <c r="N21" i="102" s="1"/>
  <c r="B21" i="102"/>
  <c r="Z20" i="102"/>
  <c r="X20" i="102"/>
  <c r="L20" i="102"/>
  <c r="N20" i="102" s="1"/>
  <c r="B20" i="102"/>
  <c r="T19" i="102"/>
  <c r="P19" i="102"/>
  <c r="H19" i="102"/>
  <c r="D19" i="102"/>
  <c r="L19" i="102" s="1"/>
  <c r="T17" i="102"/>
  <c r="P17" i="102"/>
  <c r="X17" i="102" s="1"/>
  <c r="H17" i="102"/>
  <c r="N17" i="102" s="1"/>
  <c r="D17" i="102"/>
  <c r="L17" i="102" s="1"/>
  <c r="B17" i="102"/>
  <c r="Z16" i="102"/>
  <c r="T16" i="102"/>
  <c r="X16" i="102" s="1"/>
  <c r="P16" i="102"/>
  <c r="H16" i="102"/>
  <c r="D16" i="102"/>
  <c r="B16" i="102"/>
  <c r="T15" i="102"/>
  <c r="P15" i="102"/>
  <c r="H15" i="102"/>
  <c r="D15" i="102"/>
  <c r="L15" i="102" s="1"/>
  <c r="N15" i="102" s="1"/>
  <c r="B15" i="102"/>
  <c r="Z14" i="102"/>
  <c r="T14" i="102"/>
  <c r="P14" i="102"/>
  <c r="X14" i="102" s="1"/>
  <c r="L14" i="102"/>
  <c r="H14" i="102"/>
  <c r="D14" i="102"/>
  <c r="B14" i="102"/>
  <c r="T13" i="102"/>
  <c r="P13" i="102"/>
  <c r="H13" i="102"/>
  <c r="N13" i="102" s="1"/>
  <c r="D13" i="102"/>
  <c r="D12" i="102" s="1"/>
  <c r="F45" i="102" s="1"/>
  <c r="B13" i="102"/>
  <c r="H12" i="102"/>
  <c r="J65" i="102" s="1"/>
  <c r="D6" i="102"/>
  <c r="D4" i="102"/>
  <c r="X64" i="101"/>
  <c r="Z64" i="101" s="1"/>
  <c r="N64" i="101"/>
  <c r="L64" i="101"/>
  <c r="Z60" i="101"/>
  <c r="T60" i="101"/>
  <c r="T59" i="101" s="1"/>
  <c r="Z59" i="101" s="1"/>
  <c r="P60" i="101"/>
  <c r="N60" i="101"/>
  <c r="H60" i="101"/>
  <c r="D60" i="101"/>
  <c r="L60" i="101" s="1"/>
  <c r="B60" i="101"/>
  <c r="H59" i="101"/>
  <c r="N59" i="101" s="1"/>
  <c r="D59" i="101"/>
  <c r="L59" i="101" s="1"/>
  <c r="X57" i="101"/>
  <c r="Z57" i="101" s="1"/>
  <c r="L57" i="101"/>
  <c r="N57" i="101" s="1"/>
  <c r="B57" i="101"/>
  <c r="T56" i="101"/>
  <c r="P56" i="101"/>
  <c r="X56" i="101" s="1"/>
  <c r="Z56" i="101" s="1"/>
  <c r="L56" i="101"/>
  <c r="N56" i="101" s="1"/>
  <c r="H56" i="101"/>
  <c r="D56" i="101"/>
  <c r="B56" i="101"/>
  <c r="Z55" i="101"/>
  <c r="X55" i="101"/>
  <c r="N55" i="101"/>
  <c r="L55" i="101"/>
  <c r="B55" i="101"/>
  <c r="Z54" i="101"/>
  <c r="X54" i="101"/>
  <c r="N54" i="101"/>
  <c r="L54" i="101"/>
  <c r="B54" i="101"/>
  <c r="X53" i="101"/>
  <c r="Z53" i="101" s="1"/>
  <c r="N53" i="101"/>
  <c r="L53" i="101"/>
  <c r="B53" i="101"/>
  <c r="X52" i="101"/>
  <c r="Z52" i="101" s="1"/>
  <c r="N52" i="101"/>
  <c r="L52" i="101"/>
  <c r="B52" i="101"/>
  <c r="X51" i="101"/>
  <c r="Z51" i="101" s="1"/>
  <c r="N51" i="101"/>
  <c r="L51" i="101"/>
  <c r="B51" i="101"/>
  <c r="T50" i="101"/>
  <c r="P50" i="101"/>
  <c r="L50" i="101"/>
  <c r="H50" i="101"/>
  <c r="N50" i="101" s="1"/>
  <c r="D50" i="101"/>
  <c r="B50" i="101"/>
  <c r="Z49" i="101"/>
  <c r="X49" i="101"/>
  <c r="N49" i="101"/>
  <c r="L49" i="101"/>
  <c r="B49" i="101"/>
  <c r="Z48" i="101"/>
  <c r="T48" i="101"/>
  <c r="P48" i="101"/>
  <c r="X48" i="101" s="1"/>
  <c r="H48" i="101"/>
  <c r="N48" i="101" s="1"/>
  <c r="D48" i="101"/>
  <c r="B48" i="101"/>
  <c r="X47" i="101"/>
  <c r="Z47" i="101" s="1"/>
  <c r="N47" i="101"/>
  <c r="L47" i="101"/>
  <c r="B47" i="101"/>
  <c r="X46" i="101"/>
  <c r="Z46" i="101" s="1"/>
  <c r="V46" i="101"/>
  <c r="T46" i="101"/>
  <c r="P46" i="101"/>
  <c r="N46" i="101"/>
  <c r="H46" i="101"/>
  <c r="D46" i="101"/>
  <c r="L46" i="101" s="1"/>
  <c r="B46" i="101"/>
  <c r="Z45" i="101"/>
  <c r="X45" i="101"/>
  <c r="N45" i="101"/>
  <c r="L45" i="101"/>
  <c r="B45" i="101"/>
  <c r="X44" i="101"/>
  <c r="Z44" i="101" s="1"/>
  <c r="N44" i="101"/>
  <c r="L44" i="101"/>
  <c r="B44" i="101"/>
  <c r="Z43" i="101"/>
  <c r="X43" i="101"/>
  <c r="T43" i="101"/>
  <c r="P43" i="101"/>
  <c r="N43" i="101"/>
  <c r="L43" i="101"/>
  <c r="H43" i="101"/>
  <c r="D43" i="101"/>
  <c r="B43" i="101"/>
  <c r="Z42" i="101"/>
  <c r="X42" i="101"/>
  <c r="L42" i="101"/>
  <c r="N42" i="101" s="1"/>
  <c r="B42" i="101"/>
  <c r="X41" i="101"/>
  <c r="T41" i="101"/>
  <c r="P41" i="101"/>
  <c r="H41" i="101"/>
  <c r="D41" i="101"/>
  <c r="B41" i="101"/>
  <c r="Z40" i="101"/>
  <c r="X40" i="101"/>
  <c r="V40" i="101"/>
  <c r="N40" i="101"/>
  <c r="L40" i="101"/>
  <c r="B40" i="101"/>
  <c r="T39" i="101"/>
  <c r="Z39" i="101" s="1"/>
  <c r="P39" i="101"/>
  <c r="H39" i="101"/>
  <c r="N39" i="101" s="1"/>
  <c r="D39" i="101"/>
  <c r="L39" i="101" s="1"/>
  <c r="B39" i="101"/>
  <c r="Z38" i="101"/>
  <c r="X38" i="101"/>
  <c r="N38" i="101"/>
  <c r="L38" i="101"/>
  <c r="B38" i="101"/>
  <c r="T37" i="101"/>
  <c r="P37" i="101"/>
  <c r="N37" i="101"/>
  <c r="L37" i="101"/>
  <c r="H37" i="101"/>
  <c r="D37" i="101"/>
  <c r="B37" i="101"/>
  <c r="Z36" i="101"/>
  <c r="X36" i="101"/>
  <c r="N36" i="101"/>
  <c r="L36" i="101"/>
  <c r="B36" i="101"/>
  <c r="Z35" i="101"/>
  <c r="T35" i="101"/>
  <c r="P35" i="101"/>
  <c r="X35" i="101" s="1"/>
  <c r="L35" i="101"/>
  <c r="H35" i="101"/>
  <c r="N35" i="101" s="1"/>
  <c r="D35" i="101"/>
  <c r="B35" i="101"/>
  <c r="X34" i="101"/>
  <c r="Z34" i="101" s="1"/>
  <c r="V34" i="101"/>
  <c r="N34" i="101"/>
  <c r="L34" i="101"/>
  <c r="B34" i="101"/>
  <c r="T33" i="101"/>
  <c r="P33" i="101"/>
  <c r="X33" i="101" s="1"/>
  <c r="H33" i="101"/>
  <c r="F33" i="101"/>
  <c r="D33" i="101"/>
  <c r="B33" i="101"/>
  <c r="Z32" i="101"/>
  <c r="X32" i="101"/>
  <c r="N32" i="101"/>
  <c r="L32" i="101"/>
  <c r="B32" i="101"/>
  <c r="Z31" i="101"/>
  <c r="X31" i="101"/>
  <c r="L31" i="101"/>
  <c r="N31" i="101" s="1"/>
  <c r="B31" i="101"/>
  <c r="Z30" i="101"/>
  <c r="X30" i="101"/>
  <c r="N30" i="101"/>
  <c r="L30" i="101"/>
  <c r="F30" i="101"/>
  <c r="B30" i="101"/>
  <c r="Z29" i="101"/>
  <c r="X29" i="101"/>
  <c r="N29" i="101"/>
  <c r="L29" i="101"/>
  <c r="B29" i="101"/>
  <c r="Z28" i="101"/>
  <c r="X28" i="101"/>
  <c r="V28" i="101"/>
  <c r="N28" i="101"/>
  <c r="L28" i="101"/>
  <c r="B28" i="101"/>
  <c r="T27" i="101"/>
  <c r="P27" i="101"/>
  <c r="X27" i="101" s="1"/>
  <c r="Z27" i="101" s="1"/>
  <c r="L27" i="101"/>
  <c r="N27" i="101" s="1"/>
  <c r="H27" i="101"/>
  <c r="D27" i="101"/>
  <c r="B27" i="101"/>
  <c r="Z26" i="101"/>
  <c r="X26" i="101"/>
  <c r="L26" i="101"/>
  <c r="N26" i="101" s="1"/>
  <c r="B26" i="101"/>
  <c r="X25" i="101"/>
  <c r="Z25" i="101" s="1"/>
  <c r="V25" i="101"/>
  <c r="L25" i="101"/>
  <c r="N25" i="101" s="1"/>
  <c r="B25" i="101"/>
  <c r="Z24" i="101"/>
  <c r="X24" i="101"/>
  <c r="N24" i="101"/>
  <c r="L24" i="101"/>
  <c r="B24" i="101"/>
  <c r="X23" i="101"/>
  <c r="T23" i="101"/>
  <c r="Z23" i="101" s="1"/>
  <c r="P23" i="101"/>
  <c r="L23" i="101"/>
  <c r="H23" i="101"/>
  <c r="D23" i="101"/>
  <c r="B23" i="101"/>
  <c r="X22" i="101"/>
  <c r="Z22" i="101" s="1"/>
  <c r="T22" i="101"/>
  <c r="P22" i="101"/>
  <c r="L22" i="101"/>
  <c r="N22" i="101" s="1"/>
  <c r="H22" i="101"/>
  <c r="D22" i="101"/>
  <c r="T20" i="101"/>
  <c r="X18" i="101"/>
  <c r="Z18" i="101" s="1"/>
  <c r="V18" i="101"/>
  <c r="N18" i="101"/>
  <c r="L18" i="101"/>
  <c r="B18" i="101"/>
  <c r="X17" i="101"/>
  <c r="Z17" i="101" s="1"/>
  <c r="N17" i="101"/>
  <c r="L17" i="101"/>
  <c r="F17" i="101"/>
  <c r="B17" i="101"/>
  <c r="Z16" i="101"/>
  <c r="X16" i="101"/>
  <c r="T16" i="101"/>
  <c r="P16" i="101"/>
  <c r="H16" i="101"/>
  <c r="F16" i="101"/>
  <c r="D16" i="101"/>
  <c r="Z14" i="101"/>
  <c r="X14" i="101"/>
  <c r="T14" i="101"/>
  <c r="P14" i="101"/>
  <c r="N14" i="101"/>
  <c r="H14" i="101"/>
  <c r="H12" i="101" s="1"/>
  <c r="D14" i="101"/>
  <c r="L14" i="101" s="1"/>
  <c r="B14" i="101"/>
  <c r="X13" i="101"/>
  <c r="Z13" i="101" s="1"/>
  <c r="T13" i="101"/>
  <c r="P13" i="101"/>
  <c r="N13" i="101"/>
  <c r="H13" i="101"/>
  <c r="D13" i="101"/>
  <c r="L13" i="101" s="1"/>
  <c r="B13" i="101"/>
  <c r="T12" i="101"/>
  <c r="P12" i="101"/>
  <c r="N12" i="101"/>
  <c r="D12" i="101"/>
  <c r="D6" i="101"/>
  <c r="D4" i="101"/>
  <c r="J50" i="100"/>
  <c r="F50" i="100"/>
  <c r="J47" i="100"/>
  <c r="F47" i="100"/>
  <c r="Z45" i="100"/>
  <c r="X45" i="100"/>
  <c r="N45" i="100"/>
  <c r="L45" i="100"/>
  <c r="F45" i="100"/>
  <c r="T41" i="100"/>
  <c r="T40" i="100" s="1"/>
  <c r="P41" i="100"/>
  <c r="X41" i="100" s="1"/>
  <c r="Z41" i="100" s="1"/>
  <c r="H41" i="100"/>
  <c r="D41" i="100"/>
  <c r="B41" i="100"/>
  <c r="P40" i="100"/>
  <c r="H40" i="100"/>
  <c r="F40" i="100"/>
  <c r="X38" i="100"/>
  <c r="Z38" i="100" s="1"/>
  <c r="L38" i="100"/>
  <c r="N38" i="100" s="1"/>
  <c r="B38" i="100"/>
  <c r="X37" i="100"/>
  <c r="Z37" i="100" s="1"/>
  <c r="V37" i="100"/>
  <c r="T37" i="100"/>
  <c r="R37" i="100"/>
  <c r="P37" i="100"/>
  <c r="L37" i="100"/>
  <c r="N37" i="100" s="1"/>
  <c r="H37" i="100"/>
  <c r="D37" i="100"/>
  <c r="B37" i="100"/>
  <c r="Z36" i="100"/>
  <c r="X36" i="100"/>
  <c r="R36" i="100"/>
  <c r="N36" i="100"/>
  <c r="L36" i="100"/>
  <c r="F36" i="100"/>
  <c r="B36" i="100"/>
  <c r="T35" i="100"/>
  <c r="R35" i="100"/>
  <c r="P35" i="100"/>
  <c r="N35" i="100"/>
  <c r="H35" i="100"/>
  <c r="L35" i="100" s="1"/>
  <c r="F35" i="100"/>
  <c r="D35" i="100"/>
  <c r="B35" i="100"/>
  <c r="X34" i="100"/>
  <c r="Z34" i="100" s="1"/>
  <c r="V34" i="100"/>
  <c r="R34" i="100"/>
  <c r="L34" i="100"/>
  <c r="N34" i="100" s="1"/>
  <c r="B34" i="100"/>
  <c r="T33" i="100"/>
  <c r="P33" i="100"/>
  <c r="X33" i="100" s="1"/>
  <c r="Z33" i="100" s="1"/>
  <c r="J33" i="100"/>
  <c r="H33" i="100"/>
  <c r="D33" i="100"/>
  <c r="L33" i="100" s="1"/>
  <c r="N33" i="100" s="1"/>
  <c r="B33" i="100"/>
  <c r="Z32" i="100"/>
  <c r="X32" i="100"/>
  <c r="N32" i="100"/>
  <c r="L32" i="100"/>
  <c r="F32" i="100"/>
  <c r="B32" i="100"/>
  <c r="X31" i="100"/>
  <c r="T31" i="100"/>
  <c r="Z31" i="100" s="1"/>
  <c r="P31" i="100"/>
  <c r="N31" i="100"/>
  <c r="L31" i="100"/>
  <c r="J31" i="100"/>
  <c r="H31" i="100"/>
  <c r="F31" i="100"/>
  <c r="D31" i="100"/>
  <c r="B31" i="100"/>
  <c r="X30" i="100"/>
  <c r="Z30" i="100" s="1"/>
  <c r="L30" i="100"/>
  <c r="N30" i="100" s="1"/>
  <c r="J30" i="100"/>
  <c r="F30" i="100"/>
  <c r="B30" i="100"/>
  <c r="T29" i="100"/>
  <c r="X29" i="100" s="1"/>
  <c r="Z29" i="100" s="1"/>
  <c r="R29" i="100"/>
  <c r="P29" i="100"/>
  <c r="H29" i="100"/>
  <c r="F29" i="100"/>
  <c r="D29" i="100"/>
  <c r="B29" i="100"/>
  <c r="Z28" i="100"/>
  <c r="X28" i="100"/>
  <c r="R28" i="100"/>
  <c r="N28" i="100"/>
  <c r="L28" i="100"/>
  <c r="B28" i="100"/>
  <c r="Z27" i="100"/>
  <c r="X27" i="100"/>
  <c r="R27" i="100"/>
  <c r="L27" i="100"/>
  <c r="N27" i="100" s="1"/>
  <c r="J27" i="100"/>
  <c r="B27" i="100"/>
  <c r="X26" i="100"/>
  <c r="Z26" i="100" s="1"/>
  <c r="V26" i="100"/>
  <c r="R26" i="100"/>
  <c r="L26" i="100"/>
  <c r="N26" i="100" s="1"/>
  <c r="J26" i="100"/>
  <c r="B26" i="100"/>
  <c r="Z25" i="100"/>
  <c r="X25" i="100"/>
  <c r="L25" i="100"/>
  <c r="N25" i="100" s="1"/>
  <c r="J25" i="100"/>
  <c r="B25" i="100"/>
  <c r="Z24" i="100"/>
  <c r="X24" i="100"/>
  <c r="R24" i="100"/>
  <c r="L24" i="100"/>
  <c r="N24" i="100" s="1"/>
  <c r="F24" i="100"/>
  <c r="B24" i="100"/>
  <c r="Z23" i="100"/>
  <c r="X23" i="100"/>
  <c r="V23" i="100"/>
  <c r="R23" i="100"/>
  <c r="L23" i="100"/>
  <c r="N23" i="100" s="1"/>
  <c r="J23" i="100"/>
  <c r="B23" i="100"/>
  <c r="X22" i="100"/>
  <c r="Z22" i="100" s="1"/>
  <c r="V22" i="100"/>
  <c r="R22" i="100"/>
  <c r="L22" i="100"/>
  <c r="N22" i="100" s="1"/>
  <c r="J22" i="100"/>
  <c r="B22" i="100"/>
  <c r="Z21" i="100"/>
  <c r="X21" i="100"/>
  <c r="L21" i="100"/>
  <c r="N21" i="100" s="1"/>
  <c r="J21" i="100"/>
  <c r="B21" i="100"/>
  <c r="T20" i="100"/>
  <c r="Z20" i="100" s="1"/>
  <c r="P20" i="100"/>
  <c r="X20" i="100" s="1"/>
  <c r="J20" i="100"/>
  <c r="H20" i="100"/>
  <c r="D20" i="100"/>
  <c r="B20" i="100"/>
  <c r="V19" i="100"/>
  <c r="T19" i="100"/>
  <c r="Z19" i="100" s="1"/>
  <c r="P19" i="100"/>
  <c r="X19" i="100" s="1"/>
  <c r="L19" i="100"/>
  <c r="N19" i="100" s="1"/>
  <c r="J19" i="100"/>
  <c r="H19" i="100"/>
  <c r="F19" i="100"/>
  <c r="D19" i="100"/>
  <c r="V17" i="100"/>
  <c r="P17" i="100"/>
  <c r="P43" i="100" s="1"/>
  <c r="J17" i="100"/>
  <c r="F17" i="100"/>
  <c r="Z15" i="100"/>
  <c r="X15" i="100"/>
  <c r="V15" i="100"/>
  <c r="R15" i="100"/>
  <c r="N15" i="100"/>
  <c r="L15" i="100"/>
  <c r="J15" i="100"/>
  <c r="F15" i="100"/>
  <c r="B15" i="100"/>
  <c r="Z14" i="100"/>
  <c r="X14" i="100"/>
  <c r="T14" i="100"/>
  <c r="R14" i="100"/>
  <c r="P14" i="100"/>
  <c r="J14" i="100"/>
  <c r="H14" i="100"/>
  <c r="N14" i="100" s="1"/>
  <c r="F14" i="100"/>
  <c r="D14" i="100"/>
  <c r="X12" i="100"/>
  <c r="T12" i="100"/>
  <c r="V40" i="100" s="1"/>
  <c r="P12" i="100"/>
  <c r="R43" i="100" s="1"/>
  <c r="N12" i="100"/>
  <c r="L12" i="100"/>
  <c r="H12" i="100"/>
  <c r="J34" i="100" s="1"/>
  <c r="D12" i="100"/>
  <c r="F34" i="100" s="1"/>
  <c r="D6" i="100"/>
  <c r="D4" i="100"/>
  <c r="Z49" i="99"/>
  <c r="X49" i="99"/>
  <c r="N49" i="99"/>
  <c r="L49" i="99"/>
  <c r="T45" i="99"/>
  <c r="Z45" i="99" s="1"/>
  <c r="P45" i="99"/>
  <c r="X45" i="99" s="1"/>
  <c r="N45" i="99"/>
  <c r="L45" i="99"/>
  <c r="H45" i="99"/>
  <c r="D45" i="99"/>
  <c r="Z43" i="99"/>
  <c r="X43" i="99"/>
  <c r="N43" i="99"/>
  <c r="L43" i="99"/>
  <c r="B43" i="99"/>
  <c r="T42" i="99"/>
  <c r="Z42" i="99" s="1"/>
  <c r="P42" i="99"/>
  <c r="X42" i="99" s="1"/>
  <c r="N42" i="99"/>
  <c r="L42" i="99"/>
  <c r="J42" i="99"/>
  <c r="H42" i="99"/>
  <c r="D42" i="99"/>
  <c r="B42" i="99"/>
  <c r="Z41" i="99"/>
  <c r="X41" i="99"/>
  <c r="N41" i="99"/>
  <c r="L41" i="99"/>
  <c r="J41" i="99"/>
  <c r="B41" i="99"/>
  <c r="Z40" i="99"/>
  <c r="X40" i="99"/>
  <c r="N40" i="99"/>
  <c r="L40" i="99"/>
  <c r="B40" i="99"/>
  <c r="Z39" i="99"/>
  <c r="X39" i="99"/>
  <c r="T39" i="99"/>
  <c r="P39" i="99"/>
  <c r="N39" i="99"/>
  <c r="L39" i="99"/>
  <c r="H39" i="99"/>
  <c r="D39" i="99"/>
  <c r="B39" i="99"/>
  <c r="Z38" i="99"/>
  <c r="X38" i="99"/>
  <c r="N38" i="99"/>
  <c r="L38" i="99"/>
  <c r="B38" i="99"/>
  <c r="T37" i="99"/>
  <c r="Z37" i="99" s="1"/>
  <c r="P37" i="99"/>
  <c r="H37" i="99"/>
  <c r="N37" i="99" s="1"/>
  <c r="D37" i="99"/>
  <c r="B37" i="99"/>
  <c r="Z36" i="99"/>
  <c r="X36" i="99"/>
  <c r="N36" i="99"/>
  <c r="L36" i="99"/>
  <c r="B36" i="99"/>
  <c r="T35" i="99"/>
  <c r="Z35" i="99" s="1"/>
  <c r="P35" i="99"/>
  <c r="X35" i="99" s="1"/>
  <c r="L35" i="99"/>
  <c r="H35" i="99"/>
  <c r="N35" i="99" s="1"/>
  <c r="D35" i="99"/>
  <c r="B35" i="99"/>
  <c r="Z34" i="99"/>
  <c r="X34" i="99"/>
  <c r="R34" i="99"/>
  <c r="N34" i="99"/>
  <c r="L34" i="99"/>
  <c r="J34" i="99"/>
  <c r="B34" i="99"/>
  <c r="Z33" i="99"/>
  <c r="X33" i="99"/>
  <c r="N33" i="99"/>
  <c r="L33" i="99"/>
  <c r="J33" i="99"/>
  <c r="F33" i="99"/>
  <c r="B33" i="99"/>
  <c r="Z32" i="99"/>
  <c r="X32" i="99"/>
  <c r="N32" i="99"/>
  <c r="L32" i="99"/>
  <c r="B32" i="99"/>
  <c r="Z31" i="99"/>
  <c r="X31" i="99"/>
  <c r="N31" i="99"/>
  <c r="L31" i="99"/>
  <c r="B31" i="99"/>
  <c r="T30" i="99"/>
  <c r="P30" i="99"/>
  <c r="N30" i="99"/>
  <c r="L30" i="99"/>
  <c r="H30" i="99"/>
  <c r="D30" i="99"/>
  <c r="B30" i="99"/>
  <c r="Z29" i="99"/>
  <c r="X29" i="99"/>
  <c r="R29" i="99"/>
  <c r="N29" i="99"/>
  <c r="L29" i="99"/>
  <c r="B29" i="99"/>
  <c r="Z28" i="99"/>
  <c r="X28" i="99"/>
  <c r="N28" i="99"/>
  <c r="L28" i="99"/>
  <c r="J28" i="99"/>
  <c r="B28" i="99"/>
  <c r="Z27" i="99"/>
  <c r="X27" i="99"/>
  <c r="N27" i="99"/>
  <c r="L27" i="99"/>
  <c r="J27" i="99"/>
  <c r="B27" i="99"/>
  <c r="Z26" i="99"/>
  <c r="X26" i="99"/>
  <c r="N26" i="99"/>
  <c r="L26" i="99"/>
  <c r="J26" i="99"/>
  <c r="B26" i="99"/>
  <c r="Z25" i="99"/>
  <c r="X25" i="99"/>
  <c r="V25" i="99"/>
  <c r="R25" i="99"/>
  <c r="N25" i="99"/>
  <c r="L25" i="99"/>
  <c r="B25" i="99"/>
  <c r="Z24" i="99"/>
  <c r="X24" i="99"/>
  <c r="N24" i="99"/>
  <c r="L24" i="99"/>
  <c r="J24" i="99"/>
  <c r="B24" i="99"/>
  <c r="Z23" i="99"/>
  <c r="X23" i="99"/>
  <c r="N23" i="99"/>
  <c r="L23" i="99"/>
  <c r="J23" i="99"/>
  <c r="B23" i="99"/>
  <c r="Z22" i="99"/>
  <c r="T22" i="99"/>
  <c r="P22" i="99"/>
  <c r="X22" i="99" s="1"/>
  <c r="H22" i="99"/>
  <c r="N22" i="99" s="1"/>
  <c r="D22" i="99"/>
  <c r="L22" i="99" s="1"/>
  <c r="B22" i="99"/>
  <c r="T21" i="99"/>
  <c r="Z21" i="99" s="1"/>
  <c r="P21" i="99"/>
  <c r="X21" i="99" s="1"/>
  <c r="J21" i="99"/>
  <c r="H21" i="99"/>
  <c r="N21" i="99" s="1"/>
  <c r="F21" i="99"/>
  <c r="D21" i="99"/>
  <c r="L21" i="99" s="1"/>
  <c r="J19" i="99"/>
  <c r="Z17" i="99"/>
  <c r="X17" i="99"/>
  <c r="N17" i="99"/>
  <c r="L17" i="99"/>
  <c r="B17" i="99"/>
  <c r="Z16" i="99"/>
  <c r="X16" i="99"/>
  <c r="V16" i="99"/>
  <c r="T16" i="99"/>
  <c r="P16" i="99"/>
  <c r="N16" i="99"/>
  <c r="J16" i="99"/>
  <c r="H16" i="99"/>
  <c r="D16" i="99"/>
  <c r="L16" i="99" s="1"/>
  <c r="X14" i="99"/>
  <c r="T14" i="99"/>
  <c r="Z14" i="99" s="1"/>
  <c r="P14" i="99"/>
  <c r="N14" i="99"/>
  <c r="L14" i="99"/>
  <c r="H14" i="99"/>
  <c r="D14" i="99"/>
  <c r="B14" i="99"/>
  <c r="T13" i="99"/>
  <c r="T12" i="99" s="1"/>
  <c r="V29" i="99" s="1"/>
  <c r="P13" i="99"/>
  <c r="P12" i="99" s="1"/>
  <c r="R45" i="99" s="1"/>
  <c r="N13" i="99"/>
  <c r="L13" i="99"/>
  <c r="H13" i="99"/>
  <c r="D13" i="99"/>
  <c r="B13" i="99"/>
  <c r="H12" i="99"/>
  <c r="J47" i="99" s="1"/>
  <c r="D12" i="99"/>
  <c r="D6" i="99"/>
  <c r="D4" i="99"/>
  <c r="Z86" i="98"/>
  <c r="X86" i="98"/>
  <c r="N86" i="98"/>
  <c r="L86" i="98"/>
  <c r="X82" i="98"/>
  <c r="Z82" i="98" s="1"/>
  <c r="T82" i="98"/>
  <c r="P82" i="98"/>
  <c r="P81" i="98" s="1"/>
  <c r="X81" i="98" s="1"/>
  <c r="Z81" i="98" s="1"/>
  <c r="H82" i="98"/>
  <c r="N82" i="98" s="1"/>
  <c r="D82" i="98"/>
  <c r="L82" i="98" s="1"/>
  <c r="B82" i="98"/>
  <c r="T81" i="98"/>
  <c r="X79" i="98"/>
  <c r="Z79" i="98" s="1"/>
  <c r="N79" i="98"/>
  <c r="L79" i="98"/>
  <c r="B79" i="98"/>
  <c r="X78" i="98"/>
  <c r="T78" i="98"/>
  <c r="P78" i="98"/>
  <c r="N78" i="98"/>
  <c r="L78" i="98"/>
  <c r="H78" i="98"/>
  <c r="D78" i="98"/>
  <c r="B78" i="98"/>
  <c r="Z77" i="98"/>
  <c r="X77" i="98"/>
  <c r="L77" i="98"/>
  <c r="N77" i="98" s="1"/>
  <c r="B77" i="98"/>
  <c r="T76" i="98"/>
  <c r="P76" i="98"/>
  <c r="N76" i="98"/>
  <c r="H76" i="98"/>
  <c r="D76" i="98"/>
  <c r="L76" i="98" s="1"/>
  <c r="B76" i="98"/>
  <c r="Z75" i="98"/>
  <c r="X75" i="98"/>
  <c r="N75" i="98"/>
  <c r="L75" i="98"/>
  <c r="B75" i="98"/>
  <c r="X74" i="98"/>
  <c r="Z74" i="98" s="1"/>
  <c r="N74" i="98"/>
  <c r="L74" i="98"/>
  <c r="F74" i="98"/>
  <c r="B74" i="98"/>
  <c r="Z73" i="98"/>
  <c r="X73" i="98"/>
  <c r="N73" i="98"/>
  <c r="L73" i="98"/>
  <c r="B73" i="98"/>
  <c r="X72" i="98"/>
  <c r="Z72" i="98" s="1"/>
  <c r="N72" i="98"/>
  <c r="L72" i="98"/>
  <c r="B72" i="98"/>
  <c r="Z71" i="98"/>
  <c r="X71" i="98"/>
  <c r="N71" i="98"/>
  <c r="L71" i="98"/>
  <c r="B71" i="98"/>
  <c r="X70" i="98"/>
  <c r="Z70" i="98" s="1"/>
  <c r="N70" i="98"/>
  <c r="L70" i="98"/>
  <c r="B70" i="98"/>
  <c r="X69" i="98"/>
  <c r="Z69" i="98" s="1"/>
  <c r="N69" i="98"/>
  <c r="L69" i="98"/>
  <c r="B69" i="98"/>
  <c r="X68" i="98"/>
  <c r="Z68" i="98" s="1"/>
  <c r="T68" i="98"/>
  <c r="P68" i="98"/>
  <c r="H68" i="98"/>
  <c r="D68" i="98"/>
  <c r="L68" i="98" s="1"/>
  <c r="B68" i="98"/>
  <c r="Z67" i="98"/>
  <c r="X67" i="98"/>
  <c r="N67" i="98"/>
  <c r="L67" i="98"/>
  <c r="B67" i="98"/>
  <c r="Z66" i="98"/>
  <c r="X66" i="98"/>
  <c r="N66" i="98"/>
  <c r="L66" i="98"/>
  <c r="B66" i="98"/>
  <c r="X65" i="98"/>
  <c r="Z65" i="98" s="1"/>
  <c r="T65" i="98"/>
  <c r="P65" i="98"/>
  <c r="L65" i="98"/>
  <c r="N65" i="98" s="1"/>
  <c r="H65" i="98"/>
  <c r="D65" i="98"/>
  <c r="B65" i="98"/>
  <c r="Z64" i="98"/>
  <c r="X64" i="98"/>
  <c r="L64" i="98"/>
  <c r="N64" i="98" s="1"/>
  <c r="B64" i="98"/>
  <c r="Z63" i="98"/>
  <c r="X63" i="98"/>
  <c r="N63" i="98"/>
  <c r="L63" i="98"/>
  <c r="B63" i="98"/>
  <c r="Z62" i="98"/>
  <c r="X62" i="98"/>
  <c r="L62" i="98"/>
  <c r="N62" i="98" s="1"/>
  <c r="B62" i="98"/>
  <c r="T61" i="98"/>
  <c r="Z61" i="98" s="1"/>
  <c r="P61" i="98"/>
  <c r="X61" i="98" s="1"/>
  <c r="H61" i="98"/>
  <c r="D61" i="98"/>
  <c r="B61" i="98"/>
  <c r="X60" i="98"/>
  <c r="Z60" i="98" s="1"/>
  <c r="N60" i="98"/>
  <c r="L60" i="98"/>
  <c r="B60" i="98"/>
  <c r="Z59" i="98"/>
  <c r="X59" i="98"/>
  <c r="N59" i="98"/>
  <c r="L59" i="98"/>
  <c r="B59" i="98"/>
  <c r="Z58" i="98"/>
  <c r="X58" i="98"/>
  <c r="N58" i="98"/>
  <c r="L58" i="98"/>
  <c r="B58" i="98"/>
  <c r="X57" i="98"/>
  <c r="T57" i="98"/>
  <c r="Z57" i="98" s="1"/>
  <c r="P57" i="98"/>
  <c r="H57" i="98"/>
  <c r="D57" i="98"/>
  <c r="L57" i="98" s="1"/>
  <c r="N57" i="98" s="1"/>
  <c r="B57" i="98"/>
  <c r="Z56" i="98"/>
  <c r="X56" i="98"/>
  <c r="N56" i="98"/>
  <c r="L56" i="98"/>
  <c r="B56" i="98"/>
  <c r="X55" i="98"/>
  <c r="Z55" i="98" s="1"/>
  <c r="N55" i="98"/>
  <c r="L55" i="98"/>
  <c r="F55" i="98"/>
  <c r="B55" i="98"/>
  <c r="X54" i="98"/>
  <c r="T54" i="98"/>
  <c r="P54" i="98"/>
  <c r="N54" i="98"/>
  <c r="L54" i="98"/>
  <c r="H54" i="98"/>
  <c r="D54" i="98"/>
  <c r="B54" i="98"/>
  <c r="Z53" i="98"/>
  <c r="X53" i="98"/>
  <c r="N53" i="98"/>
  <c r="L53" i="98"/>
  <c r="B53" i="98"/>
  <c r="T52" i="98"/>
  <c r="Z52" i="98" s="1"/>
  <c r="P52" i="98"/>
  <c r="N52" i="98"/>
  <c r="H52" i="98"/>
  <c r="D52" i="98"/>
  <c r="L52" i="98" s="1"/>
  <c r="B52" i="98"/>
  <c r="Z51" i="98"/>
  <c r="X51" i="98"/>
  <c r="N51" i="98"/>
  <c r="L51" i="98"/>
  <c r="B51" i="98"/>
  <c r="T50" i="98"/>
  <c r="P50" i="98"/>
  <c r="X50" i="98" s="1"/>
  <c r="L50" i="98"/>
  <c r="N50" i="98" s="1"/>
  <c r="H50" i="98"/>
  <c r="D50" i="98"/>
  <c r="B50" i="98"/>
  <c r="X49" i="98"/>
  <c r="Z49" i="98" s="1"/>
  <c r="N49" i="98"/>
  <c r="L49" i="98"/>
  <c r="F49" i="98"/>
  <c r="B49" i="98"/>
  <c r="Z48" i="98"/>
  <c r="X48" i="98"/>
  <c r="T48" i="98"/>
  <c r="P48" i="98"/>
  <c r="L48" i="98"/>
  <c r="H48" i="98"/>
  <c r="N48" i="98" s="1"/>
  <c r="D48" i="98"/>
  <c r="B48" i="98"/>
  <c r="Z47" i="98"/>
  <c r="X47" i="98"/>
  <c r="N47" i="98"/>
  <c r="L47" i="98"/>
  <c r="B47" i="98"/>
  <c r="Z46" i="98"/>
  <c r="X46" i="98"/>
  <c r="L46" i="98"/>
  <c r="N46" i="98" s="1"/>
  <c r="B46" i="98"/>
  <c r="T45" i="98"/>
  <c r="P45" i="98"/>
  <c r="H45" i="98"/>
  <c r="L45" i="98" s="1"/>
  <c r="D45" i="98"/>
  <c r="B45" i="98"/>
  <c r="X44" i="98"/>
  <c r="Z44" i="98" s="1"/>
  <c r="N44" i="98"/>
  <c r="L44" i="98"/>
  <c r="B44" i="98"/>
  <c r="T43" i="98"/>
  <c r="P43" i="98"/>
  <c r="X43" i="98" s="1"/>
  <c r="Z43" i="98" s="1"/>
  <c r="L43" i="98"/>
  <c r="H43" i="98"/>
  <c r="D43" i="98"/>
  <c r="B43" i="98"/>
  <c r="X42" i="98"/>
  <c r="Z42" i="98" s="1"/>
  <c r="N42" i="98"/>
  <c r="L42" i="98"/>
  <c r="B42" i="98"/>
  <c r="X41" i="98"/>
  <c r="Z41" i="98" s="1"/>
  <c r="T41" i="98"/>
  <c r="P41" i="98"/>
  <c r="H41" i="98"/>
  <c r="L41" i="98" s="1"/>
  <c r="D41" i="98"/>
  <c r="B41" i="98"/>
  <c r="Z40" i="98"/>
  <c r="X40" i="98"/>
  <c r="L40" i="98"/>
  <c r="N40" i="98" s="1"/>
  <c r="B40" i="98"/>
  <c r="T39" i="98"/>
  <c r="P39" i="98"/>
  <c r="N39" i="98"/>
  <c r="H39" i="98"/>
  <c r="D39" i="98"/>
  <c r="L39" i="98" s="1"/>
  <c r="B39" i="98"/>
  <c r="X38" i="98"/>
  <c r="Z38" i="98" s="1"/>
  <c r="L38" i="98"/>
  <c r="N38" i="98" s="1"/>
  <c r="B38" i="98"/>
  <c r="X37" i="98"/>
  <c r="Z37" i="98" s="1"/>
  <c r="N37" i="98"/>
  <c r="L37" i="98"/>
  <c r="B37" i="98"/>
  <c r="Z36" i="98"/>
  <c r="X36" i="98"/>
  <c r="N36" i="98"/>
  <c r="L36" i="98"/>
  <c r="B36" i="98"/>
  <c r="Z35" i="98"/>
  <c r="X35" i="98"/>
  <c r="N35" i="98"/>
  <c r="L35" i="98"/>
  <c r="B35" i="98"/>
  <c r="X34" i="98"/>
  <c r="Z34" i="98" s="1"/>
  <c r="L34" i="98"/>
  <c r="N34" i="98" s="1"/>
  <c r="B34" i="98"/>
  <c r="X33" i="98"/>
  <c r="Z33" i="98" s="1"/>
  <c r="N33" i="98"/>
  <c r="L33" i="98"/>
  <c r="B33" i="98"/>
  <c r="X32" i="98"/>
  <c r="Z32" i="98" s="1"/>
  <c r="T32" i="98"/>
  <c r="P32" i="98"/>
  <c r="L32" i="98"/>
  <c r="H32" i="98"/>
  <c r="D32" i="98"/>
  <c r="B32" i="98"/>
  <c r="X31" i="98"/>
  <c r="Z31" i="98" s="1"/>
  <c r="N31" i="98"/>
  <c r="L31" i="98"/>
  <c r="B31" i="98"/>
  <c r="X30" i="98"/>
  <c r="Z30" i="98" s="1"/>
  <c r="N30" i="98"/>
  <c r="L30" i="98"/>
  <c r="B30" i="98"/>
  <c r="X29" i="98"/>
  <c r="Z29" i="98" s="1"/>
  <c r="L29" i="98"/>
  <c r="N29" i="98" s="1"/>
  <c r="B29" i="98"/>
  <c r="X28" i="98"/>
  <c r="Z28" i="98" s="1"/>
  <c r="L28" i="98"/>
  <c r="N28" i="98" s="1"/>
  <c r="B28" i="98"/>
  <c r="Z27" i="98"/>
  <c r="X27" i="98"/>
  <c r="N27" i="98"/>
  <c r="L27" i="98"/>
  <c r="B27" i="98"/>
  <c r="X26" i="98"/>
  <c r="Z26" i="98" s="1"/>
  <c r="N26" i="98"/>
  <c r="L26" i="98"/>
  <c r="J26" i="98"/>
  <c r="B26" i="98"/>
  <c r="Z25" i="98"/>
  <c r="X25" i="98"/>
  <c r="N25" i="98"/>
  <c r="L25" i="98"/>
  <c r="B25" i="98"/>
  <c r="X24" i="98"/>
  <c r="Z24" i="98" s="1"/>
  <c r="N24" i="98"/>
  <c r="L24" i="98"/>
  <c r="B24" i="98"/>
  <c r="T23" i="98"/>
  <c r="Z23" i="98" s="1"/>
  <c r="P23" i="98"/>
  <c r="X23" i="98" s="1"/>
  <c r="H23" i="98"/>
  <c r="D23" i="98"/>
  <c r="L23" i="98" s="1"/>
  <c r="N23" i="98" s="1"/>
  <c r="B23" i="98"/>
  <c r="T22" i="98"/>
  <c r="P22" i="98"/>
  <c r="X22" i="98" s="1"/>
  <c r="H22" i="98"/>
  <c r="D22" i="98"/>
  <c r="L22" i="98" s="1"/>
  <c r="N22" i="98" s="1"/>
  <c r="Z18" i="98"/>
  <c r="X18" i="98"/>
  <c r="L18" i="98"/>
  <c r="N18" i="98" s="1"/>
  <c r="B18" i="98"/>
  <c r="X17" i="98"/>
  <c r="Z17" i="98" s="1"/>
  <c r="L17" i="98"/>
  <c r="N17" i="98" s="1"/>
  <c r="B17" i="98"/>
  <c r="Z16" i="98"/>
  <c r="X16" i="98"/>
  <c r="T16" i="98"/>
  <c r="P16" i="98"/>
  <c r="H16" i="98"/>
  <c r="D16" i="98"/>
  <c r="L16" i="98" s="1"/>
  <c r="N16" i="98" s="1"/>
  <c r="T14" i="98"/>
  <c r="X14" i="98" s="1"/>
  <c r="Z14" i="98" s="1"/>
  <c r="P14" i="98"/>
  <c r="H14" i="98"/>
  <c r="D14" i="98"/>
  <c r="B14" i="98"/>
  <c r="T13" i="98"/>
  <c r="P13" i="98"/>
  <c r="L13" i="98"/>
  <c r="N13" i="98" s="1"/>
  <c r="H13" i="98"/>
  <c r="D13" i="98"/>
  <c r="B13" i="98"/>
  <c r="H12" i="98"/>
  <c r="J32" i="98" s="1"/>
  <c r="D12" i="98"/>
  <c r="F29" i="98" s="1"/>
  <c r="D6" i="98"/>
  <c r="D4" i="98"/>
  <c r="X91" i="96"/>
  <c r="Z91" i="96" s="1"/>
  <c r="N91" i="96"/>
  <c r="L91" i="96"/>
  <c r="Z87" i="96"/>
  <c r="T87" i="96"/>
  <c r="T86" i="96" s="1"/>
  <c r="Z86" i="96" s="1"/>
  <c r="P87" i="96"/>
  <c r="X87" i="96" s="1"/>
  <c r="N87" i="96"/>
  <c r="H87" i="96"/>
  <c r="H86" i="96" s="1"/>
  <c r="N86" i="96" s="1"/>
  <c r="D87" i="96"/>
  <c r="L87" i="96" s="1"/>
  <c r="B87" i="96"/>
  <c r="D86" i="96"/>
  <c r="L86" i="96" s="1"/>
  <c r="X84" i="96"/>
  <c r="Z84" i="96" s="1"/>
  <c r="L84" i="96"/>
  <c r="N84" i="96" s="1"/>
  <c r="B84" i="96"/>
  <c r="X83" i="96"/>
  <c r="Z83" i="96" s="1"/>
  <c r="T83" i="96"/>
  <c r="P83" i="96"/>
  <c r="L83" i="96"/>
  <c r="H83" i="96"/>
  <c r="D83" i="96"/>
  <c r="B83" i="96"/>
  <c r="X82" i="96"/>
  <c r="Z82" i="96" s="1"/>
  <c r="N82" i="96"/>
  <c r="L82" i="96"/>
  <c r="B82" i="96"/>
  <c r="T81" i="96"/>
  <c r="X81" i="96" s="1"/>
  <c r="P81" i="96"/>
  <c r="H81" i="96"/>
  <c r="N81" i="96" s="1"/>
  <c r="D81" i="96"/>
  <c r="B81" i="96"/>
  <c r="Z80" i="96"/>
  <c r="X80" i="96"/>
  <c r="L80" i="96"/>
  <c r="N80" i="96" s="1"/>
  <c r="B80" i="96"/>
  <c r="Z79" i="96"/>
  <c r="T79" i="96"/>
  <c r="P79" i="96"/>
  <c r="X79" i="96" s="1"/>
  <c r="H79" i="96"/>
  <c r="D79" i="96"/>
  <c r="L79" i="96" s="1"/>
  <c r="N79" i="96" s="1"/>
  <c r="B79" i="96"/>
  <c r="X78" i="96"/>
  <c r="Z78" i="96" s="1"/>
  <c r="N78" i="96"/>
  <c r="L78" i="96"/>
  <c r="B78" i="96"/>
  <c r="X77" i="96"/>
  <c r="Z77" i="96" s="1"/>
  <c r="N77" i="96"/>
  <c r="L77" i="96"/>
  <c r="B77" i="96"/>
  <c r="X76" i="96"/>
  <c r="Z76" i="96" s="1"/>
  <c r="N76" i="96"/>
  <c r="L76" i="96"/>
  <c r="B76" i="96"/>
  <c r="X75" i="96"/>
  <c r="Z75" i="96" s="1"/>
  <c r="L75" i="96"/>
  <c r="N75" i="96" s="1"/>
  <c r="B75" i="96"/>
  <c r="X74" i="96"/>
  <c r="Z74" i="96" s="1"/>
  <c r="N74" i="96"/>
  <c r="L74" i="96"/>
  <c r="B74" i="96"/>
  <c r="X73" i="96"/>
  <c r="Z73" i="96" s="1"/>
  <c r="N73" i="96"/>
  <c r="L73" i="96"/>
  <c r="B73" i="96"/>
  <c r="X72" i="96"/>
  <c r="Z72" i="96" s="1"/>
  <c r="N72" i="96"/>
  <c r="L72" i="96"/>
  <c r="B72" i="96"/>
  <c r="X71" i="96"/>
  <c r="T71" i="96"/>
  <c r="Z71" i="96" s="1"/>
  <c r="P71" i="96"/>
  <c r="L71" i="96"/>
  <c r="H71" i="96"/>
  <c r="D71" i="96"/>
  <c r="B71" i="96"/>
  <c r="X70" i="96"/>
  <c r="Z70" i="96" s="1"/>
  <c r="N70" i="96"/>
  <c r="L70" i="96"/>
  <c r="B70" i="96"/>
  <c r="Z69" i="96"/>
  <c r="X69" i="96"/>
  <c r="N69" i="96"/>
  <c r="L69" i="96"/>
  <c r="B69" i="96"/>
  <c r="X68" i="96"/>
  <c r="Z68" i="96" s="1"/>
  <c r="T68" i="96"/>
  <c r="P68" i="96"/>
  <c r="L68" i="96"/>
  <c r="N68" i="96" s="1"/>
  <c r="H68" i="96"/>
  <c r="D68" i="96"/>
  <c r="B68" i="96"/>
  <c r="Z67" i="96"/>
  <c r="X67" i="96"/>
  <c r="L67" i="96"/>
  <c r="N67" i="96" s="1"/>
  <c r="B67" i="96"/>
  <c r="Z66" i="96"/>
  <c r="X66" i="96"/>
  <c r="N66" i="96"/>
  <c r="L66" i="96"/>
  <c r="B66" i="96"/>
  <c r="Z65" i="96"/>
  <c r="X65" i="96"/>
  <c r="L65" i="96"/>
  <c r="N65" i="96" s="1"/>
  <c r="B65" i="96"/>
  <c r="Z64" i="96"/>
  <c r="X64" i="96"/>
  <c r="L64" i="96"/>
  <c r="N64" i="96" s="1"/>
  <c r="B64" i="96"/>
  <c r="Z63" i="96"/>
  <c r="X63" i="96"/>
  <c r="N63" i="96"/>
  <c r="L63" i="96"/>
  <c r="B63" i="96"/>
  <c r="T62" i="96"/>
  <c r="P62" i="96"/>
  <c r="X62" i="96" s="1"/>
  <c r="H62" i="96"/>
  <c r="D62" i="96"/>
  <c r="L62" i="96" s="1"/>
  <c r="B62" i="96"/>
  <c r="X61" i="96"/>
  <c r="Z61" i="96" s="1"/>
  <c r="N61" i="96"/>
  <c r="L61" i="96"/>
  <c r="B61" i="96"/>
  <c r="X60" i="96"/>
  <c r="Z60" i="96" s="1"/>
  <c r="N60" i="96"/>
  <c r="L60" i="96"/>
  <c r="B60" i="96"/>
  <c r="X59" i="96"/>
  <c r="Z59" i="96" s="1"/>
  <c r="N59" i="96"/>
  <c r="L59" i="96"/>
  <c r="B59" i="96"/>
  <c r="T58" i="96"/>
  <c r="P58" i="96"/>
  <c r="X58" i="96" s="1"/>
  <c r="Z58" i="96" s="1"/>
  <c r="H58" i="96"/>
  <c r="N58" i="96" s="1"/>
  <c r="D58" i="96"/>
  <c r="L58" i="96" s="1"/>
  <c r="B58" i="96"/>
  <c r="Z57" i="96"/>
  <c r="X57" i="96"/>
  <c r="N57" i="96"/>
  <c r="L57" i="96"/>
  <c r="B57" i="96"/>
  <c r="Z56" i="96"/>
  <c r="X56" i="96"/>
  <c r="T56" i="96"/>
  <c r="P56" i="96"/>
  <c r="L56" i="96"/>
  <c r="N56" i="96" s="1"/>
  <c r="H56" i="96"/>
  <c r="D56" i="96"/>
  <c r="B56" i="96"/>
  <c r="Z55" i="96"/>
  <c r="X55" i="96"/>
  <c r="L55" i="96"/>
  <c r="N55" i="96" s="1"/>
  <c r="B55" i="96"/>
  <c r="T54" i="96"/>
  <c r="P54" i="96"/>
  <c r="X54" i="96" s="1"/>
  <c r="H54" i="96"/>
  <c r="D54" i="96"/>
  <c r="B54" i="96"/>
  <c r="X53" i="96"/>
  <c r="Z53" i="96" s="1"/>
  <c r="N53" i="96"/>
  <c r="L53" i="96"/>
  <c r="B53" i="96"/>
  <c r="T52" i="96"/>
  <c r="Z52" i="96" s="1"/>
  <c r="P52" i="96"/>
  <c r="X52" i="96" s="1"/>
  <c r="H52" i="96"/>
  <c r="D52" i="96"/>
  <c r="L52" i="96" s="1"/>
  <c r="N52" i="96" s="1"/>
  <c r="B52" i="96"/>
  <c r="X51" i="96"/>
  <c r="Z51" i="96" s="1"/>
  <c r="N51" i="96"/>
  <c r="L51" i="96"/>
  <c r="B51" i="96"/>
  <c r="X50" i="96"/>
  <c r="Z50" i="96" s="1"/>
  <c r="T50" i="96"/>
  <c r="P50" i="96"/>
  <c r="L50" i="96"/>
  <c r="N50" i="96" s="1"/>
  <c r="H50" i="96"/>
  <c r="D50" i="96"/>
  <c r="B50" i="96"/>
  <c r="Z49" i="96"/>
  <c r="X49" i="96"/>
  <c r="L49" i="96"/>
  <c r="N49" i="96" s="1"/>
  <c r="B49" i="96"/>
  <c r="T48" i="96"/>
  <c r="P48" i="96"/>
  <c r="H48" i="96"/>
  <c r="D48" i="96"/>
  <c r="L48" i="96" s="1"/>
  <c r="B48" i="96"/>
  <c r="X47" i="96"/>
  <c r="Z47" i="96" s="1"/>
  <c r="L47" i="96"/>
  <c r="N47" i="96" s="1"/>
  <c r="B47" i="96"/>
  <c r="X46" i="96"/>
  <c r="Z46" i="96" s="1"/>
  <c r="L46" i="96"/>
  <c r="N46" i="96" s="1"/>
  <c r="B46" i="96"/>
  <c r="X45" i="96"/>
  <c r="T45" i="96"/>
  <c r="Z45" i="96" s="1"/>
  <c r="P45" i="96"/>
  <c r="L45" i="96"/>
  <c r="N45" i="96" s="1"/>
  <c r="H45" i="96"/>
  <c r="D45" i="96"/>
  <c r="B45" i="96"/>
  <c r="X44" i="96"/>
  <c r="Z44" i="96" s="1"/>
  <c r="N44" i="96"/>
  <c r="L44" i="96"/>
  <c r="B44" i="96"/>
  <c r="T43" i="96"/>
  <c r="P43" i="96"/>
  <c r="X43" i="96" s="1"/>
  <c r="H43" i="96"/>
  <c r="L43" i="96" s="1"/>
  <c r="D43" i="96"/>
  <c r="B43" i="96"/>
  <c r="Z42" i="96"/>
  <c r="X42" i="96"/>
  <c r="R42" i="96"/>
  <c r="L42" i="96"/>
  <c r="N42" i="96" s="1"/>
  <c r="B42" i="96"/>
  <c r="T41" i="96"/>
  <c r="P41" i="96"/>
  <c r="X41" i="96" s="1"/>
  <c r="Z41" i="96" s="1"/>
  <c r="H41" i="96"/>
  <c r="D41" i="96"/>
  <c r="L41" i="96" s="1"/>
  <c r="N41" i="96" s="1"/>
  <c r="B41" i="96"/>
  <c r="X40" i="96"/>
  <c r="Z40" i="96" s="1"/>
  <c r="L40" i="96"/>
  <c r="N40" i="96" s="1"/>
  <c r="B40" i="96"/>
  <c r="X39" i="96"/>
  <c r="Z39" i="96" s="1"/>
  <c r="T39" i="96"/>
  <c r="P39" i="96"/>
  <c r="L39" i="96"/>
  <c r="H39" i="96"/>
  <c r="N39" i="96" s="1"/>
  <c r="D39" i="96"/>
  <c r="B39" i="96"/>
  <c r="X38" i="96"/>
  <c r="Z38" i="96" s="1"/>
  <c r="N38" i="96"/>
  <c r="L38" i="96"/>
  <c r="B38" i="96"/>
  <c r="Z37" i="96"/>
  <c r="X37" i="96"/>
  <c r="N37" i="96"/>
  <c r="L37" i="96"/>
  <c r="B37" i="96"/>
  <c r="Z36" i="96"/>
  <c r="X36" i="96"/>
  <c r="N36" i="96"/>
  <c r="L36" i="96"/>
  <c r="B36" i="96"/>
  <c r="X35" i="96"/>
  <c r="Z35" i="96" s="1"/>
  <c r="N35" i="96"/>
  <c r="L35" i="96"/>
  <c r="B35" i="96"/>
  <c r="X34" i="96"/>
  <c r="Z34" i="96" s="1"/>
  <c r="N34" i="96"/>
  <c r="L34" i="96"/>
  <c r="J34" i="96"/>
  <c r="B34" i="96"/>
  <c r="Z33" i="96"/>
  <c r="X33" i="96"/>
  <c r="N33" i="96"/>
  <c r="L33" i="96"/>
  <c r="B33" i="96"/>
  <c r="X32" i="96"/>
  <c r="Z32" i="96" s="1"/>
  <c r="T32" i="96"/>
  <c r="P32" i="96"/>
  <c r="L32" i="96"/>
  <c r="N32" i="96" s="1"/>
  <c r="H32" i="96"/>
  <c r="D32" i="96"/>
  <c r="B32" i="96"/>
  <c r="Z31" i="96"/>
  <c r="X31" i="96"/>
  <c r="L31" i="96"/>
  <c r="N31" i="96" s="1"/>
  <c r="B31" i="96"/>
  <c r="Z30" i="96"/>
  <c r="X30" i="96"/>
  <c r="R30" i="96"/>
  <c r="N30" i="96"/>
  <c r="L30" i="96"/>
  <c r="B30" i="96"/>
  <c r="Z29" i="96"/>
  <c r="X29" i="96"/>
  <c r="L29" i="96"/>
  <c r="N29" i="96" s="1"/>
  <c r="B29" i="96"/>
  <c r="Z28" i="96"/>
  <c r="X28" i="96"/>
  <c r="L28" i="96"/>
  <c r="N28" i="96" s="1"/>
  <c r="B28" i="96"/>
  <c r="Z27" i="96"/>
  <c r="X27" i="96"/>
  <c r="L27" i="96"/>
  <c r="N27" i="96" s="1"/>
  <c r="B27" i="96"/>
  <c r="Z26" i="96"/>
  <c r="X26" i="96"/>
  <c r="N26" i="96"/>
  <c r="L26" i="96"/>
  <c r="B26" i="96"/>
  <c r="Z25" i="96"/>
  <c r="X25" i="96"/>
  <c r="L25" i="96"/>
  <c r="N25" i="96" s="1"/>
  <c r="B25" i="96"/>
  <c r="Z24" i="96"/>
  <c r="X24" i="96"/>
  <c r="L24" i="96"/>
  <c r="N24" i="96" s="1"/>
  <c r="B24" i="96"/>
  <c r="Z23" i="96"/>
  <c r="T23" i="96"/>
  <c r="P23" i="96"/>
  <c r="X23" i="96" s="1"/>
  <c r="H23" i="96"/>
  <c r="D23" i="96"/>
  <c r="L23" i="96" s="1"/>
  <c r="N23" i="96" s="1"/>
  <c r="B23" i="96"/>
  <c r="T22" i="96"/>
  <c r="P22" i="96"/>
  <c r="X22" i="96" s="1"/>
  <c r="Z22" i="96" s="1"/>
  <c r="H22" i="96"/>
  <c r="N22" i="96" s="1"/>
  <c r="D22" i="96"/>
  <c r="L22" i="96" s="1"/>
  <c r="X18" i="96"/>
  <c r="Z18" i="96" s="1"/>
  <c r="L18" i="96"/>
  <c r="N18" i="96" s="1"/>
  <c r="B18" i="96"/>
  <c r="X17" i="96"/>
  <c r="Z17" i="96" s="1"/>
  <c r="N17" i="96"/>
  <c r="L17" i="96"/>
  <c r="B17" i="96"/>
  <c r="T16" i="96"/>
  <c r="P16" i="96"/>
  <c r="X16" i="96" s="1"/>
  <c r="H16" i="96"/>
  <c r="D16" i="96"/>
  <c r="L16" i="96" s="1"/>
  <c r="N16" i="96" s="1"/>
  <c r="T14" i="96"/>
  <c r="P14" i="96"/>
  <c r="P12" i="96" s="1"/>
  <c r="R66" i="96" s="1"/>
  <c r="L14" i="96"/>
  <c r="N14" i="96" s="1"/>
  <c r="H14" i="96"/>
  <c r="D14" i="96"/>
  <c r="B14" i="96"/>
  <c r="T13" i="96"/>
  <c r="P13" i="96"/>
  <c r="H13" i="96"/>
  <c r="H12" i="96" s="1"/>
  <c r="J83" i="96" s="1"/>
  <c r="D13" i="96"/>
  <c r="B13" i="96"/>
  <c r="D6" i="96"/>
  <c r="D4" i="96"/>
  <c r="Z79" i="95"/>
  <c r="X79" i="95"/>
  <c r="L79" i="95"/>
  <c r="N79" i="95" s="1"/>
  <c r="T75" i="95"/>
  <c r="Z75" i="95" s="1"/>
  <c r="P75" i="95"/>
  <c r="X75" i="95" s="1"/>
  <c r="N75" i="95"/>
  <c r="H75" i="95"/>
  <c r="D75" i="95"/>
  <c r="L75" i="95" s="1"/>
  <c r="X73" i="95"/>
  <c r="Z73" i="95" s="1"/>
  <c r="N73" i="95"/>
  <c r="L73" i="95"/>
  <c r="B73" i="95"/>
  <c r="X72" i="95"/>
  <c r="Z72" i="95" s="1"/>
  <c r="T72" i="95"/>
  <c r="P72" i="95"/>
  <c r="N72" i="95"/>
  <c r="L72" i="95"/>
  <c r="H72" i="95"/>
  <c r="D72" i="95"/>
  <c r="B72" i="95"/>
  <c r="X71" i="95"/>
  <c r="Z71" i="95" s="1"/>
  <c r="L71" i="95"/>
  <c r="N71" i="95" s="1"/>
  <c r="B71" i="95"/>
  <c r="T70" i="95"/>
  <c r="P70" i="95"/>
  <c r="H70" i="95"/>
  <c r="D70" i="95"/>
  <c r="B70" i="95"/>
  <c r="X69" i="95"/>
  <c r="Z69" i="95" s="1"/>
  <c r="N69" i="95"/>
  <c r="L69" i="95"/>
  <c r="B69" i="95"/>
  <c r="Z68" i="95"/>
  <c r="X68" i="95"/>
  <c r="N68" i="95"/>
  <c r="L68" i="95"/>
  <c r="B68" i="95"/>
  <c r="Z67" i="95"/>
  <c r="X67" i="95"/>
  <c r="N67" i="95"/>
  <c r="L67" i="95"/>
  <c r="B67" i="95"/>
  <c r="Z66" i="95"/>
  <c r="X66" i="95"/>
  <c r="L66" i="95"/>
  <c r="N66" i="95" s="1"/>
  <c r="B66" i="95"/>
  <c r="X65" i="95"/>
  <c r="Z65" i="95" s="1"/>
  <c r="N65" i="95"/>
  <c r="L65" i="95"/>
  <c r="B65" i="95"/>
  <c r="Z64" i="95"/>
  <c r="X64" i="95"/>
  <c r="L64" i="95"/>
  <c r="N64" i="95" s="1"/>
  <c r="B64" i="95"/>
  <c r="Z63" i="95"/>
  <c r="X63" i="95"/>
  <c r="N63" i="95"/>
  <c r="L63" i="95"/>
  <c r="B63" i="95"/>
  <c r="T62" i="95"/>
  <c r="P62" i="95"/>
  <c r="X62" i="95" s="1"/>
  <c r="Z62" i="95" s="1"/>
  <c r="N62" i="95"/>
  <c r="H62" i="95"/>
  <c r="D62" i="95"/>
  <c r="L62" i="95" s="1"/>
  <c r="B62" i="95"/>
  <c r="X61" i="95"/>
  <c r="Z61" i="95" s="1"/>
  <c r="L61" i="95"/>
  <c r="N61" i="95" s="1"/>
  <c r="B61" i="95"/>
  <c r="X60" i="95"/>
  <c r="Z60" i="95" s="1"/>
  <c r="T60" i="95"/>
  <c r="P60" i="95"/>
  <c r="L60" i="95"/>
  <c r="N60" i="95" s="1"/>
  <c r="H60" i="95"/>
  <c r="D60" i="95"/>
  <c r="B60" i="95"/>
  <c r="X59" i="95"/>
  <c r="Z59" i="95" s="1"/>
  <c r="L59" i="95"/>
  <c r="N59" i="95" s="1"/>
  <c r="B59" i="95"/>
  <c r="T58" i="95"/>
  <c r="P58" i="95"/>
  <c r="H58" i="95"/>
  <c r="D58" i="95"/>
  <c r="L58" i="95" s="1"/>
  <c r="B58" i="95"/>
  <c r="X57" i="95"/>
  <c r="Z57" i="95" s="1"/>
  <c r="L57" i="95"/>
  <c r="N57" i="95" s="1"/>
  <c r="B57" i="95"/>
  <c r="Z56" i="95"/>
  <c r="T56" i="95"/>
  <c r="P56" i="95"/>
  <c r="X56" i="95" s="1"/>
  <c r="H56" i="95"/>
  <c r="D56" i="95"/>
  <c r="L56" i="95" s="1"/>
  <c r="N56" i="95" s="1"/>
  <c r="B56" i="95"/>
  <c r="Z55" i="95"/>
  <c r="X55" i="95"/>
  <c r="N55" i="95"/>
  <c r="L55" i="95"/>
  <c r="B55" i="95"/>
  <c r="X54" i="95"/>
  <c r="Z54" i="95" s="1"/>
  <c r="N54" i="95"/>
  <c r="L54" i="95"/>
  <c r="B54" i="95"/>
  <c r="T53" i="95"/>
  <c r="P53" i="95"/>
  <c r="X53" i="95" s="1"/>
  <c r="H53" i="95"/>
  <c r="D53" i="95"/>
  <c r="L53" i="95" s="1"/>
  <c r="N53" i="95" s="1"/>
  <c r="B53" i="95"/>
  <c r="X52" i="95"/>
  <c r="Z52" i="95" s="1"/>
  <c r="N52" i="95"/>
  <c r="L52" i="95"/>
  <c r="B52" i="95"/>
  <c r="X51" i="95"/>
  <c r="Z51" i="95" s="1"/>
  <c r="T51" i="95"/>
  <c r="P51" i="95"/>
  <c r="N51" i="95"/>
  <c r="L51" i="95"/>
  <c r="H51" i="95"/>
  <c r="D51" i="95"/>
  <c r="B51" i="95"/>
  <c r="Z50" i="95"/>
  <c r="X50" i="95"/>
  <c r="L50" i="95"/>
  <c r="N50" i="95" s="1"/>
  <c r="B50" i="95"/>
  <c r="T49" i="95"/>
  <c r="P49" i="95"/>
  <c r="L49" i="95"/>
  <c r="H49" i="95"/>
  <c r="D49" i="95"/>
  <c r="B49" i="95"/>
  <c r="X48" i="95"/>
  <c r="Z48" i="95" s="1"/>
  <c r="L48" i="95"/>
  <c r="N48" i="95" s="1"/>
  <c r="B48" i="95"/>
  <c r="Z47" i="95"/>
  <c r="X47" i="95"/>
  <c r="T47" i="95"/>
  <c r="P47" i="95"/>
  <c r="H47" i="95"/>
  <c r="D47" i="95"/>
  <c r="B47" i="95"/>
  <c r="Z46" i="95"/>
  <c r="X46" i="95"/>
  <c r="N46" i="95"/>
  <c r="L46" i="95"/>
  <c r="B46" i="95"/>
  <c r="T45" i="95"/>
  <c r="P45" i="95"/>
  <c r="X45" i="95" s="1"/>
  <c r="Z45" i="95" s="1"/>
  <c r="L45" i="95"/>
  <c r="N45" i="95" s="1"/>
  <c r="H45" i="95"/>
  <c r="D45" i="95"/>
  <c r="B45" i="95"/>
  <c r="Z44" i="95"/>
  <c r="X44" i="95"/>
  <c r="L44" i="95"/>
  <c r="N44" i="95" s="1"/>
  <c r="B44" i="95"/>
  <c r="X43" i="95"/>
  <c r="T43" i="95"/>
  <c r="P43" i="95"/>
  <c r="H43" i="95"/>
  <c r="D43" i="95"/>
  <c r="B43" i="95"/>
  <c r="Z42" i="95"/>
  <c r="X42" i="95"/>
  <c r="N42" i="95"/>
  <c r="L42" i="95"/>
  <c r="B42" i="95"/>
  <c r="T41" i="95"/>
  <c r="P41" i="95"/>
  <c r="H41" i="95"/>
  <c r="F41" i="95"/>
  <c r="D41" i="95"/>
  <c r="B41" i="95"/>
  <c r="X40" i="95"/>
  <c r="Z40" i="95" s="1"/>
  <c r="N40" i="95"/>
  <c r="L40" i="95"/>
  <c r="B40" i="95"/>
  <c r="T39" i="95"/>
  <c r="P39" i="95"/>
  <c r="H39" i="95"/>
  <c r="D39" i="95"/>
  <c r="B39" i="95"/>
  <c r="Z38" i="95"/>
  <c r="X38" i="95"/>
  <c r="L38" i="95"/>
  <c r="N38" i="95" s="1"/>
  <c r="B38" i="95"/>
  <c r="X37" i="95"/>
  <c r="Z37" i="95" s="1"/>
  <c r="L37" i="95"/>
  <c r="N37" i="95" s="1"/>
  <c r="B37" i="95"/>
  <c r="Z36" i="95"/>
  <c r="X36" i="95"/>
  <c r="N36" i="95"/>
  <c r="L36" i="95"/>
  <c r="B36" i="95"/>
  <c r="Z35" i="95"/>
  <c r="X35" i="95"/>
  <c r="N35" i="95"/>
  <c r="L35" i="95"/>
  <c r="B35" i="95"/>
  <c r="Z34" i="95"/>
  <c r="X34" i="95"/>
  <c r="N34" i="95"/>
  <c r="L34" i="95"/>
  <c r="B34" i="95"/>
  <c r="Z33" i="95"/>
  <c r="X33" i="95"/>
  <c r="L33" i="95"/>
  <c r="N33" i="95" s="1"/>
  <c r="B33" i="95"/>
  <c r="Z32" i="95"/>
  <c r="X32" i="95"/>
  <c r="T32" i="95"/>
  <c r="P32" i="95"/>
  <c r="H32" i="95"/>
  <c r="D32" i="95"/>
  <c r="L32" i="95" s="1"/>
  <c r="N32" i="95" s="1"/>
  <c r="B32" i="95"/>
  <c r="Z31" i="95"/>
  <c r="X31" i="95"/>
  <c r="N31" i="95"/>
  <c r="L31" i="95"/>
  <c r="B31" i="95"/>
  <c r="X30" i="95"/>
  <c r="Z30" i="95" s="1"/>
  <c r="L30" i="95"/>
  <c r="N30" i="95" s="1"/>
  <c r="B30" i="95"/>
  <c r="X29" i="95"/>
  <c r="Z29" i="95" s="1"/>
  <c r="L29" i="95"/>
  <c r="N29" i="95" s="1"/>
  <c r="B29" i="95"/>
  <c r="Z28" i="95"/>
  <c r="X28" i="95"/>
  <c r="N28" i="95"/>
  <c r="L28" i="95"/>
  <c r="B28" i="95"/>
  <c r="Z27" i="95"/>
  <c r="X27" i="95"/>
  <c r="R27" i="95"/>
  <c r="N27" i="95"/>
  <c r="L27" i="95"/>
  <c r="B27" i="95"/>
  <c r="Z26" i="95"/>
  <c r="X26" i="95"/>
  <c r="N26" i="95"/>
  <c r="L26" i="95"/>
  <c r="B26" i="95"/>
  <c r="X25" i="95"/>
  <c r="Z25" i="95" s="1"/>
  <c r="N25" i="95"/>
  <c r="L25" i="95"/>
  <c r="B25" i="95"/>
  <c r="Z24" i="95"/>
  <c r="X24" i="95"/>
  <c r="L24" i="95"/>
  <c r="N24" i="95" s="1"/>
  <c r="B24" i="95"/>
  <c r="T23" i="95"/>
  <c r="P23" i="95"/>
  <c r="X23" i="95" s="1"/>
  <c r="Z23" i="95" s="1"/>
  <c r="H23" i="95"/>
  <c r="D23" i="95"/>
  <c r="L23" i="95" s="1"/>
  <c r="N23" i="95" s="1"/>
  <c r="B23" i="95"/>
  <c r="T22" i="95"/>
  <c r="P22" i="95"/>
  <c r="X22" i="95" s="1"/>
  <c r="H22" i="95"/>
  <c r="N22" i="95" s="1"/>
  <c r="D22" i="95"/>
  <c r="L22" i="95" s="1"/>
  <c r="X18" i="95"/>
  <c r="Z18" i="95" s="1"/>
  <c r="N18" i="95"/>
  <c r="L18" i="95"/>
  <c r="B18" i="95"/>
  <c r="Z17" i="95"/>
  <c r="X17" i="95"/>
  <c r="N17" i="95"/>
  <c r="L17" i="95"/>
  <c r="B17" i="95"/>
  <c r="T16" i="95"/>
  <c r="Z16" i="95" s="1"/>
  <c r="P16" i="95"/>
  <c r="X16" i="95" s="1"/>
  <c r="H16" i="95"/>
  <c r="N16" i="95" s="1"/>
  <c r="D16" i="95"/>
  <c r="L16" i="95" s="1"/>
  <c r="T14" i="95"/>
  <c r="P14" i="95"/>
  <c r="P12" i="95" s="1"/>
  <c r="L14" i="95"/>
  <c r="N14" i="95" s="1"/>
  <c r="H14" i="95"/>
  <c r="D14" i="95"/>
  <c r="B14" i="95"/>
  <c r="T13" i="95"/>
  <c r="P13" i="95"/>
  <c r="H13" i="95"/>
  <c r="L13" i="95" s="1"/>
  <c r="D13" i="95"/>
  <c r="D12" i="95" s="1"/>
  <c r="B13" i="95"/>
  <c r="D6" i="95"/>
  <c r="D4" i="95"/>
  <c r="X69" i="94"/>
  <c r="Z69" i="94" s="1"/>
  <c r="N69" i="94"/>
  <c r="L69" i="94"/>
  <c r="J69" i="94"/>
  <c r="T65" i="94"/>
  <c r="T64" i="94" s="1"/>
  <c r="P65" i="94"/>
  <c r="P64" i="94" s="1"/>
  <c r="X64" i="94" s="1"/>
  <c r="H65" i="94"/>
  <c r="D65" i="94"/>
  <c r="B65" i="94"/>
  <c r="H64" i="94"/>
  <c r="X62" i="94"/>
  <c r="Z62" i="94" s="1"/>
  <c r="N62" i="94"/>
  <c r="L62" i="94"/>
  <c r="B62" i="94"/>
  <c r="X61" i="94"/>
  <c r="Z61" i="94" s="1"/>
  <c r="T61" i="94"/>
  <c r="P61" i="94"/>
  <c r="L61" i="94"/>
  <c r="H61" i="94"/>
  <c r="N61" i="94" s="1"/>
  <c r="D61" i="94"/>
  <c r="B61" i="94"/>
  <c r="Z60" i="94"/>
  <c r="X60" i="94"/>
  <c r="N60" i="94"/>
  <c r="L60" i="94"/>
  <c r="B60" i="94"/>
  <c r="Z59" i="94"/>
  <c r="X59" i="94"/>
  <c r="N59" i="94"/>
  <c r="L59" i="94"/>
  <c r="B59" i="94"/>
  <c r="Z58" i="94"/>
  <c r="X58" i="94"/>
  <c r="L58" i="94"/>
  <c r="N58" i="94" s="1"/>
  <c r="J58" i="94"/>
  <c r="B58" i="94"/>
  <c r="X57" i="94"/>
  <c r="Z57" i="94" s="1"/>
  <c r="N57" i="94"/>
  <c r="L57" i="94"/>
  <c r="B57" i="94"/>
  <c r="Z56" i="94"/>
  <c r="X56" i="94"/>
  <c r="N56" i="94"/>
  <c r="L56" i="94"/>
  <c r="B56" i="94"/>
  <c r="T55" i="94"/>
  <c r="P55" i="94"/>
  <c r="H55" i="94"/>
  <c r="D55" i="94"/>
  <c r="B55" i="94"/>
  <c r="X54" i="94"/>
  <c r="Z54" i="94" s="1"/>
  <c r="L54" i="94"/>
  <c r="N54" i="94" s="1"/>
  <c r="B54" i="94"/>
  <c r="X53" i="94"/>
  <c r="Z53" i="94" s="1"/>
  <c r="N53" i="94"/>
  <c r="L53" i="94"/>
  <c r="B53" i="94"/>
  <c r="Z52" i="94"/>
  <c r="X52" i="94"/>
  <c r="T52" i="94"/>
  <c r="P52" i="94"/>
  <c r="L52" i="94"/>
  <c r="N52" i="94" s="1"/>
  <c r="J52" i="94"/>
  <c r="H52" i="94"/>
  <c r="D52" i="94"/>
  <c r="B52" i="94"/>
  <c r="X51" i="94"/>
  <c r="Z51" i="94" s="1"/>
  <c r="N51" i="94"/>
  <c r="L51" i="94"/>
  <c r="J51" i="94"/>
  <c r="B51" i="94"/>
  <c r="X50" i="94"/>
  <c r="Z50" i="94" s="1"/>
  <c r="N50" i="94"/>
  <c r="L50" i="94"/>
  <c r="B50" i="94"/>
  <c r="Z49" i="94"/>
  <c r="X49" i="94"/>
  <c r="N49" i="94"/>
  <c r="L49" i="94"/>
  <c r="B49" i="94"/>
  <c r="T48" i="94"/>
  <c r="R48" i="94"/>
  <c r="P48" i="94"/>
  <c r="L48" i="94"/>
  <c r="H48" i="94"/>
  <c r="N48" i="94" s="1"/>
  <c r="D48" i="94"/>
  <c r="B48" i="94"/>
  <c r="Z47" i="94"/>
  <c r="X47" i="94"/>
  <c r="R47" i="94"/>
  <c r="N47" i="94"/>
  <c r="L47" i="94"/>
  <c r="B47" i="94"/>
  <c r="T46" i="94"/>
  <c r="P46" i="94"/>
  <c r="X46" i="94" s="1"/>
  <c r="Z46" i="94" s="1"/>
  <c r="N46" i="94"/>
  <c r="H46" i="94"/>
  <c r="D46" i="94"/>
  <c r="L46" i="94" s="1"/>
  <c r="B46" i="94"/>
  <c r="X45" i="94"/>
  <c r="Z45" i="94" s="1"/>
  <c r="N45" i="94"/>
  <c r="L45" i="94"/>
  <c r="B45" i="94"/>
  <c r="Z44" i="94"/>
  <c r="X44" i="94"/>
  <c r="T44" i="94"/>
  <c r="P44" i="94"/>
  <c r="L44" i="94"/>
  <c r="N44" i="94" s="1"/>
  <c r="J44" i="94"/>
  <c r="H44" i="94"/>
  <c r="D44" i="94"/>
  <c r="B44" i="94"/>
  <c r="X43" i="94"/>
  <c r="Z43" i="94" s="1"/>
  <c r="N43" i="94"/>
  <c r="L43" i="94"/>
  <c r="J43" i="94"/>
  <c r="B43" i="94"/>
  <c r="T42" i="94"/>
  <c r="X42" i="94" s="1"/>
  <c r="R42" i="94"/>
  <c r="P42" i="94"/>
  <c r="H42" i="94"/>
  <c r="D42" i="94"/>
  <c r="B42" i="94"/>
  <c r="X41" i="94"/>
  <c r="Z41" i="94" s="1"/>
  <c r="L41" i="94"/>
  <c r="N41" i="94" s="1"/>
  <c r="B41" i="94"/>
  <c r="T40" i="94"/>
  <c r="P40" i="94"/>
  <c r="X40" i="94" s="1"/>
  <c r="Z40" i="94" s="1"/>
  <c r="H40" i="94"/>
  <c r="D40" i="94"/>
  <c r="L40" i="94" s="1"/>
  <c r="N40" i="94" s="1"/>
  <c r="B40" i="94"/>
  <c r="X39" i="94"/>
  <c r="Z39" i="94" s="1"/>
  <c r="L39" i="94"/>
  <c r="N39" i="94" s="1"/>
  <c r="B39" i="94"/>
  <c r="X38" i="94"/>
  <c r="Z38" i="94" s="1"/>
  <c r="T38" i="94"/>
  <c r="P38" i="94"/>
  <c r="N38" i="94"/>
  <c r="L38" i="94"/>
  <c r="J38" i="94"/>
  <c r="H38" i="94"/>
  <c r="D38" i="94"/>
  <c r="B38" i="94"/>
  <c r="Z37" i="94"/>
  <c r="X37" i="94"/>
  <c r="L37" i="94"/>
  <c r="N37" i="94" s="1"/>
  <c r="B37" i="94"/>
  <c r="Z36" i="94"/>
  <c r="X36" i="94"/>
  <c r="N36" i="94"/>
  <c r="L36" i="94"/>
  <c r="B36" i="94"/>
  <c r="X35" i="94"/>
  <c r="Z35" i="94" s="1"/>
  <c r="N35" i="94"/>
  <c r="L35" i="94"/>
  <c r="J35" i="94"/>
  <c r="B35" i="94"/>
  <c r="X34" i="94"/>
  <c r="Z34" i="94" s="1"/>
  <c r="N34" i="94"/>
  <c r="L34" i="94"/>
  <c r="B34" i="94"/>
  <c r="Z33" i="94"/>
  <c r="X33" i="94"/>
  <c r="L33" i="94"/>
  <c r="N33" i="94" s="1"/>
  <c r="B33" i="94"/>
  <c r="T32" i="94"/>
  <c r="R32" i="94"/>
  <c r="P32" i="94"/>
  <c r="H32" i="94"/>
  <c r="L32" i="94" s="1"/>
  <c r="D32" i="94"/>
  <c r="B32" i="94"/>
  <c r="Z31" i="94"/>
  <c r="X31" i="94"/>
  <c r="R31" i="94"/>
  <c r="N31" i="94"/>
  <c r="L31" i="94"/>
  <c r="B31" i="94"/>
  <c r="Z30" i="94"/>
  <c r="X30" i="94"/>
  <c r="L30" i="94"/>
  <c r="N30" i="94" s="1"/>
  <c r="J30" i="94"/>
  <c r="B30" i="94"/>
  <c r="X29" i="94"/>
  <c r="Z29" i="94" s="1"/>
  <c r="R29" i="94"/>
  <c r="L29" i="94"/>
  <c r="N29" i="94" s="1"/>
  <c r="B29" i="94"/>
  <c r="Z28" i="94"/>
  <c r="X28" i="94"/>
  <c r="N28" i="94"/>
  <c r="L28" i="94"/>
  <c r="J28" i="94"/>
  <c r="B28" i="94"/>
  <c r="Z27" i="94"/>
  <c r="X27" i="94"/>
  <c r="R27" i="94"/>
  <c r="N27" i="94"/>
  <c r="L27" i="94"/>
  <c r="B27" i="94"/>
  <c r="Z26" i="94"/>
  <c r="X26" i="94"/>
  <c r="L26" i="94"/>
  <c r="N26" i="94" s="1"/>
  <c r="J26" i="94"/>
  <c r="B26" i="94"/>
  <c r="X25" i="94"/>
  <c r="Z25" i="94" s="1"/>
  <c r="R25" i="94"/>
  <c r="L25" i="94"/>
  <c r="N25" i="94" s="1"/>
  <c r="B25" i="94"/>
  <c r="Z24" i="94"/>
  <c r="X24" i="94"/>
  <c r="L24" i="94"/>
  <c r="N24" i="94" s="1"/>
  <c r="J24" i="94"/>
  <c r="B24" i="94"/>
  <c r="T23" i="94"/>
  <c r="P23" i="94"/>
  <c r="H23" i="94"/>
  <c r="D23" i="94"/>
  <c r="B23" i="94"/>
  <c r="X22" i="94"/>
  <c r="T22" i="94"/>
  <c r="Z22" i="94" s="1"/>
  <c r="P22" i="94"/>
  <c r="L22" i="94"/>
  <c r="N22" i="94" s="1"/>
  <c r="J22" i="94"/>
  <c r="H22" i="94"/>
  <c r="D22" i="94"/>
  <c r="X18" i="94"/>
  <c r="Z18" i="94" s="1"/>
  <c r="L18" i="94"/>
  <c r="N18" i="94" s="1"/>
  <c r="B18" i="94"/>
  <c r="X17" i="94"/>
  <c r="Z17" i="94" s="1"/>
  <c r="L17" i="94"/>
  <c r="N17" i="94" s="1"/>
  <c r="B17" i="94"/>
  <c r="X16" i="94"/>
  <c r="Z16" i="94" s="1"/>
  <c r="T16" i="94"/>
  <c r="P16" i="94"/>
  <c r="J16" i="94"/>
  <c r="H16" i="94"/>
  <c r="N16" i="94" s="1"/>
  <c r="D16" i="94"/>
  <c r="L16" i="94" s="1"/>
  <c r="T14" i="94"/>
  <c r="P14" i="94"/>
  <c r="H14" i="94"/>
  <c r="D14" i="94"/>
  <c r="B14" i="94"/>
  <c r="T13" i="94"/>
  <c r="T12" i="94" s="1"/>
  <c r="V31" i="94" s="1"/>
  <c r="P13" i="94"/>
  <c r="P12" i="94" s="1"/>
  <c r="R41" i="94" s="1"/>
  <c r="L13" i="94"/>
  <c r="N13" i="94" s="1"/>
  <c r="H13" i="94"/>
  <c r="D13" i="94"/>
  <c r="B13" i="94"/>
  <c r="H12" i="94"/>
  <c r="J59" i="94" s="1"/>
  <c r="D6" i="94"/>
  <c r="D4" i="94"/>
  <c r="X79" i="93"/>
  <c r="Z79" i="93" s="1"/>
  <c r="N79" i="93"/>
  <c r="L79" i="93"/>
  <c r="Z75" i="93"/>
  <c r="X75" i="93"/>
  <c r="T75" i="93"/>
  <c r="P75" i="93"/>
  <c r="H75" i="93"/>
  <c r="N75" i="93" s="1"/>
  <c r="D75" i="93"/>
  <c r="L75" i="93" s="1"/>
  <c r="X73" i="93"/>
  <c r="Z73" i="93" s="1"/>
  <c r="N73" i="93"/>
  <c r="L73" i="93"/>
  <c r="B73" i="93"/>
  <c r="T72" i="93"/>
  <c r="P72" i="93"/>
  <c r="X72" i="93" s="1"/>
  <c r="N72" i="93"/>
  <c r="H72" i="93"/>
  <c r="D72" i="93"/>
  <c r="L72" i="93" s="1"/>
  <c r="B72" i="93"/>
  <c r="X71" i="93"/>
  <c r="Z71" i="93" s="1"/>
  <c r="N71" i="93"/>
  <c r="L71" i="93"/>
  <c r="B71" i="93"/>
  <c r="X70" i="93"/>
  <c r="Z70" i="93" s="1"/>
  <c r="T70" i="93"/>
  <c r="P70" i="93"/>
  <c r="N70" i="93"/>
  <c r="L70" i="93"/>
  <c r="H70" i="93"/>
  <c r="D70" i="93"/>
  <c r="B70" i="93"/>
  <c r="Z69" i="93"/>
  <c r="X69" i="93"/>
  <c r="N69" i="93"/>
  <c r="L69" i="93"/>
  <c r="B69" i="93"/>
  <c r="Z68" i="93"/>
  <c r="X68" i="93"/>
  <c r="N68" i="93"/>
  <c r="L68" i="93"/>
  <c r="F68" i="93"/>
  <c r="B68" i="93"/>
  <c r="Z67" i="93"/>
  <c r="X67" i="93"/>
  <c r="L67" i="93"/>
  <c r="N67" i="93" s="1"/>
  <c r="B67" i="93"/>
  <c r="X66" i="93"/>
  <c r="Z66" i="93" s="1"/>
  <c r="L66" i="93"/>
  <c r="N66" i="93" s="1"/>
  <c r="B66" i="93"/>
  <c r="Z65" i="93"/>
  <c r="X65" i="93"/>
  <c r="N65" i="93"/>
  <c r="L65" i="93"/>
  <c r="B65" i="93"/>
  <c r="Z64" i="93"/>
  <c r="X64" i="93"/>
  <c r="N64" i="93"/>
  <c r="L64" i="93"/>
  <c r="B64" i="93"/>
  <c r="Z63" i="93"/>
  <c r="X63" i="93"/>
  <c r="L63" i="93"/>
  <c r="N63" i="93" s="1"/>
  <c r="B63" i="93"/>
  <c r="X62" i="93"/>
  <c r="Z62" i="93" s="1"/>
  <c r="T62" i="93"/>
  <c r="P62" i="93"/>
  <c r="N62" i="93"/>
  <c r="H62" i="93"/>
  <c r="L62" i="93" s="1"/>
  <c r="D62" i="93"/>
  <c r="B62" i="93"/>
  <c r="Z61" i="93"/>
  <c r="X61" i="93"/>
  <c r="N61" i="93"/>
  <c r="L61" i="93"/>
  <c r="B61" i="93"/>
  <c r="Z60" i="93"/>
  <c r="X60" i="93"/>
  <c r="N60" i="93"/>
  <c r="L60" i="93"/>
  <c r="B60" i="93"/>
  <c r="X59" i="93"/>
  <c r="Z59" i="93" s="1"/>
  <c r="L59" i="93"/>
  <c r="N59" i="93" s="1"/>
  <c r="F59" i="93"/>
  <c r="B59" i="93"/>
  <c r="X58" i="93"/>
  <c r="Z58" i="93" s="1"/>
  <c r="T58" i="93"/>
  <c r="P58" i="93"/>
  <c r="H58" i="93"/>
  <c r="D58" i="93"/>
  <c r="B58" i="93"/>
  <c r="Z57" i="93"/>
  <c r="X57" i="93"/>
  <c r="N57" i="93"/>
  <c r="L57" i="93"/>
  <c r="B57" i="93"/>
  <c r="X56" i="93"/>
  <c r="Z56" i="93" s="1"/>
  <c r="T56" i="93"/>
  <c r="P56" i="93"/>
  <c r="N56" i="93"/>
  <c r="H56" i="93"/>
  <c r="D56" i="93"/>
  <c r="L56" i="93" s="1"/>
  <c r="B56" i="93"/>
  <c r="Z55" i="93"/>
  <c r="X55" i="93"/>
  <c r="L55" i="93"/>
  <c r="N55" i="93" s="1"/>
  <c r="B55" i="93"/>
  <c r="X54" i="93"/>
  <c r="Z54" i="93" s="1"/>
  <c r="L54" i="93"/>
  <c r="N54" i="93" s="1"/>
  <c r="B54" i="93"/>
  <c r="Z53" i="93"/>
  <c r="T53" i="93"/>
  <c r="P53" i="93"/>
  <c r="X53" i="93" s="1"/>
  <c r="H53" i="93"/>
  <c r="D53" i="93"/>
  <c r="B53" i="93"/>
  <c r="Z52" i="93"/>
  <c r="X52" i="93"/>
  <c r="N52" i="93"/>
  <c r="L52" i="93"/>
  <c r="B52" i="93"/>
  <c r="T51" i="93"/>
  <c r="P51" i="93"/>
  <c r="X51" i="93" s="1"/>
  <c r="N51" i="93"/>
  <c r="H51" i="93"/>
  <c r="D51" i="93"/>
  <c r="L51" i="93" s="1"/>
  <c r="B51" i="93"/>
  <c r="Z50" i="93"/>
  <c r="X50" i="93"/>
  <c r="N50" i="93"/>
  <c r="L50" i="93"/>
  <c r="B50" i="93"/>
  <c r="X49" i="93"/>
  <c r="Z49" i="93" s="1"/>
  <c r="T49" i="93"/>
  <c r="P49" i="93"/>
  <c r="H49" i="93"/>
  <c r="D49" i="93"/>
  <c r="L49" i="93" s="1"/>
  <c r="B49" i="93"/>
  <c r="Z48" i="93"/>
  <c r="X48" i="93"/>
  <c r="N48" i="93"/>
  <c r="L48" i="93"/>
  <c r="B48" i="93"/>
  <c r="X47" i="93"/>
  <c r="T47" i="93"/>
  <c r="Z47" i="93" s="1"/>
  <c r="P47" i="93"/>
  <c r="N47" i="93"/>
  <c r="H47" i="93"/>
  <c r="D47" i="93"/>
  <c r="L47" i="93" s="1"/>
  <c r="B47" i="93"/>
  <c r="X46" i="93"/>
  <c r="Z46" i="93" s="1"/>
  <c r="L46" i="93"/>
  <c r="N46" i="93" s="1"/>
  <c r="B46" i="93"/>
  <c r="T45" i="93"/>
  <c r="P45" i="93"/>
  <c r="X45" i="93" s="1"/>
  <c r="Z45" i="93" s="1"/>
  <c r="H45" i="93"/>
  <c r="D45" i="93"/>
  <c r="L45" i="93" s="1"/>
  <c r="B45" i="93"/>
  <c r="X44" i="93"/>
  <c r="Z44" i="93" s="1"/>
  <c r="N44" i="93"/>
  <c r="L44" i="93"/>
  <c r="B44" i="93"/>
  <c r="V43" i="93"/>
  <c r="T43" i="93"/>
  <c r="P43" i="93"/>
  <c r="H43" i="93"/>
  <c r="L43" i="93" s="1"/>
  <c r="N43" i="93" s="1"/>
  <c r="D43" i="93"/>
  <c r="B43" i="93"/>
  <c r="X42" i="93"/>
  <c r="Z42" i="93" s="1"/>
  <c r="L42" i="93"/>
  <c r="N42" i="93" s="1"/>
  <c r="B42" i="93"/>
  <c r="T41" i="93"/>
  <c r="P41" i="93"/>
  <c r="X41" i="93" s="1"/>
  <c r="Z41" i="93" s="1"/>
  <c r="N41" i="93"/>
  <c r="H41" i="93"/>
  <c r="D41" i="93"/>
  <c r="L41" i="93" s="1"/>
  <c r="B41" i="93"/>
  <c r="Z40" i="93"/>
  <c r="X40" i="93"/>
  <c r="L40" i="93"/>
  <c r="N40" i="93" s="1"/>
  <c r="B40" i="93"/>
  <c r="T39" i="93"/>
  <c r="P39" i="93"/>
  <c r="H39" i="93"/>
  <c r="D39" i="93"/>
  <c r="B39" i="93"/>
  <c r="X38" i="93"/>
  <c r="Z38" i="93" s="1"/>
  <c r="N38" i="93"/>
  <c r="L38" i="93"/>
  <c r="B38" i="93"/>
  <c r="Z37" i="93"/>
  <c r="X37" i="93"/>
  <c r="L37" i="93"/>
  <c r="N37" i="93" s="1"/>
  <c r="F37" i="93"/>
  <c r="B37" i="93"/>
  <c r="Z36" i="93"/>
  <c r="X36" i="93"/>
  <c r="N36" i="93"/>
  <c r="L36" i="93"/>
  <c r="B36" i="93"/>
  <c r="X35" i="93"/>
  <c r="Z35" i="93" s="1"/>
  <c r="L35" i="93"/>
  <c r="N35" i="93" s="1"/>
  <c r="B35" i="93"/>
  <c r="Z34" i="93"/>
  <c r="X34" i="93"/>
  <c r="N34" i="93"/>
  <c r="L34" i="93"/>
  <c r="B34" i="93"/>
  <c r="Z33" i="93"/>
  <c r="X33" i="93"/>
  <c r="L33" i="93"/>
  <c r="N33" i="93" s="1"/>
  <c r="F33" i="93"/>
  <c r="B33" i="93"/>
  <c r="T32" i="93"/>
  <c r="P32" i="93"/>
  <c r="H32" i="93"/>
  <c r="L32" i="93" s="1"/>
  <c r="N32" i="93" s="1"/>
  <c r="D32" i="93"/>
  <c r="B32" i="93"/>
  <c r="X31" i="93"/>
  <c r="Z31" i="93" s="1"/>
  <c r="L31" i="93"/>
  <c r="N31" i="93" s="1"/>
  <c r="B31" i="93"/>
  <c r="Z30" i="93"/>
  <c r="X30" i="93"/>
  <c r="N30" i="93"/>
  <c r="L30" i="93"/>
  <c r="B30" i="93"/>
  <c r="X29" i="93"/>
  <c r="Z29" i="93" s="1"/>
  <c r="L29" i="93"/>
  <c r="N29" i="93" s="1"/>
  <c r="F29" i="93"/>
  <c r="B29" i="93"/>
  <c r="X28" i="93"/>
  <c r="Z28" i="93" s="1"/>
  <c r="L28" i="93"/>
  <c r="N28" i="93" s="1"/>
  <c r="B28" i="93"/>
  <c r="X27" i="93"/>
  <c r="Z27" i="93" s="1"/>
  <c r="V27" i="93"/>
  <c r="L27" i="93"/>
  <c r="N27" i="93" s="1"/>
  <c r="B27" i="93"/>
  <c r="Z26" i="93"/>
  <c r="X26" i="93"/>
  <c r="N26" i="93"/>
  <c r="L26" i="93"/>
  <c r="B26" i="93"/>
  <c r="X25" i="93"/>
  <c r="Z25" i="93" s="1"/>
  <c r="L25" i="93"/>
  <c r="N25" i="93" s="1"/>
  <c r="F25" i="93"/>
  <c r="B25" i="93"/>
  <c r="X24" i="93"/>
  <c r="Z24" i="93" s="1"/>
  <c r="L24" i="93"/>
  <c r="N24" i="93" s="1"/>
  <c r="B24" i="93"/>
  <c r="X23" i="93"/>
  <c r="T23" i="93"/>
  <c r="P23" i="93"/>
  <c r="H23" i="93"/>
  <c r="D23" i="93"/>
  <c r="B23" i="93"/>
  <c r="Z22" i="93"/>
  <c r="X22" i="93"/>
  <c r="T22" i="93"/>
  <c r="P22" i="93"/>
  <c r="L22" i="93"/>
  <c r="H22" i="93"/>
  <c r="N22" i="93" s="1"/>
  <c r="D22" i="93"/>
  <c r="Z18" i="93"/>
  <c r="X18" i="93"/>
  <c r="N18" i="93"/>
  <c r="L18" i="93"/>
  <c r="B18" i="93"/>
  <c r="T17" i="93"/>
  <c r="P17" i="93"/>
  <c r="H17" i="93"/>
  <c r="D17" i="93"/>
  <c r="L17" i="93" s="1"/>
  <c r="N17" i="93" s="1"/>
  <c r="T15" i="93"/>
  <c r="P15" i="93"/>
  <c r="N15" i="93"/>
  <c r="H15" i="93"/>
  <c r="D15" i="93"/>
  <c r="L15" i="93" s="1"/>
  <c r="B15" i="93"/>
  <c r="T14" i="93"/>
  <c r="P14" i="93"/>
  <c r="H14" i="93"/>
  <c r="D14" i="93"/>
  <c r="B14" i="93"/>
  <c r="X13" i="93"/>
  <c r="T13" i="93"/>
  <c r="T12" i="93" s="1"/>
  <c r="V32" i="93" s="1"/>
  <c r="P13" i="93"/>
  <c r="L13" i="93"/>
  <c r="N13" i="93" s="1"/>
  <c r="H13" i="93"/>
  <c r="D13" i="93"/>
  <c r="D12" i="93" s="1"/>
  <c r="F32" i="93" s="1"/>
  <c r="B13" i="93"/>
  <c r="D6" i="93"/>
  <c r="D4" i="93"/>
  <c r="V98" i="92"/>
  <c r="V95" i="92"/>
  <c r="Z93" i="92"/>
  <c r="X93" i="92"/>
  <c r="V93" i="92"/>
  <c r="R93" i="92"/>
  <c r="N93" i="92"/>
  <c r="L93" i="92"/>
  <c r="V91" i="92"/>
  <c r="X89" i="92"/>
  <c r="V89" i="92"/>
  <c r="T89" i="92"/>
  <c r="Z89" i="92" s="1"/>
  <c r="P89" i="92"/>
  <c r="N89" i="92"/>
  <c r="L89" i="92"/>
  <c r="H89" i="92"/>
  <c r="D89" i="92"/>
  <c r="B89" i="92"/>
  <c r="T88" i="92"/>
  <c r="P88" i="92"/>
  <c r="X88" i="92" s="1"/>
  <c r="H88" i="92"/>
  <c r="H87" i="92" s="1"/>
  <c r="D88" i="92"/>
  <c r="L88" i="92" s="1"/>
  <c r="N88" i="92" s="1"/>
  <c r="B88" i="92"/>
  <c r="R87" i="92"/>
  <c r="P87" i="92"/>
  <c r="D87" i="92"/>
  <c r="L87" i="92" s="1"/>
  <c r="Z85" i="92"/>
  <c r="X85" i="92"/>
  <c r="N85" i="92"/>
  <c r="L85" i="92"/>
  <c r="B85" i="92"/>
  <c r="T84" i="92"/>
  <c r="P84" i="92"/>
  <c r="L84" i="92"/>
  <c r="N84" i="92" s="1"/>
  <c r="J84" i="92"/>
  <c r="H84" i="92"/>
  <c r="D84" i="92"/>
  <c r="B84" i="92"/>
  <c r="X83" i="92"/>
  <c r="Z83" i="92" s="1"/>
  <c r="V83" i="92"/>
  <c r="N83" i="92"/>
  <c r="L83" i="92"/>
  <c r="J83" i="92"/>
  <c r="F83" i="92"/>
  <c r="B83" i="92"/>
  <c r="Z82" i="92"/>
  <c r="X82" i="92"/>
  <c r="N82" i="92"/>
  <c r="L82" i="92"/>
  <c r="B82" i="92"/>
  <c r="Z81" i="92"/>
  <c r="X81" i="92"/>
  <c r="N81" i="92"/>
  <c r="L81" i="92"/>
  <c r="B81" i="92"/>
  <c r="T80" i="92"/>
  <c r="R80" i="92"/>
  <c r="P80" i="92"/>
  <c r="H80" i="92"/>
  <c r="D80" i="92"/>
  <c r="L80" i="92" s="1"/>
  <c r="N80" i="92" s="1"/>
  <c r="B80" i="92"/>
  <c r="Z79" i="92"/>
  <c r="X79" i="92"/>
  <c r="V79" i="92"/>
  <c r="R79" i="92"/>
  <c r="L79" i="92"/>
  <c r="N79" i="92" s="1"/>
  <c r="B79" i="92"/>
  <c r="X78" i="92"/>
  <c r="T78" i="92"/>
  <c r="P78" i="92"/>
  <c r="H78" i="92"/>
  <c r="L78" i="92" s="1"/>
  <c r="N78" i="92" s="1"/>
  <c r="D78" i="92"/>
  <c r="B78" i="92"/>
  <c r="Z77" i="92"/>
  <c r="X77" i="92"/>
  <c r="N77" i="92"/>
  <c r="L77" i="92"/>
  <c r="B77" i="92"/>
  <c r="T76" i="92"/>
  <c r="P76" i="92"/>
  <c r="L76" i="92"/>
  <c r="N76" i="92" s="1"/>
  <c r="J76" i="92"/>
  <c r="H76" i="92"/>
  <c r="D76" i="92"/>
  <c r="B76" i="92"/>
  <c r="X75" i="92"/>
  <c r="Z75" i="92" s="1"/>
  <c r="V75" i="92"/>
  <c r="N75" i="92"/>
  <c r="L75" i="92"/>
  <c r="J75" i="92"/>
  <c r="F75" i="92"/>
  <c r="B75" i="92"/>
  <c r="X74" i="92"/>
  <c r="Z74" i="92" s="1"/>
  <c r="N74" i="92"/>
  <c r="L74" i="92"/>
  <c r="B74" i="92"/>
  <c r="Z73" i="92"/>
  <c r="X73" i="92"/>
  <c r="N73" i="92"/>
  <c r="L73" i="92"/>
  <c r="B73" i="92"/>
  <c r="X72" i="92"/>
  <c r="Z72" i="92" s="1"/>
  <c r="R72" i="92"/>
  <c r="N72" i="92"/>
  <c r="L72" i="92"/>
  <c r="B72" i="92"/>
  <c r="X71" i="92"/>
  <c r="Z71" i="92" s="1"/>
  <c r="V71" i="92"/>
  <c r="N71" i="92"/>
  <c r="L71" i="92"/>
  <c r="J71" i="92"/>
  <c r="F71" i="92"/>
  <c r="B71" i="92"/>
  <c r="X70" i="92"/>
  <c r="Z70" i="92" s="1"/>
  <c r="L70" i="92"/>
  <c r="N70" i="92" s="1"/>
  <c r="B70" i="92"/>
  <c r="Z69" i="92"/>
  <c r="X69" i="92"/>
  <c r="N69" i="92"/>
  <c r="L69" i="92"/>
  <c r="B69" i="92"/>
  <c r="T68" i="92"/>
  <c r="R68" i="92"/>
  <c r="P68" i="92"/>
  <c r="H68" i="92"/>
  <c r="D68" i="92"/>
  <c r="L68" i="92" s="1"/>
  <c r="N68" i="92" s="1"/>
  <c r="B68" i="92"/>
  <c r="Z67" i="92"/>
  <c r="X67" i="92"/>
  <c r="V67" i="92"/>
  <c r="R67" i="92"/>
  <c r="N67" i="92"/>
  <c r="L67" i="92"/>
  <c r="B67" i="92"/>
  <c r="T66" i="92"/>
  <c r="Z66" i="92" s="1"/>
  <c r="P66" i="92"/>
  <c r="X66" i="92" s="1"/>
  <c r="N66" i="92"/>
  <c r="H66" i="92"/>
  <c r="L66" i="92" s="1"/>
  <c r="D66" i="92"/>
  <c r="B66" i="92"/>
  <c r="Z65" i="92"/>
  <c r="X65" i="92"/>
  <c r="L65" i="92"/>
  <c r="N65" i="92" s="1"/>
  <c r="B65" i="92"/>
  <c r="Z64" i="92"/>
  <c r="X64" i="92"/>
  <c r="R64" i="92"/>
  <c r="L64" i="92"/>
  <c r="N64" i="92" s="1"/>
  <c r="F64" i="92"/>
  <c r="B64" i="92"/>
  <c r="Z63" i="92"/>
  <c r="X63" i="92"/>
  <c r="L63" i="92"/>
  <c r="N63" i="92" s="1"/>
  <c r="J63" i="92"/>
  <c r="B63" i="92"/>
  <c r="X62" i="92"/>
  <c r="Z62" i="92" s="1"/>
  <c r="V62" i="92"/>
  <c r="L62" i="92"/>
  <c r="N62" i="92" s="1"/>
  <c r="B62" i="92"/>
  <c r="Z61" i="92"/>
  <c r="X61" i="92"/>
  <c r="N61" i="92"/>
  <c r="L61" i="92"/>
  <c r="B61" i="92"/>
  <c r="T60" i="92"/>
  <c r="P60" i="92"/>
  <c r="X60" i="92" s="1"/>
  <c r="L60" i="92"/>
  <c r="J60" i="92"/>
  <c r="H60" i="92"/>
  <c r="D60" i="92"/>
  <c r="B60" i="92"/>
  <c r="X59" i="92"/>
  <c r="Z59" i="92" s="1"/>
  <c r="V59" i="92"/>
  <c r="N59" i="92"/>
  <c r="L59" i="92"/>
  <c r="J59" i="92"/>
  <c r="B59" i="92"/>
  <c r="X58" i="92"/>
  <c r="Z58" i="92" s="1"/>
  <c r="L58" i="92"/>
  <c r="N58" i="92" s="1"/>
  <c r="B58" i="92"/>
  <c r="Z57" i="92"/>
  <c r="X57" i="92"/>
  <c r="N57" i="92"/>
  <c r="L57" i="92"/>
  <c r="B57" i="92"/>
  <c r="T56" i="92"/>
  <c r="R56" i="92"/>
  <c r="P56" i="92"/>
  <c r="H56" i="92"/>
  <c r="D56" i="92"/>
  <c r="L56" i="92" s="1"/>
  <c r="B56" i="92"/>
  <c r="Z55" i="92"/>
  <c r="X55" i="92"/>
  <c r="V55" i="92"/>
  <c r="R55" i="92"/>
  <c r="N55" i="92"/>
  <c r="L55" i="92"/>
  <c r="J55" i="92"/>
  <c r="B55" i="92"/>
  <c r="T54" i="92"/>
  <c r="Z54" i="92" s="1"/>
  <c r="P54" i="92"/>
  <c r="X54" i="92" s="1"/>
  <c r="N54" i="92"/>
  <c r="H54" i="92"/>
  <c r="L54" i="92" s="1"/>
  <c r="D54" i="92"/>
  <c r="B54" i="92"/>
  <c r="Z53" i="92"/>
  <c r="X53" i="92"/>
  <c r="N53" i="92"/>
  <c r="L53" i="92"/>
  <c r="B53" i="92"/>
  <c r="T52" i="92"/>
  <c r="P52" i="92"/>
  <c r="X52" i="92" s="1"/>
  <c r="L52" i="92"/>
  <c r="J52" i="92"/>
  <c r="H52" i="92"/>
  <c r="D52" i="92"/>
  <c r="B52" i="92"/>
  <c r="X51" i="92"/>
  <c r="Z51" i="92" s="1"/>
  <c r="V51" i="92"/>
  <c r="N51" i="92"/>
  <c r="L51" i="92"/>
  <c r="J51" i="92"/>
  <c r="B51" i="92"/>
  <c r="T50" i="92"/>
  <c r="Z50" i="92" s="1"/>
  <c r="P50" i="92"/>
  <c r="X50" i="92" s="1"/>
  <c r="H50" i="92"/>
  <c r="F50" i="92"/>
  <c r="D50" i="92"/>
  <c r="B50" i="92"/>
  <c r="Z49" i="92"/>
  <c r="X49" i="92"/>
  <c r="N49" i="92"/>
  <c r="L49" i="92"/>
  <c r="J49" i="92"/>
  <c r="B49" i="92"/>
  <c r="Z48" i="92"/>
  <c r="T48" i="92"/>
  <c r="X48" i="92" s="1"/>
  <c r="P48" i="92"/>
  <c r="L48" i="92"/>
  <c r="H48" i="92"/>
  <c r="N48" i="92" s="1"/>
  <c r="D48" i="92"/>
  <c r="B48" i="92"/>
  <c r="Z47" i="92"/>
  <c r="X47" i="92"/>
  <c r="L47" i="92"/>
  <c r="N47" i="92" s="1"/>
  <c r="J47" i="92"/>
  <c r="B47" i="92"/>
  <c r="X46" i="92"/>
  <c r="V46" i="92"/>
  <c r="T46" i="92"/>
  <c r="P46" i="92"/>
  <c r="H46" i="92"/>
  <c r="D46" i="92"/>
  <c r="B46" i="92"/>
  <c r="Z45" i="92"/>
  <c r="X45" i="92"/>
  <c r="N45" i="92"/>
  <c r="L45" i="92"/>
  <c r="B45" i="92"/>
  <c r="T44" i="92"/>
  <c r="R44" i="92"/>
  <c r="P44" i="92"/>
  <c r="H44" i="92"/>
  <c r="N44" i="92" s="1"/>
  <c r="D44" i="92"/>
  <c r="L44" i="92" s="1"/>
  <c r="B44" i="92"/>
  <c r="Z43" i="92"/>
  <c r="X43" i="92"/>
  <c r="V43" i="92"/>
  <c r="R43" i="92"/>
  <c r="N43" i="92"/>
  <c r="L43" i="92"/>
  <c r="J43" i="92"/>
  <c r="B43" i="92"/>
  <c r="T42" i="92"/>
  <c r="P42" i="92"/>
  <c r="X42" i="92" s="1"/>
  <c r="N42" i="92"/>
  <c r="H42" i="92"/>
  <c r="L42" i="92" s="1"/>
  <c r="D42" i="92"/>
  <c r="B42" i="92"/>
  <c r="Z41" i="92"/>
  <c r="X41" i="92"/>
  <c r="L41" i="92"/>
  <c r="N41" i="92" s="1"/>
  <c r="B41" i="92"/>
  <c r="Z40" i="92"/>
  <c r="X40" i="92"/>
  <c r="R40" i="92"/>
  <c r="L40" i="92"/>
  <c r="N40" i="92" s="1"/>
  <c r="F40" i="92"/>
  <c r="B40" i="92"/>
  <c r="Z39" i="92"/>
  <c r="X39" i="92"/>
  <c r="V39" i="92"/>
  <c r="L39" i="92"/>
  <c r="N39" i="92" s="1"/>
  <c r="J39" i="92"/>
  <c r="B39" i="92"/>
  <c r="X38" i="92"/>
  <c r="V38" i="92"/>
  <c r="T38" i="92"/>
  <c r="Z38" i="92" s="1"/>
  <c r="P38" i="92"/>
  <c r="J38" i="92"/>
  <c r="H38" i="92"/>
  <c r="D38" i="92"/>
  <c r="B38" i="92"/>
  <c r="X37" i="92"/>
  <c r="Z37" i="92" s="1"/>
  <c r="N37" i="92"/>
  <c r="L37" i="92"/>
  <c r="B37" i="92"/>
  <c r="T36" i="92"/>
  <c r="R36" i="92"/>
  <c r="P36" i="92"/>
  <c r="J36" i="92"/>
  <c r="H36" i="92"/>
  <c r="N36" i="92" s="1"/>
  <c r="D36" i="92"/>
  <c r="L36" i="92" s="1"/>
  <c r="B36" i="92"/>
  <c r="Z35" i="92"/>
  <c r="X35" i="92"/>
  <c r="V35" i="92"/>
  <c r="R35" i="92"/>
  <c r="N35" i="92"/>
  <c r="L35" i="92"/>
  <c r="J35" i="92"/>
  <c r="B35" i="92"/>
  <c r="X34" i="92"/>
  <c r="Z34" i="92" s="1"/>
  <c r="R34" i="92"/>
  <c r="L34" i="92"/>
  <c r="N34" i="92" s="1"/>
  <c r="J34" i="92"/>
  <c r="B34" i="92"/>
  <c r="Z33" i="92"/>
  <c r="X33" i="92"/>
  <c r="N33" i="92"/>
  <c r="L33" i="92"/>
  <c r="J33" i="92"/>
  <c r="B33" i="92"/>
  <c r="Z32" i="92"/>
  <c r="X32" i="92"/>
  <c r="R32" i="92"/>
  <c r="N32" i="92"/>
  <c r="L32" i="92"/>
  <c r="J32" i="92"/>
  <c r="F32" i="92"/>
  <c r="B32" i="92"/>
  <c r="Z31" i="92"/>
  <c r="X31" i="92"/>
  <c r="V31" i="92"/>
  <c r="R31" i="92"/>
  <c r="N31" i="92"/>
  <c r="L31" i="92"/>
  <c r="J31" i="92"/>
  <c r="B31" i="92"/>
  <c r="X30" i="92"/>
  <c r="Z30" i="92" s="1"/>
  <c r="R30" i="92"/>
  <c r="L30" i="92"/>
  <c r="N30" i="92" s="1"/>
  <c r="J30" i="92"/>
  <c r="B30" i="92"/>
  <c r="T29" i="92"/>
  <c r="X29" i="92" s="1"/>
  <c r="Z29" i="92" s="1"/>
  <c r="R29" i="92"/>
  <c r="P29" i="92"/>
  <c r="J29" i="92"/>
  <c r="H29" i="92"/>
  <c r="D29" i="92"/>
  <c r="B29" i="92"/>
  <c r="Z28" i="92"/>
  <c r="X28" i="92"/>
  <c r="R28" i="92"/>
  <c r="L28" i="92"/>
  <c r="N28" i="92" s="1"/>
  <c r="B28" i="92"/>
  <c r="Z27" i="92"/>
  <c r="X27" i="92"/>
  <c r="V27" i="92"/>
  <c r="L27" i="92"/>
  <c r="N27" i="92" s="1"/>
  <c r="J27" i="92"/>
  <c r="B27" i="92"/>
  <c r="X26" i="92"/>
  <c r="Z26" i="92" s="1"/>
  <c r="V26" i="92"/>
  <c r="L26" i="92"/>
  <c r="N26" i="92" s="1"/>
  <c r="J26" i="92"/>
  <c r="B26" i="92"/>
  <c r="Z25" i="92"/>
  <c r="X25" i="92"/>
  <c r="V25" i="92"/>
  <c r="L25" i="92"/>
  <c r="N25" i="92" s="1"/>
  <c r="J25" i="92"/>
  <c r="B25" i="92"/>
  <c r="Z24" i="92"/>
  <c r="X24" i="92"/>
  <c r="R24" i="92"/>
  <c r="L24" i="92"/>
  <c r="N24" i="92" s="1"/>
  <c r="B24" i="92"/>
  <c r="Z23" i="92"/>
  <c r="X23" i="92"/>
  <c r="V23" i="92"/>
  <c r="L23" i="92"/>
  <c r="N23" i="92" s="1"/>
  <c r="J23" i="92"/>
  <c r="B23" i="92"/>
  <c r="X22" i="92"/>
  <c r="Z22" i="92" s="1"/>
  <c r="V22" i="92"/>
  <c r="L22" i="92"/>
  <c r="N22" i="92" s="1"/>
  <c r="J22" i="92"/>
  <c r="B22" i="92"/>
  <c r="Z21" i="92"/>
  <c r="X21" i="92"/>
  <c r="V21" i="92"/>
  <c r="L21" i="92"/>
  <c r="N21" i="92" s="1"/>
  <c r="J21" i="92"/>
  <c r="B21" i="92"/>
  <c r="Z20" i="92"/>
  <c r="X20" i="92"/>
  <c r="V20" i="92"/>
  <c r="R20" i="92"/>
  <c r="L20" i="92"/>
  <c r="N20" i="92" s="1"/>
  <c r="B20" i="92"/>
  <c r="V19" i="92"/>
  <c r="T19" i="92"/>
  <c r="P19" i="92"/>
  <c r="X19" i="92" s="1"/>
  <c r="J19" i="92"/>
  <c r="H19" i="92"/>
  <c r="D19" i="92"/>
  <c r="L19" i="92" s="1"/>
  <c r="N19" i="92" s="1"/>
  <c r="B19" i="92"/>
  <c r="T18" i="92"/>
  <c r="R18" i="92"/>
  <c r="P18" i="92"/>
  <c r="X18" i="92" s="1"/>
  <c r="H18" i="92"/>
  <c r="F18" i="92"/>
  <c r="D18" i="92"/>
  <c r="R16" i="92"/>
  <c r="H16" i="92"/>
  <c r="T14" i="92"/>
  <c r="Z14" i="92" s="1"/>
  <c r="R14" i="92"/>
  <c r="P14" i="92"/>
  <c r="P16" i="92" s="1"/>
  <c r="L14" i="92"/>
  <c r="H14" i="92"/>
  <c r="N14" i="92" s="1"/>
  <c r="D14" i="92"/>
  <c r="X12" i="92"/>
  <c r="T12" i="92"/>
  <c r="V63" i="92" s="1"/>
  <c r="P12" i="92"/>
  <c r="R63" i="92" s="1"/>
  <c r="N12" i="92"/>
  <c r="H12" i="92"/>
  <c r="J93" i="92" s="1"/>
  <c r="D12" i="92"/>
  <c r="D6" i="92"/>
  <c r="D4" i="92"/>
  <c r="X75" i="89"/>
  <c r="Z75" i="89" s="1"/>
  <c r="R75" i="89"/>
  <c r="L75" i="89"/>
  <c r="N75" i="89" s="1"/>
  <c r="T71" i="89"/>
  <c r="Z71" i="89" s="1"/>
  <c r="P71" i="89"/>
  <c r="L71" i="89"/>
  <c r="H71" i="89"/>
  <c r="N71" i="89" s="1"/>
  <c r="D71" i="89"/>
  <c r="Z69" i="89"/>
  <c r="X69" i="89"/>
  <c r="N69" i="89"/>
  <c r="L69" i="89"/>
  <c r="B69" i="89"/>
  <c r="Z68" i="89"/>
  <c r="X68" i="89"/>
  <c r="T68" i="89"/>
  <c r="P68" i="89"/>
  <c r="N68" i="89"/>
  <c r="H68" i="89"/>
  <c r="D68" i="89"/>
  <c r="L68" i="89" s="1"/>
  <c r="B68" i="89"/>
  <c r="Z67" i="89"/>
  <c r="X67" i="89"/>
  <c r="L67" i="89"/>
  <c r="N67" i="89" s="1"/>
  <c r="B67" i="89"/>
  <c r="X66" i="89"/>
  <c r="T66" i="89"/>
  <c r="Z66" i="89" s="1"/>
  <c r="R66" i="89"/>
  <c r="P66" i="89"/>
  <c r="H66" i="89"/>
  <c r="D66" i="89"/>
  <c r="L66" i="89" s="1"/>
  <c r="N66" i="89" s="1"/>
  <c r="B66" i="89"/>
  <c r="X65" i="89"/>
  <c r="Z65" i="89" s="1"/>
  <c r="N65" i="89"/>
  <c r="L65" i="89"/>
  <c r="B65" i="89"/>
  <c r="Z64" i="89"/>
  <c r="X64" i="89"/>
  <c r="N64" i="89"/>
  <c r="L64" i="89"/>
  <c r="B64" i="89"/>
  <c r="X63" i="89"/>
  <c r="Z63" i="89" s="1"/>
  <c r="L63" i="89"/>
  <c r="N63" i="89" s="1"/>
  <c r="B63" i="89"/>
  <c r="Z62" i="89"/>
  <c r="X62" i="89"/>
  <c r="L62" i="89"/>
  <c r="N62" i="89" s="1"/>
  <c r="B62" i="89"/>
  <c r="X61" i="89"/>
  <c r="Z61" i="89" s="1"/>
  <c r="N61" i="89"/>
  <c r="L61" i="89"/>
  <c r="B61" i="89"/>
  <c r="Z60" i="89"/>
  <c r="X60" i="89"/>
  <c r="N60" i="89"/>
  <c r="L60" i="89"/>
  <c r="B60" i="89"/>
  <c r="X59" i="89"/>
  <c r="T59" i="89"/>
  <c r="R59" i="89"/>
  <c r="P59" i="89"/>
  <c r="H59" i="89"/>
  <c r="D59" i="89"/>
  <c r="L59" i="89" s="1"/>
  <c r="B59" i="89"/>
  <c r="Z58" i="89"/>
  <c r="X58" i="89"/>
  <c r="N58" i="89"/>
  <c r="L58" i="89"/>
  <c r="B58" i="89"/>
  <c r="Z57" i="89"/>
  <c r="X57" i="89"/>
  <c r="N57" i="89"/>
  <c r="L57" i="89"/>
  <c r="B57" i="89"/>
  <c r="T56" i="89"/>
  <c r="P56" i="89"/>
  <c r="X56" i="89" s="1"/>
  <c r="N56" i="89"/>
  <c r="H56" i="89"/>
  <c r="L56" i="89" s="1"/>
  <c r="D56" i="89"/>
  <c r="B56" i="89"/>
  <c r="X55" i="89"/>
  <c r="Z55" i="89" s="1"/>
  <c r="N55" i="89"/>
  <c r="L55" i="89"/>
  <c r="B55" i="89"/>
  <c r="Z54" i="89"/>
  <c r="X54" i="89"/>
  <c r="L54" i="89"/>
  <c r="N54" i="89" s="1"/>
  <c r="B54" i="89"/>
  <c r="Z53" i="89"/>
  <c r="X53" i="89"/>
  <c r="N53" i="89"/>
  <c r="L53" i="89"/>
  <c r="B53" i="89"/>
  <c r="T52" i="89"/>
  <c r="P52" i="89"/>
  <c r="X52" i="89" s="1"/>
  <c r="H52" i="89"/>
  <c r="D52" i="89"/>
  <c r="L52" i="89" s="1"/>
  <c r="N52" i="89" s="1"/>
  <c r="B52" i="89"/>
  <c r="X51" i="89"/>
  <c r="Z51" i="89" s="1"/>
  <c r="N51" i="89"/>
  <c r="L51" i="89"/>
  <c r="B51" i="89"/>
  <c r="X50" i="89"/>
  <c r="Z50" i="89" s="1"/>
  <c r="T50" i="89"/>
  <c r="R50" i="89"/>
  <c r="P50" i="89"/>
  <c r="N50" i="89"/>
  <c r="L50" i="89"/>
  <c r="H50" i="89"/>
  <c r="D50" i="89"/>
  <c r="B50" i="89"/>
  <c r="Z49" i="89"/>
  <c r="X49" i="89"/>
  <c r="R49" i="89"/>
  <c r="N49" i="89"/>
  <c r="L49" i="89"/>
  <c r="B49" i="89"/>
  <c r="T48" i="89"/>
  <c r="Z48" i="89" s="1"/>
  <c r="P48" i="89"/>
  <c r="H48" i="89"/>
  <c r="L48" i="89" s="1"/>
  <c r="D48" i="89"/>
  <c r="B48" i="89"/>
  <c r="X47" i="89"/>
  <c r="Z47" i="89" s="1"/>
  <c r="L47" i="89"/>
  <c r="N47" i="89" s="1"/>
  <c r="B47" i="89"/>
  <c r="T46" i="89"/>
  <c r="P46" i="89"/>
  <c r="X46" i="89" s="1"/>
  <c r="Z46" i="89" s="1"/>
  <c r="H46" i="89"/>
  <c r="D46" i="89"/>
  <c r="L46" i="89" s="1"/>
  <c r="B46" i="89"/>
  <c r="Z45" i="89"/>
  <c r="X45" i="89"/>
  <c r="N45" i="89"/>
  <c r="L45" i="89"/>
  <c r="B45" i="89"/>
  <c r="X44" i="89"/>
  <c r="Z44" i="89" s="1"/>
  <c r="T44" i="89"/>
  <c r="P44" i="89"/>
  <c r="L44" i="89"/>
  <c r="N44" i="89" s="1"/>
  <c r="H44" i="89"/>
  <c r="D44" i="89"/>
  <c r="B44" i="89"/>
  <c r="Z43" i="89"/>
  <c r="X43" i="89"/>
  <c r="L43" i="89"/>
  <c r="N43" i="89" s="1"/>
  <c r="B43" i="89"/>
  <c r="T42" i="89"/>
  <c r="X42" i="89" s="1"/>
  <c r="P42" i="89"/>
  <c r="H42" i="89"/>
  <c r="D42" i="89"/>
  <c r="L42" i="89" s="1"/>
  <c r="B42" i="89"/>
  <c r="Z41" i="89"/>
  <c r="X41" i="89"/>
  <c r="N41" i="89"/>
  <c r="L41" i="89"/>
  <c r="B41" i="89"/>
  <c r="T40" i="89"/>
  <c r="Z40" i="89" s="1"/>
  <c r="P40" i="89"/>
  <c r="X40" i="89" s="1"/>
  <c r="H40" i="89"/>
  <c r="D40" i="89"/>
  <c r="L40" i="89" s="1"/>
  <c r="N40" i="89" s="1"/>
  <c r="B40" i="89"/>
  <c r="X39" i="89"/>
  <c r="Z39" i="89" s="1"/>
  <c r="N39" i="89"/>
  <c r="L39" i="89"/>
  <c r="B39" i="89"/>
  <c r="X38" i="89"/>
  <c r="Z38" i="89" s="1"/>
  <c r="T38" i="89"/>
  <c r="P38" i="89"/>
  <c r="L38" i="89"/>
  <c r="N38" i="89" s="1"/>
  <c r="H38" i="89"/>
  <c r="D38" i="89"/>
  <c r="B38" i="89"/>
  <c r="Z37" i="89"/>
  <c r="X37" i="89"/>
  <c r="R37" i="89"/>
  <c r="N37" i="89"/>
  <c r="L37" i="89"/>
  <c r="B37" i="89"/>
  <c r="X36" i="89"/>
  <c r="Z36" i="89" s="1"/>
  <c r="L36" i="89"/>
  <c r="N36" i="89" s="1"/>
  <c r="B36" i="89"/>
  <c r="Z35" i="89"/>
  <c r="X35" i="89"/>
  <c r="N35" i="89"/>
  <c r="L35" i="89"/>
  <c r="B35" i="89"/>
  <c r="Z34" i="89"/>
  <c r="X34" i="89"/>
  <c r="N34" i="89"/>
  <c r="L34" i="89"/>
  <c r="B34" i="89"/>
  <c r="Z33" i="89"/>
  <c r="X33" i="89"/>
  <c r="R33" i="89"/>
  <c r="N33" i="89"/>
  <c r="L33" i="89"/>
  <c r="B33" i="89"/>
  <c r="T32" i="89"/>
  <c r="P32" i="89"/>
  <c r="X32" i="89" s="1"/>
  <c r="N32" i="89"/>
  <c r="H32" i="89"/>
  <c r="L32" i="89" s="1"/>
  <c r="D32" i="89"/>
  <c r="B32" i="89"/>
  <c r="X31" i="89"/>
  <c r="Z31" i="89" s="1"/>
  <c r="L31" i="89"/>
  <c r="N31" i="89" s="1"/>
  <c r="B31" i="89"/>
  <c r="Z30" i="89"/>
  <c r="X30" i="89"/>
  <c r="L30" i="89"/>
  <c r="N30" i="89" s="1"/>
  <c r="B30" i="89"/>
  <c r="Z29" i="89"/>
  <c r="X29" i="89"/>
  <c r="R29" i="89"/>
  <c r="N29" i="89"/>
  <c r="L29" i="89"/>
  <c r="B29" i="89"/>
  <c r="X28" i="89"/>
  <c r="Z28" i="89" s="1"/>
  <c r="L28" i="89"/>
  <c r="N28" i="89" s="1"/>
  <c r="B28" i="89"/>
  <c r="X27" i="89"/>
  <c r="Z27" i="89" s="1"/>
  <c r="L27" i="89"/>
  <c r="N27" i="89" s="1"/>
  <c r="B27" i="89"/>
  <c r="Z26" i="89"/>
  <c r="X26" i="89"/>
  <c r="L26" i="89"/>
  <c r="N26" i="89" s="1"/>
  <c r="B26" i="89"/>
  <c r="Z25" i="89"/>
  <c r="X25" i="89"/>
  <c r="R25" i="89"/>
  <c r="N25" i="89"/>
  <c r="L25" i="89"/>
  <c r="B25" i="89"/>
  <c r="X24" i="89"/>
  <c r="Z24" i="89" s="1"/>
  <c r="R24" i="89"/>
  <c r="L24" i="89"/>
  <c r="N24" i="89" s="1"/>
  <c r="B24" i="89"/>
  <c r="T23" i="89"/>
  <c r="P23" i="89"/>
  <c r="X23" i="89" s="1"/>
  <c r="Z23" i="89" s="1"/>
  <c r="H23" i="89"/>
  <c r="D23" i="89"/>
  <c r="B23" i="89"/>
  <c r="T22" i="89"/>
  <c r="P22" i="89"/>
  <c r="X22" i="89" s="1"/>
  <c r="Z22" i="89" s="1"/>
  <c r="L22" i="89"/>
  <c r="H22" i="89"/>
  <c r="D22" i="89"/>
  <c r="X18" i="89"/>
  <c r="Z18" i="89" s="1"/>
  <c r="N18" i="89"/>
  <c r="L18" i="89"/>
  <c r="B18" i="89"/>
  <c r="Z17" i="89"/>
  <c r="X17" i="89"/>
  <c r="R17" i="89"/>
  <c r="N17" i="89"/>
  <c r="L17" i="89"/>
  <c r="B17" i="89"/>
  <c r="X16" i="89"/>
  <c r="T16" i="89"/>
  <c r="P16" i="89"/>
  <c r="L16" i="89"/>
  <c r="N16" i="89" s="1"/>
  <c r="H16" i="89"/>
  <c r="D16" i="89"/>
  <c r="T14" i="89"/>
  <c r="P14" i="89"/>
  <c r="P12" i="89" s="1"/>
  <c r="R57" i="89" s="1"/>
  <c r="H14" i="89"/>
  <c r="D14" i="89"/>
  <c r="B14" i="89"/>
  <c r="T13" i="89"/>
  <c r="X13" i="89" s="1"/>
  <c r="P13" i="89"/>
  <c r="L13" i="89"/>
  <c r="N13" i="89" s="1"/>
  <c r="H13" i="89"/>
  <c r="D13" i="89"/>
  <c r="B13" i="89"/>
  <c r="D6" i="89"/>
  <c r="D4" i="89"/>
  <c r="X85" i="88"/>
  <c r="Z85" i="88" s="1"/>
  <c r="L85" i="88"/>
  <c r="N85" i="88" s="1"/>
  <c r="X81" i="88"/>
  <c r="V81" i="88"/>
  <c r="T81" i="88"/>
  <c r="Z81" i="88" s="1"/>
  <c r="P81" i="88"/>
  <c r="N81" i="88"/>
  <c r="H81" i="88"/>
  <c r="F81" i="88"/>
  <c r="D81" i="88"/>
  <c r="L81" i="88" s="1"/>
  <c r="X79" i="88"/>
  <c r="Z79" i="88" s="1"/>
  <c r="L79" i="88"/>
  <c r="N79" i="88" s="1"/>
  <c r="F79" i="88"/>
  <c r="B79" i="88"/>
  <c r="T78" i="88"/>
  <c r="P78" i="88"/>
  <c r="X78" i="88" s="1"/>
  <c r="Z78" i="88" s="1"/>
  <c r="H78" i="88"/>
  <c r="D78" i="88"/>
  <c r="L78" i="88" s="1"/>
  <c r="B78" i="88"/>
  <c r="X77" i="88"/>
  <c r="Z77" i="88" s="1"/>
  <c r="N77" i="88"/>
  <c r="L77" i="88"/>
  <c r="B77" i="88"/>
  <c r="T76" i="88"/>
  <c r="P76" i="88"/>
  <c r="N76" i="88"/>
  <c r="L76" i="88"/>
  <c r="H76" i="88"/>
  <c r="D76" i="88"/>
  <c r="B76" i="88"/>
  <c r="X75" i="88"/>
  <c r="Z75" i="88" s="1"/>
  <c r="L75" i="88"/>
  <c r="N75" i="88" s="1"/>
  <c r="B75" i="88"/>
  <c r="T74" i="88"/>
  <c r="P74" i="88"/>
  <c r="X74" i="88" s="1"/>
  <c r="Z74" i="88" s="1"/>
  <c r="N74" i="88"/>
  <c r="H74" i="88"/>
  <c r="L74" i="88" s="1"/>
  <c r="D74" i="88"/>
  <c r="B74" i="88"/>
  <c r="Z73" i="88"/>
  <c r="X73" i="88"/>
  <c r="N73" i="88"/>
  <c r="L73" i="88"/>
  <c r="B73" i="88"/>
  <c r="Z72" i="88"/>
  <c r="X72" i="88"/>
  <c r="N72" i="88"/>
  <c r="L72" i="88"/>
  <c r="B72" i="88"/>
  <c r="Z71" i="88"/>
  <c r="X71" i="88"/>
  <c r="N71" i="88"/>
  <c r="L71" i="88"/>
  <c r="F71" i="88"/>
  <c r="B71" i="88"/>
  <c r="X70" i="88"/>
  <c r="Z70" i="88" s="1"/>
  <c r="L70" i="88"/>
  <c r="N70" i="88" s="1"/>
  <c r="B70" i="88"/>
  <c r="Z69" i="88"/>
  <c r="X69" i="88"/>
  <c r="L69" i="88"/>
  <c r="N69" i="88" s="1"/>
  <c r="B69" i="88"/>
  <c r="Z68" i="88"/>
  <c r="X68" i="88"/>
  <c r="N68" i="88"/>
  <c r="L68" i="88"/>
  <c r="F68" i="88"/>
  <c r="B68" i="88"/>
  <c r="X67" i="88"/>
  <c r="Z67" i="88" s="1"/>
  <c r="L67" i="88"/>
  <c r="N67" i="88" s="1"/>
  <c r="F67" i="88"/>
  <c r="B67" i="88"/>
  <c r="T66" i="88"/>
  <c r="P66" i="88"/>
  <c r="X66" i="88" s="1"/>
  <c r="Z66" i="88" s="1"/>
  <c r="H66" i="88"/>
  <c r="D66" i="88"/>
  <c r="L66" i="88" s="1"/>
  <c r="B66" i="88"/>
  <c r="X65" i="88"/>
  <c r="Z65" i="88" s="1"/>
  <c r="N65" i="88"/>
  <c r="L65" i="88"/>
  <c r="B65" i="88"/>
  <c r="Z64" i="88"/>
  <c r="X64" i="88"/>
  <c r="N64" i="88"/>
  <c r="L64" i="88"/>
  <c r="B64" i="88"/>
  <c r="T63" i="88"/>
  <c r="P63" i="88"/>
  <c r="X63" i="88" s="1"/>
  <c r="L63" i="88"/>
  <c r="H63" i="88"/>
  <c r="D63" i="88"/>
  <c r="B63" i="88"/>
  <c r="X62" i="88"/>
  <c r="Z62" i="88" s="1"/>
  <c r="L62" i="88"/>
  <c r="N62" i="88" s="1"/>
  <c r="B62" i="88"/>
  <c r="Z61" i="88"/>
  <c r="X61" i="88"/>
  <c r="N61" i="88"/>
  <c r="L61" i="88"/>
  <c r="B61" i="88"/>
  <c r="Z60" i="88"/>
  <c r="X60" i="88"/>
  <c r="N60" i="88"/>
  <c r="L60" i="88"/>
  <c r="B60" i="88"/>
  <c r="T59" i="88"/>
  <c r="P59" i="88"/>
  <c r="X59" i="88" s="1"/>
  <c r="H59" i="88"/>
  <c r="D59" i="88"/>
  <c r="L59" i="88" s="1"/>
  <c r="N59" i="88" s="1"/>
  <c r="B59" i="88"/>
  <c r="X58" i="88"/>
  <c r="Z58" i="88" s="1"/>
  <c r="L58" i="88"/>
  <c r="N58" i="88" s="1"/>
  <c r="B58" i="88"/>
  <c r="X57" i="88"/>
  <c r="Z57" i="88" s="1"/>
  <c r="T57" i="88"/>
  <c r="P57" i="88"/>
  <c r="L57" i="88"/>
  <c r="H57" i="88"/>
  <c r="N57" i="88" s="1"/>
  <c r="D57" i="88"/>
  <c r="B57" i="88"/>
  <c r="Z56" i="88"/>
  <c r="X56" i="88"/>
  <c r="N56" i="88"/>
  <c r="L56" i="88"/>
  <c r="B56" i="88"/>
  <c r="X55" i="88"/>
  <c r="Z55" i="88" s="1"/>
  <c r="V55" i="88"/>
  <c r="L55" i="88"/>
  <c r="N55" i="88" s="1"/>
  <c r="B55" i="88"/>
  <c r="Z54" i="88"/>
  <c r="T54" i="88"/>
  <c r="P54" i="88"/>
  <c r="X54" i="88" s="1"/>
  <c r="H54" i="88"/>
  <c r="F54" i="88"/>
  <c r="D54" i="88"/>
  <c r="B54" i="88"/>
  <c r="Z53" i="88"/>
  <c r="X53" i="88"/>
  <c r="L53" i="88"/>
  <c r="N53" i="88" s="1"/>
  <c r="B53" i="88"/>
  <c r="T52" i="88"/>
  <c r="P52" i="88"/>
  <c r="L52" i="88"/>
  <c r="N52" i="88" s="1"/>
  <c r="H52" i="88"/>
  <c r="D52" i="88"/>
  <c r="B52" i="88"/>
  <c r="X51" i="88"/>
  <c r="Z51" i="88" s="1"/>
  <c r="V51" i="88"/>
  <c r="L51" i="88"/>
  <c r="N51" i="88" s="1"/>
  <c r="B51" i="88"/>
  <c r="V50" i="88"/>
  <c r="T50" i="88"/>
  <c r="P50" i="88"/>
  <c r="X50" i="88" s="1"/>
  <c r="Z50" i="88" s="1"/>
  <c r="H50" i="88"/>
  <c r="F50" i="88"/>
  <c r="D50" i="88"/>
  <c r="L50" i="88" s="1"/>
  <c r="B50" i="88"/>
  <c r="X49" i="88"/>
  <c r="Z49" i="88" s="1"/>
  <c r="N49" i="88"/>
  <c r="L49" i="88"/>
  <c r="B49" i="88"/>
  <c r="T48" i="88"/>
  <c r="Z48" i="88" s="1"/>
  <c r="P48" i="88"/>
  <c r="X48" i="88" s="1"/>
  <c r="H48" i="88"/>
  <c r="D48" i="88"/>
  <c r="L48" i="88" s="1"/>
  <c r="N48" i="88" s="1"/>
  <c r="B48" i="88"/>
  <c r="X47" i="88"/>
  <c r="Z47" i="88" s="1"/>
  <c r="N47" i="88"/>
  <c r="L47" i="88"/>
  <c r="B47" i="88"/>
  <c r="X46" i="88"/>
  <c r="Z46" i="88" s="1"/>
  <c r="T46" i="88"/>
  <c r="P46" i="88"/>
  <c r="N46" i="88"/>
  <c r="H46" i="88"/>
  <c r="L46" i="88" s="1"/>
  <c r="D46" i="88"/>
  <c r="B46" i="88"/>
  <c r="Z45" i="88"/>
  <c r="X45" i="88"/>
  <c r="N45" i="88"/>
  <c r="L45" i="88"/>
  <c r="B45" i="88"/>
  <c r="Z44" i="88"/>
  <c r="X44" i="88"/>
  <c r="N44" i="88"/>
  <c r="L44" i="88"/>
  <c r="B44" i="88"/>
  <c r="X43" i="88"/>
  <c r="V43" i="88"/>
  <c r="T43" i="88"/>
  <c r="Z43" i="88" s="1"/>
  <c r="P43" i="88"/>
  <c r="H43" i="88"/>
  <c r="D43" i="88"/>
  <c r="L43" i="88" s="1"/>
  <c r="N43" i="88" s="1"/>
  <c r="B43" i="88"/>
  <c r="X42" i="88"/>
  <c r="Z42" i="88" s="1"/>
  <c r="L42" i="88"/>
  <c r="N42" i="88" s="1"/>
  <c r="B42" i="88"/>
  <c r="T41" i="88"/>
  <c r="P41" i="88"/>
  <c r="H41" i="88"/>
  <c r="D41" i="88"/>
  <c r="L41" i="88" s="1"/>
  <c r="B41" i="88"/>
  <c r="Z40" i="88"/>
  <c r="X40" i="88"/>
  <c r="V40" i="88"/>
  <c r="N40" i="88"/>
  <c r="L40" i="88"/>
  <c r="F40" i="88"/>
  <c r="B40" i="88"/>
  <c r="V39" i="88"/>
  <c r="T39" i="88"/>
  <c r="P39" i="88"/>
  <c r="X39" i="88" s="1"/>
  <c r="H39" i="88"/>
  <c r="F39" i="88"/>
  <c r="D39" i="88"/>
  <c r="L39" i="88" s="1"/>
  <c r="N39" i="88" s="1"/>
  <c r="B39" i="88"/>
  <c r="X38" i="88"/>
  <c r="Z38" i="88" s="1"/>
  <c r="N38" i="88"/>
  <c r="L38" i="88"/>
  <c r="B38" i="88"/>
  <c r="T37" i="88"/>
  <c r="P37" i="88"/>
  <c r="X37" i="88" s="1"/>
  <c r="Z37" i="88" s="1"/>
  <c r="L37" i="88"/>
  <c r="H37" i="88"/>
  <c r="D37" i="88"/>
  <c r="B37" i="88"/>
  <c r="Z36" i="88"/>
  <c r="X36" i="88"/>
  <c r="N36" i="88"/>
  <c r="L36" i="88"/>
  <c r="F36" i="88"/>
  <c r="B36" i="88"/>
  <c r="X35" i="88"/>
  <c r="Z35" i="88" s="1"/>
  <c r="L35" i="88"/>
  <c r="N35" i="88" s="1"/>
  <c r="F35" i="88"/>
  <c r="B35" i="88"/>
  <c r="Z34" i="88"/>
  <c r="X34" i="88"/>
  <c r="N34" i="88"/>
  <c r="L34" i="88"/>
  <c r="B34" i="88"/>
  <c r="X33" i="88"/>
  <c r="Z33" i="88" s="1"/>
  <c r="L33" i="88"/>
  <c r="N33" i="88" s="1"/>
  <c r="B33" i="88"/>
  <c r="T32" i="88"/>
  <c r="P32" i="88"/>
  <c r="X32" i="88" s="1"/>
  <c r="H32" i="88"/>
  <c r="D32" i="88"/>
  <c r="L32" i="88" s="1"/>
  <c r="N32" i="88" s="1"/>
  <c r="B32" i="88"/>
  <c r="X31" i="88"/>
  <c r="Z31" i="88" s="1"/>
  <c r="L31" i="88"/>
  <c r="N31" i="88" s="1"/>
  <c r="F31" i="88"/>
  <c r="B31" i="88"/>
  <c r="X30" i="88"/>
  <c r="Z30" i="88" s="1"/>
  <c r="L30" i="88"/>
  <c r="N30" i="88" s="1"/>
  <c r="B30" i="88"/>
  <c r="Z29" i="88"/>
  <c r="X29" i="88"/>
  <c r="L29" i="88"/>
  <c r="N29" i="88" s="1"/>
  <c r="B29" i="88"/>
  <c r="Z28" i="88"/>
  <c r="X28" i="88"/>
  <c r="N28" i="88"/>
  <c r="L28" i="88"/>
  <c r="B28" i="88"/>
  <c r="X27" i="88"/>
  <c r="Z27" i="88" s="1"/>
  <c r="L27" i="88"/>
  <c r="N27" i="88" s="1"/>
  <c r="F27" i="88"/>
  <c r="B27" i="88"/>
  <c r="X26" i="88"/>
  <c r="Z26" i="88" s="1"/>
  <c r="L26" i="88"/>
  <c r="N26" i="88" s="1"/>
  <c r="B26" i="88"/>
  <c r="X25" i="88"/>
  <c r="Z25" i="88" s="1"/>
  <c r="N25" i="88"/>
  <c r="L25" i="88"/>
  <c r="B25" i="88"/>
  <c r="Z24" i="88"/>
  <c r="X24" i="88"/>
  <c r="N24" i="88"/>
  <c r="L24" i="88"/>
  <c r="F24" i="88"/>
  <c r="B24" i="88"/>
  <c r="T23" i="88"/>
  <c r="P23" i="88"/>
  <c r="N23" i="88"/>
  <c r="L23" i="88"/>
  <c r="H23" i="88"/>
  <c r="D23" i="88"/>
  <c r="B23" i="88"/>
  <c r="V22" i="88"/>
  <c r="T22" i="88"/>
  <c r="P22" i="88"/>
  <c r="X22" i="88" s="1"/>
  <c r="H22" i="88"/>
  <c r="F22" i="88"/>
  <c r="D22" i="88"/>
  <c r="T20" i="88"/>
  <c r="X18" i="88"/>
  <c r="Z18" i="88" s="1"/>
  <c r="V18" i="88"/>
  <c r="L18" i="88"/>
  <c r="N18" i="88" s="1"/>
  <c r="B18" i="88"/>
  <c r="Z17" i="88"/>
  <c r="X17" i="88"/>
  <c r="L17" i="88"/>
  <c r="N17" i="88" s="1"/>
  <c r="B17" i="88"/>
  <c r="T16" i="88"/>
  <c r="P16" i="88"/>
  <c r="H16" i="88"/>
  <c r="N16" i="88" s="1"/>
  <c r="D16" i="88"/>
  <c r="L16" i="88" s="1"/>
  <c r="T14" i="88"/>
  <c r="P14" i="88"/>
  <c r="X14" i="88" s="1"/>
  <c r="Z14" i="88" s="1"/>
  <c r="H14" i="88"/>
  <c r="L14" i="88" s="1"/>
  <c r="D14" i="88"/>
  <c r="B14" i="88"/>
  <c r="T13" i="88"/>
  <c r="T12" i="88" s="1"/>
  <c r="V85" i="88" s="1"/>
  <c r="P13" i="88"/>
  <c r="H13" i="88"/>
  <c r="D13" i="88"/>
  <c r="D12" i="88" s="1"/>
  <c r="F69" i="88" s="1"/>
  <c r="B13" i="88"/>
  <c r="D6" i="88"/>
  <c r="D4" i="88"/>
  <c r="V31" i="87"/>
  <c r="R31" i="87"/>
  <c r="F31" i="87"/>
  <c r="J28" i="87"/>
  <c r="Z26" i="87"/>
  <c r="X26" i="87"/>
  <c r="R26" i="87"/>
  <c r="N26" i="87"/>
  <c r="L26" i="87"/>
  <c r="J26" i="87"/>
  <c r="R24" i="87"/>
  <c r="J24" i="87"/>
  <c r="T22" i="87"/>
  <c r="Z22" i="87" s="1"/>
  <c r="P22" i="87"/>
  <c r="X22" i="87" s="1"/>
  <c r="N22" i="87"/>
  <c r="H22" i="87"/>
  <c r="L22" i="87" s="1"/>
  <c r="D22" i="87"/>
  <c r="Z20" i="87"/>
  <c r="X20" i="87"/>
  <c r="R20" i="87"/>
  <c r="L20" i="87"/>
  <c r="N20" i="87" s="1"/>
  <c r="J20" i="87"/>
  <c r="B20" i="87"/>
  <c r="T19" i="87"/>
  <c r="P19" i="87"/>
  <c r="J19" i="87"/>
  <c r="H19" i="87"/>
  <c r="D19" i="87"/>
  <c r="B19" i="87"/>
  <c r="T18" i="87"/>
  <c r="R18" i="87"/>
  <c r="P18" i="87"/>
  <c r="X18" i="87" s="1"/>
  <c r="Z18" i="87" s="1"/>
  <c r="L18" i="87"/>
  <c r="J18" i="87"/>
  <c r="H18" i="87"/>
  <c r="D18" i="87"/>
  <c r="R16" i="87"/>
  <c r="P16" i="87"/>
  <c r="J16" i="87"/>
  <c r="Z14" i="87"/>
  <c r="V14" i="87"/>
  <c r="T14" i="87"/>
  <c r="R14" i="87"/>
  <c r="P14" i="87"/>
  <c r="X14" i="87" s="1"/>
  <c r="L14" i="87"/>
  <c r="J14" i="87"/>
  <c r="H14" i="87"/>
  <c r="N14" i="87" s="1"/>
  <c r="D14" i="87"/>
  <c r="T12" i="87"/>
  <c r="P12" i="87"/>
  <c r="R28" i="87" s="1"/>
  <c r="N12" i="87"/>
  <c r="L12" i="87"/>
  <c r="H12" i="87"/>
  <c r="J31" i="87" s="1"/>
  <c r="D12" i="87"/>
  <c r="D6" i="87"/>
  <c r="D4" i="87"/>
  <c r="X32" i="86"/>
  <c r="Z32" i="86" s="1"/>
  <c r="N32" i="86"/>
  <c r="L32" i="86"/>
  <c r="T28" i="86"/>
  <c r="Z28" i="86" s="1"/>
  <c r="P28" i="86"/>
  <c r="N28" i="86"/>
  <c r="J28" i="86"/>
  <c r="H28" i="86"/>
  <c r="D28" i="86"/>
  <c r="L28" i="86" s="1"/>
  <c r="X26" i="86"/>
  <c r="Z26" i="86" s="1"/>
  <c r="N26" i="86"/>
  <c r="L26" i="86"/>
  <c r="J26" i="86"/>
  <c r="B26" i="86"/>
  <c r="T25" i="86"/>
  <c r="R25" i="86"/>
  <c r="P25" i="86"/>
  <c r="X25" i="86" s="1"/>
  <c r="Z25" i="86" s="1"/>
  <c r="H25" i="86"/>
  <c r="N25" i="86" s="1"/>
  <c r="D25" i="86"/>
  <c r="B25" i="86"/>
  <c r="Z24" i="86"/>
  <c r="X24" i="86"/>
  <c r="N24" i="86"/>
  <c r="L24" i="86"/>
  <c r="F24" i="86"/>
  <c r="B24" i="86"/>
  <c r="X23" i="86"/>
  <c r="T23" i="86"/>
  <c r="Z23" i="86" s="1"/>
  <c r="P23" i="86"/>
  <c r="N23" i="86"/>
  <c r="J23" i="86"/>
  <c r="H23" i="86"/>
  <c r="D23" i="86"/>
  <c r="L23" i="86" s="1"/>
  <c r="B23" i="86"/>
  <c r="Z22" i="86"/>
  <c r="X22" i="86"/>
  <c r="L22" i="86"/>
  <c r="N22" i="86" s="1"/>
  <c r="B22" i="86"/>
  <c r="T21" i="86"/>
  <c r="P21" i="86"/>
  <c r="X21" i="86" s="1"/>
  <c r="N21" i="86"/>
  <c r="J21" i="86"/>
  <c r="H21" i="86"/>
  <c r="D21" i="86"/>
  <c r="L21" i="86" s="1"/>
  <c r="B21" i="86"/>
  <c r="T20" i="86"/>
  <c r="P20" i="86"/>
  <c r="X20" i="86" s="1"/>
  <c r="Z20" i="86" s="1"/>
  <c r="L20" i="86"/>
  <c r="J20" i="86"/>
  <c r="H20" i="86"/>
  <c r="D20" i="86"/>
  <c r="D18" i="86"/>
  <c r="D30" i="86" s="1"/>
  <c r="Z16" i="86"/>
  <c r="X16" i="86"/>
  <c r="L16" i="86"/>
  <c r="N16" i="86" s="1"/>
  <c r="B16" i="86"/>
  <c r="T15" i="86"/>
  <c r="P15" i="86"/>
  <c r="L15" i="86"/>
  <c r="N15" i="86" s="1"/>
  <c r="J15" i="86"/>
  <c r="H15" i="86"/>
  <c r="D15" i="86"/>
  <c r="T13" i="86"/>
  <c r="P13" i="86"/>
  <c r="H13" i="86"/>
  <c r="D13" i="86"/>
  <c r="D12" i="86" s="1"/>
  <c r="B13" i="86"/>
  <c r="T12" i="86"/>
  <c r="P12" i="86"/>
  <c r="H12" i="86"/>
  <c r="J22" i="86" s="1"/>
  <c r="D6" i="86"/>
  <c r="D4" i="86"/>
  <c r="X122" i="85"/>
  <c r="Z122" i="85" s="1"/>
  <c r="N122" i="85"/>
  <c r="L122" i="85"/>
  <c r="Z118" i="85"/>
  <c r="T118" i="85"/>
  <c r="P118" i="85"/>
  <c r="X118" i="85" s="1"/>
  <c r="H118" i="85"/>
  <c r="N118" i="85" s="1"/>
  <c r="D118" i="85"/>
  <c r="L118" i="85" s="1"/>
  <c r="Z116" i="85"/>
  <c r="X116" i="85"/>
  <c r="N116" i="85"/>
  <c r="L116" i="85"/>
  <c r="B116" i="85"/>
  <c r="Z115" i="85"/>
  <c r="T115" i="85"/>
  <c r="P115" i="85"/>
  <c r="X115" i="85" s="1"/>
  <c r="H115" i="85"/>
  <c r="D115" i="85"/>
  <c r="L115" i="85" s="1"/>
  <c r="N115" i="85" s="1"/>
  <c r="B115" i="85"/>
  <c r="X114" i="85"/>
  <c r="Z114" i="85" s="1"/>
  <c r="N114" i="85"/>
  <c r="L114" i="85"/>
  <c r="B114" i="85"/>
  <c r="T113" i="85"/>
  <c r="P113" i="85"/>
  <c r="X113" i="85" s="1"/>
  <c r="Z113" i="85" s="1"/>
  <c r="H113" i="85"/>
  <c r="D113" i="85"/>
  <c r="B113" i="85"/>
  <c r="X112" i="85"/>
  <c r="Z112" i="85" s="1"/>
  <c r="N112" i="85"/>
  <c r="L112" i="85"/>
  <c r="B112" i="85"/>
  <c r="T111" i="85"/>
  <c r="X111" i="85" s="1"/>
  <c r="P111" i="85"/>
  <c r="H111" i="85"/>
  <c r="D111" i="85"/>
  <c r="L111" i="85" s="1"/>
  <c r="N111" i="85" s="1"/>
  <c r="B111" i="85"/>
  <c r="X110" i="85"/>
  <c r="Z110" i="85" s="1"/>
  <c r="N110" i="85"/>
  <c r="L110" i="85"/>
  <c r="B110" i="85"/>
  <c r="X109" i="85"/>
  <c r="Z109" i="85" s="1"/>
  <c r="N109" i="85"/>
  <c r="L109" i="85"/>
  <c r="J109" i="85"/>
  <c r="B109" i="85"/>
  <c r="Z108" i="85"/>
  <c r="X108" i="85"/>
  <c r="N108" i="85"/>
  <c r="L108" i="85"/>
  <c r="B108" i="85"/>
  <c r="Z107" i="85"/>
  <c r="X107" i="85"/>
  <c r="N107" i="85"/>
  <c r="L107" i="85"/>
  <c r="B107" i="85"/>
  <c r="X106" i="85"/>
  <c r="Z106" i="85" s="1"/>
  <c r="L106" i="85"/>
  <c r="N106" i="85" s="1"/>
  <c r="B106" i="85"/>
  <c r="X105" i="85"/>
  <c r="Z105" i="85" s="1"/>
  <c r="T105" i="85"/>
  <c r="P105" i="85"/>
  <c r="N105" i="85"/>
  <c r="H105" i="85"/>
  <c r="D105" i="85"/>
  <c r="L105" i="85" s="1"/>
  <c r="B105" i="85"/>
  <c r="Z104" i="85"/>
  <c r="X104" i="85"/>
  <c r="N104" i="85"/>
  <c r="L104" i="85"/>
  <c r="B104" i="85"/>
  <c r="X103" i="85"/>
  <c r="T103" i="85"/>
  <c r="P103" i="85"/>
  <c r="H103" i="85"/>
  <c r="D103" i="85"/>
  <c r="L103" i="85" s="1"/>
  <c r="N103" i="85" s="1"/>
  <c r="B103" i="85"/>
  <c r="Z102" i="85"/>
  <c r="X102" i="85"/>
  <c r="L102" i="85"/>
  <c r="N102" i="85" s="1"/>
  <c r="B102" i="85"/>
  <c r="X101" i="85"/>
  <c r="Z101" i="85" s="1"/>
  <c r="L101" i="85"/>
  <c r="N101" i="85" s="1"/>
  <c r="B101" i="85"/>
  <c r="Z100" i="85"/>
  <c r="X100" i="85"/>
  <c r="N100" i="85"/>
  <c r="L100" i="85"/>
  <c r="B100" i="85"/>
  <c r="Z99" i="85"/>
  <c r="T99" i="85"/>
  <c r="X99" i="85" s="1"/>
  <c r="P99" i="85"/>
  <c r="H99" i="85"/>
  <c r="N99" i="85" s="1"/>
  <c r="D99" i="85"/>
  <c r="L99" i="85" s="1"/>
  <c r="B99" i="85"/>
  <c r="X98" i="85"/>
  <c r="Z98" i="85" s="1"/>
  <c r="R98" i="85"/>
  <c r="N98" i="85"/>
  <c r="L98" i="85"/>
  <c r="B98" i="85"/>
  <c r="X97" i="85"/>
  <c r="Z97" i="85" s="1"/>
  <c r="L97" i="85"/>
  <c r="N97" i="85" s="1"/>
  <c r="B97" i="85"/>
  <c r="Z96" i="85"/>
  <c r="T96" i="85"/>
  <c r="P96" i="85"/>
  <c r="X96" i="85" s="1"/>
  <c r="L96" i="85"/>
  <c r="H96" i="85"/>
  <c r="D96" i="85"/>
  <c r="B96" i="85"/>
  <c r="X95" i="85"/>
  <c r="Z95" i="85" s="1"/>
  <c r="N95" i="85"/>
  <c r="L95" i="85"/>
  <c r="B95" i="85"/>
  <c r="X94" i="85"/>
  <c r="T94" i="85"/>
  <c r="P94" i="85"/>
  <c r="H94" i="85"/>
  <c r="F94" i="85"/>
  <c r="D94" i="85"/>
  <c r="L94" i="85" s="1"/>
  <c r="B94" i="85"/>
  <c r="X93" i="85"/>
  <c r="Z93" i="85" s="1"/>
  <c r="N93" i="85"/>
  <c r="L93" i="85"/>
  <c r="B93" i="85"/>
  <c r="T92" i="85"/>
  <c r="P92" i="85"/>
  <c r="H92" i="85"/>
  <c r="N92" i="85" s="1"/>
  <c r="D92" i="85"/>
  <c r="B92" i="85"/>
  <c r="Z91" i="85"/>
  <c r="X91" i="85"/>
  <c r="L91" i="85"/>
  <c r="N91" i="85" s="1"/>
  <c r="B91" i="85"/>
  <c r="T90" i="85"/>
  <c r="P90" i="85"/>
  <c r="H90" i="85"/>
  <c r="D90" i="85"/>
  <c r="L90" i="85" s="1"/>
  <c r="N90" i="85" s="1"/>
  <c r="B90" i="85"/>
  <c r="Z89" i="85"/>
  <c r="X89" i="85"/>
  <c r="N89" i="85"/>
  <c r="L89" i="85"/>
  <c r="B89" i="85"/>
  <c r="T88" i="85"/>
  <c r="P88" i="85"/>
  <c r="X88" i="85" s="1"/>
  <c r="Z88" i="85" s="1"/>
  <c r="L88" i="85"/>
  <c r="H88" i="85"/>
  <c r="D88" i="85"/>
  <c r="B88" i="85"/>
  <c r="Z87" i="85"/>
  <c r="X87" i="85"/>
  <c r="N87" i="85"/>
  <c r="L87" i="85"/>
  <c r="B87" i="85"/>
  <c r="Z86" i="85"/>
  <c r="T86" i="85"/>
  <c r="P86" i="85"/>
  <c r="X86" i="85" s="1"/>
  <c r="N86" i="85"/>
  <c r="L86" i="85"/>
  <c r="H86" i="85"/>
  <c r="D86" i="85"/>
  <c r="B86" i="85"/>
  <c r="X85" i="85"/>
  <c r="Z85" i="85" s="1"/>
  <c r="N85" i="85"/>
  <c r="L85" i="85"/>
  <c r="B85" i="85"/>
  <c r="T84" i="85"/>
  <c r="P84" i="85"/>
  <c r="X84" i="85" s="1"/>
  <c r="Z84" i="85" s="1"/>
  <c r="L84" i="85"/>
  <c r="H84" i="85"/>
  <c r="N84" i="85" s="1"/>
  <c r="D84" i="85"/>
  <c r="B84" i="85"/>
  <c r="X83" i="85"/>
  <c r="Z83" i="85" s="1"/>
  <c r="N83" i="85"/>
  <c r="L83" i="85"/>
  <c r="B83" i="85"/>
  <c r="X82" i="85"/>
  <c r="T82" i="85"/>
  <c r="Z82" i="85" s="1"/>
  <c r="P82" i="85"/>
  <c r="H82" i="85"/>
  <c r="N82" i="85" s="1"/>
  <c r="D82" i="85"/>
  <c r="L82" i="85" s="1"/>
  <c r="B82" i="85"/>
  <c r="Z81" i="85"/>
  <c r="X81" i="85"/>
  <c r="N81" i="85"/>
  <c r="L81" i="85"/>
  <c r="B81" i="85"/>
  <c r="Z80" i="85"/>
  <c r="X80" i="85"/>
  <c r="T80" i="85"/>
  <c r="P80" i="85"/>
  <c r="H80" i="85"/>
  <c r="L80" i="85" s="1"/>
  <c r="N80" i="85" s="1"/>
  <c r="D80" i="85"/>
  <c r="B80" i="85"/>
  <c r="Z79" i="85"/>
  <c r="X79" i="85"/>
  <c r="L79" i="85"/>
  <c r="N79" i="85" s="1"/>
  <c r="J79" i="85"/>
  <c r="B79" i="85"/>
  <c r="T78" i="85"/>
  <c r="P78" i="85"/>
  <c r="H78" i="85"/>
  <c r="N78" i="85" s="1"/>
  <c r="D78" i="85"/>
  <c r="L78" i="85" s="1"/>
  <c r="B78" i="85"/>
  <c r="Z77" i="85"/>
  <c r="X77" i="85"/>
  <c r="N77" i="85"/>
  <c r="L77" i="85"/>
  <c r="B77" i="85"/>
  <c r="T76" i="85"/>
  <c r="Z76" i="85" s="1"/>
  <c r="P76" i="85"/>
  <c r="X76" i="85" s="1"/>
  <c r="H76" i="85"/>
  <c r="L76" i="85" s="1"/>
  <c r="D76" i="85"/>
  <c r="B76" i="85"/>
  <c r="X75" i="85"/>
  <c r="Z75" i="85" s="1"/>
  <c r="N75" i="85"/>
  <c r="L75" i="85"/>
  <c r="B75" i="85"/>
  <c r="T74" i="85"/>
  <c r="P74" i="85"/>
  <c r="X74" i="85" s="1"/>
  <c r="L74" i="85"/>
  <c r="N74" i="85" s="1"/>
  <c r="H74" i="85"/>
  <c r="D74" i="85"/>
  <c r="B74" i="85"/>
  <c r="X73" i="85"/>
  <c r="Z73" i="85" s="1"/>
  <c r="L73" i="85"/>
  <c r="N73" i="85" s="1"/>
  <c r="J73" i="85"/>
  <c r="B73" i="85"/>
  <c r="X72" i="85"/>
  <c r="Z72" i="85" s="1"/>
  <c r="N72" i="85"/>
  <c r="L72" i="85"/>
  <c r="B72" i="85"/>
  <c r="Z71" i="85"/>
  <c r="X71" i="85"/>
  <c r="N71" i="85"/>
  <c r="L71" i="85"/>
  <c r="B71" i="85"/>
  <c r="Z70" i="85"/>
  <c r="X70" i="85"/>
  <c r="N70" i="85"/>
  <c r="L70" i="85"/>
  <c r="B70" i="85"/>
  <c r="T69" i="85"/>
  <c r="P69" i="85"/>
  <c r="X69" i="85" s="1"/>
  <c r="N69" i="85"/>
  <c r="L69" i="85"/>
  <c r="H69" i="85"/>
  <c r="D69" i="85"/>
  <c r="B69" i="85"/>
  <c r="X68" i="85"/>
  <c r="Z68" i="85" s="1"/>
  <c r="L68" i="85"/>
  <c r="N68" i="85" s="1"/>
  <c r="B68" i="85"/>
  <c r="Z67" i="85"/>
  <c r="X67" i="85"/>
  <c r="N67" i="85"/>
  <c r="L67" i="85"/>
  <c r="B67" i="85"/>
  <c r="Z66" i="85"/>
  <c r="X66" i="85"/>
  <c r="N66" i="85"/>
  <c r="L66" i="85"/>
  <c r="B66" i="85"/>
  <c r="X65" i="85"/>
  <c r="Z65" i="85" s="1"/>
  <c r="N65" i="85"/>
  <c r="L65" i="85"/>
  <c r="B65" i="85"/>
  <c r="X64" i="85"/>
  <c r="Z64" i="85" s="1"/>
  <c r="L64" i="85"/>
  <c r="N64" i="85" s="1"/>
  <c r="B64" i="85"/>
  <c r="Z63" i="85"/>
  <c r="X63" i="85"/>
  <c r="N63" i="85"/>
  <c r="L63" i="85"/>
  <c r="B63" i="85"/>
  <c r="Z62" i="85"/>
  <c r="X62" i="85"/>
  <c r="N62" i="85"/>
  <c r="L62" i="85"/>
  <c r="B62" i="85"/>
  <c r="X61" i="85"/>
  <c r="Z61" i="85" s="1"/>
  <c r="N61" i="85"/>
  <c r="L61" i="85"/>
  <c r="B61" i="85"/>
  <c r="T60" i="85"/>
  <c r="P60" i="85"/>
  <c r="X60" i="85" s="1"/>
  <c r="Z60" i="85" s="1"/>
  <c r="H60" i="85"/>
  <c r="L60" i="85" s="1"/>
  <c r="N60" i="85" s="1"/>
  <c r="D60" i="85"/>
  <c r="B60" i="85"/>
  <c r="T59" i="85"/>
  <c r="R59" i="85"/>
  <c r="P59" i="85"/>
  <c r="X59" i="85" s="1"/>
  <c r="H59" i="85"/>
  <c r="D59" i="85"/>
  <c r="L59" i="85" s="1"/>
  <c r="X55" i="85"/>
  <c r="Z55" i="85" s="1"/>
  <c r="N55" i="85"/>
  <c r="L55" i="85"/>
  <c r="B55" i="85"/>
  <c r="Z54" i="85"/>
  <c r="X54" i="85"/>
  <c r="N54" i="85"/>
  <c r="L54" i="85"/>
  <c r="B54" i="85"/>
  <c r="Z53" i="85"/>
  <c r="X53" i="85"/>
  <c r="L53" i="85"/>
  <c r="N53" i="85" s="1"/>
  <c r="B53" i="85"/>
  <c r="X52" i="85"/>
  <c r="Z52" i="85" s="1"/>
  <c r="L52" i="85"/>
  <c r="N52" i="85" s="1"/>
  <c r="B52" i="85"/>
  <c r="X51" i="85"/>
  <c r="Z51" i="85" s="1"/>
  <c r="N51" i="85"/>
  <c r="L51" i="85"/>
  <c r="B51" i="85"/>
  <c r="Z50" i="85"/>
  <c r="X50" i="85"/>
  <c r="N50" i="85"/>
  <c r="L50" i="85"/>
  <c r="B50" i="85"/>
  <c r="Z49" i="85"/>
  <c r="X49" i="85"/>
  <c r="N49" i="85"/>
  <c r="L49" i="85"/>
  <c r="B49" i="85"/>
  <c r="X48" i="85"/>
  <c r="Z48" i="85" s="1"/>
  <c r="N48" i="85"/>
  <c r="L48" i="85"/>
  <c r="B48" i="85"/>
  <c r="X47" i="85"/>
  <c r="Z47" i="85" s="1"/>
  <c r="N47" i="85"/>
  <c r="L47" i="85"/>
  <c r="B47" i="85"/>
  <c r="Z46" i="85"/>
  <c r="X46" i="85"/>
  <c r="N46" i="85"/>
  <c r="L46" i="85"/>
  <c r="B46" i="85"/>
  <c r="Z45" i="85"/>
  <c r="X45" i="85"/>
  <c r="L45" i="85"/>
  <c r="N45" i="85" s="1"/>
  <c r="B45" i="85"/>
  <c r="X44" i="85"/>
  <c r="Z44" i="85" s="1"/>
  <c r="L44" i="85"/>
  <c r="N44" i="85" s="1"/>
  <c r="B44" i="85"/>
  <c r="X43" i="85"/>
  <c r="Z43" i="85" s="1"/>
  <c r="N43" i="85"/>
  <c r="L43" i="85"/>
  <c r="B43" i="85"/>
  <c r="Z42" i="85"/>
  <c r="X42" i="85"/>
  <c r="N42" i="85"/>
  <c r="L42" i="85"/>
  <c r="B42" i="85"/>
  <c r="Z41" i="85"/>
  <c r="X41" i="85"/>
  <c r="L41" i="85"/>
  <c r="N41" i="85" s="1"/>
  <c r="B41" i="85"/>
  <c r="X40" i="85"/>
  <c r="Z40" i="85" s="1"/>
  <c r="N40" i="85"/>
  <c r="L40" i="85"/>
  <c r="B40" i="85"/>
  <c r="X39" i="85"/>
  <c r="Z39" i="85" s="1"/>
  <c r="N39" i="85"/>
  <c r="L39" i="85"/>
  <c r="B39" i="85"/>
  <c r="Z38" i="85"/>
  <c r="X38" i="85"/>
  <c r="N38" i="85"/>
  <c r="L38" i="85"/>
  <c r="B38" i="85"/>
  <c r="T37" i="85"/>
  <c r="P37" i="85"/>
  <c r="X37" i="85" s="1"/>
  <c r="H37" i="85"/>
  <c r="N37" i="85" s="1"/>
  <c r="D37" i="85"/>
  <c r="L37" i="85" s="1"/>
  <c r="T35" i="85"/>
  <c r="Z35" i="85" s="1"/>
  <c r="P35" i="85"/>
  <c r="X35" i="85" s="1"/>
  <c r="L35" i="85"/>
  <c r="H35" i="85"/>
  <c r="N35" i="85" s="1"/>
  <c r="D35" i="85"/>
  <c r="B35" i="85"/>
  <c r="X34" i="85"/>
  <c r="T34" i="85"/>
  <c r="P34" i="85"/>
  <c r="L34" i="85"/>
  <c r="H34" i="85"/>
  <c r="N34" i="85" s="1"/>
  <c r="D34" i="85"/>
  <c r="B34" i="85"/>
  <c r="T33" i="85"/>
  <c r="P33" i="85"/>
  <c r="X33" i="85" s="1"/>
  <c r="Z33" i="85" s="1"/>
  <c r="N33" i="85"/>
  <c r="L33" i="85"/>
  <c r="H33" i="85"/>
  <c r="D33" i="85"/>
  <c r="B33" i="85"/>
  <c r="T32" i="85"/>
  <c r="P32" i="85"/>
  <c r="X32" i="85" s="1"/>
  <c r="H32" i="85"/>
  <c r="D32" i="85"/>
  <c r="L32" i="85" s="1"/>
  <c r="B32" i="85"/>
  <c r="T31" i="85"/>
  <c r="P31" i="85"/>
  <c r="X31" i="85" s="1"/>
  <c r="L31" i="85"/>
  <c r="H31" i="85"/>
  <c r="N31" i="85" s="1"/>
  <c r="D31" i="85"/>
  <c r="B31" i="85"/>
  <c r="X30" i="85"/>
  <c r="T30" i="85"/>
  <c r="Z30" i="85" s="1"/>
  <c r="P30" i="85"/>
  <c r="L30" i="85"/>
  <c r="H30" i="85"/>
  <c r="N30" i="85" s="1"/>
  <c r="D30" i="85"/>
  <c r="B30" i="85"/>
  <c r="T29" i="85"/>
  <c r="Z29" i="85" s="1"/>
  <c r="P29" i="85"/>
  <c r="X29" i="85" s="1"/>
  <c r="N29" i="85"/>
  <c r="L29" i="85"/>
  <c r="H29" i="85"/>
  <c r="D29" i="85"/>
  <c r="B29" i="85"/>
  <c r="T28" i="85"/>
  <c r="Z28" i="85" s="1"/>
  <c r="P28" i="85"/>
  <c r="X28" i="85" s="1"/>
  <c r="H28" i="85"/>
  <c r="D28" i="85"/>
  <c r="L28" i="85" s="1"/>
  <c r="B28" i="85"/>
  <c r="T27" i="85"/>
  <c r="Z27" i="85" s="1"/>
  <c r="P27" i="85"/>
  <c r="X27" i="85" s="1"/>
  <c r="L27" i="85"/>
  <c r="H27" i="85"/>
  <c r="N27" i="85" s="1"/>
  <c r="D27" i="85"/>
  <c r="B27" i="85"/>
  <c r="X26" i="85"/>
  <c r="T26" i="85"/>
  <c r="Z26" i="85" s="1"/>
  <c r="P26" i="85"/>
  <c r="L26" i="85"/>
  <c r="H26" i="85"/>
  <c r="N26" i="85" s="1"/>
  <c r="D26" i="85"/>
  <c r="B26" i="85"/>
  <c r="T25" i="85"/>
  <c r="P25" i="85"/>
  <c r="X25" i="85" s="1"/>
  <c r="N25" i="85"/>
  <c r="L25" i="85"/>
  <c r="H25" i="85"/>
  <c r="D25" i="85"/>
  <c r="B25" i="85"/>
  <c r="T24" i="85"/>
  <c r="Z24" i="85" s="1"/>
  <c r="P24" i="85"/>
  <c r="X24" i="85" s="1"/>
  <c r="H24" i="85"/>
  <c r="N24" i="85" s="1"/>
  <c r="D24" i="85"/>
  <c r="L24" i="85" s="1"/>
  <c r="B24" i="85"/>
  <c r="T23" i="85"/>
  <c r="P23" i="85"/>
  <c r="X23" i="85" s="1"/>
  <c r="L23" i="85"/>
  <c r="H23" i="85"/>
  <c r="N23" i="85" s="1"/>
  <c r="D23" i="85"/>
  <c r="B23" i="85"/>
  <c r="X22" i="85"/>
  <c r="T22" i="85"/>
  <c r="P22" i="85"/>
  <c r="L22" i="85"/>
  <c r="H22" i="85"/>
  <c r="N22" i="85" s="1"/>
  <c r="D22" i="85"/>
  <c r="B22" i="85"/>
  <c r="T21" i="85"/>
  <c r="P21" i="85"/>
  <c r="X21" i="85" s="1"/>
  <c r="N21" i="85"/>
  <c r="L21" i="85"/>
  <c r="H21" i="85"/>
  <c r="D21" i="85"/>
  <c r="B21" i="85"/>
  <c r="T20" i="85"/>
  <c r="P20" i="85"/>
  <c r="X20" i="85" s="1"/>
  <c r="H20" i="85"/>
  <c r="D20" i="85"/>
  <c r="L20" i="85" s="1"/>
  <c r="B20" i="85"/>
  <c r="T19" i="85"/>
  <c r="P19" i="85"/>
  <c r="X19" i="85" s="1"/>
  <c r="L19" i="85"/>
  <c r="H19" i="85"/>
  <c r="N19" i="85" s="1"/>
  <c r="D19" i="85"/>
  <c r="B19" i="85"/>
  <c r="X18" i="85"/>
  <c r="T18" i="85"/>
  <c r="Z18" i="85" s="1"/>
  <c r="P18" i="85"/>
  <c r="L18" i="85"/>
  <c r="H18" i="85"/>
  <c r="N18" i="85" s="1"/>
  <c r="D18" i="85"/>
  <c r="B18" i="85"/>
  <c r="T17" i="85"/>
  <c r="Z17" i="85" s="1"/>
  <c r="P17" i="85"/>
  <c r="X17" i="85" s="1"/>
  <c r="N17" i="85"/>
  <c r="L17" i="85"/>
  <c r="H17" i="85"/>
  <c r="D17" i="85"/>
  <c r="B17" i="85"/>
  <c r="T16" i="85"/>
  <c r="Z16" i="85" s="1"/>
  <c r="P16" i="85"/>
  <c r="X16" i="85" s="1"/>
  <c r="H16" i="85"/>
  <c r="N16" i="85" s="1"/>
  <c r="D16" i="85"/>
  <c r="L16" i="85" s="1"/>
  <c r="B16" i="85"/>
  <c r="T15" i="85"/>
  <c r="Z15" i="85" s="1"/>
  <c r="P15" i="85"/>
  <c r="X15" i="85" s="1"/>
  <c r="L15" i="85"/>
  <c r="H15" i="85"/>
  <c r="N15" i="85" s="1"/>
  <c r="D15" i="85"/>
  <c r="B15" i="85"/>
  <c r="X14" i="85"/>
  <c r="T14" i="85"/>
  <c r="T12" i="85" s="1"/>
  <c r="V65" i="85" s="1"/>
  <c r="P14" i="85"/>
  <c r="L14" i="85"/>
  <c r="H14" i="85"/>
  <c r="N14" i="85" s="1"/>
  <c r="D14" i="85"/>
  <c r="B14" i="85"/>
  <c r="T13" i="85"/>
  <c r="P13" i="85"/>
  <c r="P12" i="85" s="1"/>
  <c r="N13" i="85"/>
  <c r="L13" i="85"/>
  <c r="H13" i="85"/>
  <c r="D13" i="85"/>
  <c r="B13" i="85"/>
  <c r="H12" i="85"/>
  <c r="J112" i="85" s="1"/>
  <c r="D12" i="85"/>
  <c r="F38" i="85" s="1"/>
  <c r="D6" i="85"/>
  <c r="D4" i="85"/>
  <c r="X87" i="84"/>
  <c r="Z87" i="84" s="1"/>
  <c r="N87" i="84"/>
  <c r="L87" i="84"/>
  <c r="Z83" i="84"/>
  <c r="X83" i="84"/>
  <c r="T83" i="84"/>
  <c r="P83" i="84"/>
  <c r="N83" i="84"/>
  <c r="H83" i="84"/>
  <c r="D83" i="84"/>
  <c r="L83" i="84" s="1"/>
  <c r="X81" i="84"/>
  <c r="Z81" i="84" s="1"/>
  <c r="L81" i="84"/>
  <c r="N81" i="84" s="1"/>
  <c r="B81" i="84"/>
  <c r="T80" i="84"/>
  <c r="Z80" i="84" s="1"/>
  <c r="P80" i="84"/>
  <c r="X80" i="84" s="1"/>
  <c r="H80" i="84"/>
  <c r="N80" i="84" s="1"/>
  <c r="D80" i="84"/>
  <c r="L80" i="84" s="1"/>
  <c r="B80" i="84"/>
  <c r="X79" i="84"/>
  <c r="Z79" i="84" s="1"/>
  <c r="N79" i="84"/>
  <c r="L79" i="84"/>
  <c r="B79" i="84"/>
  <c r="X78" i="84"/>
  <c r="T78" i="84"/>
  <c r="Z78" i="84" s="1"/>
  <c r="P78" i="84"/>
  <c r="N78" i="84"/>
  <c r="L78" i="84"/>
  <c r="H78" i="84"/>
  <c r="D78" i="84"/>
  <c r="B78" i="84"/>
  <c r="Z77" i="84"/>
  <c r="X77" i="84"/>
  <c r="L77" i="84"/>
  <c r="N77" i="84" s="1"/>
  <c r="B77" i="84"/>
  <c r="T76" i="84"/>
  <c r="P76" i="84"/>
  <c r="H76" i="84"/>
  <c r="D76" i="84"/>
  <c r="B76" i="84"/>
  <c r="Z75" i="84"/>
  <c r="X75" i="84"/>
  <c r="N75" i="84"/>
  <c r="L75" i="84"/>
  <c r="B75" i="84"/>
  <c r="Z74" i="84"/>
  <c r="X74" i="84"/>
  <c r="L74" i="84"/>
  <c r="N74" i="84" s="1"/>
  <c r="B74" i="84"/>
  <c r="X73" i="84"/>
  <c r="Z73" i="84" s="1"/>
  <c r="L73" i="84"/>
  <c r="N73" i="84" s="1"/>
  <c r="B73" i="84"/>
  <c r="X72" i="84"/>
  <c r="Z72" i="84" s="1"/>
  <c r="N72" i="84"/>
  <c r="L72" i="84"/>
  <c r="B72" i="84"/>
  <c r="Z71" i="84"/>
  <c r="X71" i="84"/>
  <c r="L71" i="84"/>
  <c r="N71" i="84" s="1"/>
  <c r="B71" i="84"/>
  <c r="Z70" i="84"/>
  <c r="X70" i="84"/>
  <c r="N70" i="84"/>
  <c r="L70" i="84"/>
  <c r="B70" i="84"/>
  <c r="X69" i="84"/>
  <c r="Z69" i="84" s="1"/>
  <c r="T69" i="84"/>
  <c r="P69" i="84"/>
  <c r="H69" i="84"/>
  <c r="D69" i="84"/>
  <c r="L69" i="84" s="1"/>
  <c r="N69" i="84" s="1"/>
  <c r="B69" i="84"/>
  <c r="Z68" i="84"/>
  <c r="X68" i="84"/>
  <c r="N68" i="84"/>
  <c r="L68" i="84"/>
  <c r="B68" i="84"/>
  <c r="T67" i="84"/>
  <c r="P67" i="84"/>
  <c r="L67" i="84"/>
  <c r="H67" i="84"/>
  <c r="N67" i="84" s="1"/>
  <c r="D67" i="84"/>
  <c r="B67" i="84"/>
  <c r="X66" i="84"/>
  <c r="Z66" i="84" s="1"/>
  <c r="N66" i="84"/>
  <c r="L66" i="84"/>
  <c r="B66" i="84"/>
  <c r="Z65" i="84"/>
  <c r="X65" i="84"/>
  <c r="L65" i="84"/>
  <c r="N65" i="84" s="1"/>
  <c r="B65" i="84"/>
  <c r="Z64" i="84"/>
  <c r="X64" i="84"/>
  <c r="N64" i="84"/>
  <c r="L64" i="84"/>
  <c r="B64" i="84"/>
  <c r="Z63" i="84"/>
  <c r="X63" i="84"/>
  <c r="N63" i="84"/>
  <c r="L63" i="84"/>
  <c r="B63" i="84"/>
  <c r="V62" i="84"/>
  <c r="T62" i="84"/>
  <c r="P62" i="84"/>
  <c r="H62" i="84"/>
  <c r="D62" i="84"/>
  <c r="L62" i="84" s="1"/>
  <c r="B62" i="84"/>
  <c r="X61" i="84"/>
  <c r="Z61" i="84" s="1"/>
  <c r="N61" i="84"/>
  <c r="L61" i="84"/>
  <c r="B61" i="84"/>
  <c r="X60" i="84"/>
  <c r="Z60" i="84" s="1"/>
  <c r="N60" i="84"/>
  <c r="L60" i="84"/>
  <c r="B60" i="84"/>
  <c r="Z59" i="84"/>
  <c r="X59" i="84"/>
  <c r="N59" i="84"/>
  <c r="L59" i="84"/>
  <c r="B59" i="84"/>
  <c r="T58" i="84"/>
  <c r="P58" i="84"/>
  <c r="X58" i="84" s="1"/>
  <c r="H58" i="84"/>
  <c r="D58" i="84"/>
  <c r="L58" i="84" s="1"/>
  <c r="B58" i="84"/>
  <c r="X57" i="84"/>
  <c r="Z57" i="84" s="1"/>
  <c r="N57" i="84"/>
  <c r="L57" i="84"/>
  <c r="B57" i="84"/>
  <c r="Z56" i="84"/>
  <c r="X56" i="84"/>
  <c r="T56" i="84"/>
  <c r="P56" i="84"/>
  <c r="L56" i="84"/>
  <c r="H56" i="84"/>
  <c r="N56" i="84" s="1"/>
  <c r="D56" i="84"/>
  <c r="B56" i="84"/>
  <c r="Z55" i="84"/>
  <c r="X55" i="84"/>
  <c r="N55" i="84"/>
  <c r="L55" i="84"/>
  <c r="B55" i="84"/>
  <c r="V54" i="84"/>
  <c r="T54" i="84"/>
  <c r="P54" i="84"/>
  <c r="H54" i="84"/>
  <c r="D54" i="84"/>
  <c r="L54" i="84" s="1"/>
  <c r="B54" i="84"/>
  <c r="X53" i="84"/>
  <c r="Z53" i="84" s="1"/>
  <c r="L53" i="84"/>
  <c r="N53" i="84" s="1"/>
  <c r="B53" i="84"/>
  <c r="T52" i="84"/>
  <c r="Z52" i="84" s="1"/>
  <c r="P52" i="84"/>
  <c r="X52" i="84" s="1"/>
  <c r="H52" i="84"/>
  <c r="N52" i="84" s="1"/>
  <c r="D52" i="84"/>
  <c r="L52" i="84" s="1"/>
  <c r="B52" i="84"/>
  <c r="X51" i="84"/>
  <c r="Z51" i="84" s="1"/>
  <c r="N51" i="84"/>
  <c r="L51" i="84"/>
  <c r="B51" i="84"/>
  <c r="X50" i="84"/>
  <c r="T50" i="84"/>
  <c r="Z50" i="84" s="1"/>
  <c r="P50" i="84"/>
  <c r="L50" i="84"/>
  <c r="N50" i="84" s="1"/>
  <c r="H50" i="84"/>
  <c r="D50" i="84"/>
  <c r="B50" i="84"/>
  <c r="Z49" i="84"/>
  <c r="X49" i="84"/>
  <c r="L49" i="84"/>
  <c r="N49" i="84" s="1"/>
  <c r="B49" i="84"/>
  <c r="T48" i="84"/>
  <c r="Z48" i="84" s="1"/>
  <c r="P48" i="84"/>
  <c r="X48" i="84" s="1"/>
  <c r="H48" i="84"/>
  <c r="D48" i="84"/>
  <c r="B48" i="84"/>
  <c r="Z47" i="84"/>
  <c r="X47" i="84"/>
  <c r="N47" i="84"/>
  <c r="L47" i="84"/>
  <c r="B47" i="84"/>
  <c r="Z46" i="84"/>
  <c r="X46" i="84"/>
  <c r="L46" i="84"/>
  <c r="N46" i="84" s="1"/>
  <c r="B46" i="84"/>
  <c r="X45" i="84"/>
  <c r="Z45" i="84" s="1"/>
  <c r="V45" i="84"/>
  <c r="T45" i="84"/>
  <c r="P45" i="84"/>
  <c r="H45" i="84"/>
  <c r="D45" i="84"/>
  <c r="L45" i="84" s="1"/>
  <c r="N45" i="84" s="1"/>
  <c r="B45" i="84"/>
  <c r="X44" i="84"/>
  <c r="Z44" i="84" s="1"/>
  <c r="N44" i="84"/>
  <c r="L44" i="84"/>
  <c r="B44" i="84"/>
  <c r="T43" i="84"/>
  <c r="P43" i="84"/>
  <c r="L43" i="84"/>
  <c r="N43" i="84" s="1"/>
  <c r="H43" i="84"/>
  <c r="D43" i="84"/>
  <c r="B43" i="84"/>
  <c r="X42" i="84"/>
  <c r="Z42" i="84" s="1"/>
  <c r="V42" i="84"/>
  <c r="N42" i="84"/>
  <c r="L42" i="84"/>
  <c r="B42" i="84"/>
  <c r="T41" i="84"/>
  <c r="P41" i="84"/>
  <c r="X41" i="84" s="1"/>
  <c r="Z41" i="84" s="1"/>
  <c r="H41" i="84"/>
  <c r="L41" i="84" s="1"/>
  <c r="N41" i="84" s="1"/>
  <c r="D41" i="84"/>
  <c r="B41" i="84"/>
  <c r="X40" i="84"/>
  <c r="Z40" i="84" s="1"/>
  <c r="N40" i="84"/>
  <c r="L40" i="84"/>
  <c r="B40" i="84"/>
  <c r="T39" i="84"/>
  <c r="P39" i="84"/>
  <c r="X39" i="84" s="1"/>
  <c r="Z39" i="84" s="1"/>
  <c r="L39" i="84"/>
  <c r="N39" i="84" s="1"/>
  <c r="H39" i="84"/>
  <c r="D39" i="84"/>
  <c r="B39" i="84"/>
  <c r="X38" i="84"/>
  <c r="Z38" i="84" s="1"/>
  <c r="L38" i="84"/>
  <c r="N38" i="84" s="1"/>
  <c r="J38" i="84"/>
  <c r="B38" i="84"/>
  <c r="X37" i="84"/>
  <c r="Z37" i="84" s="1"/>
  <c r="N37" i="84"/>
  <c r="L37" i="84"/>
  <c r="B37" i="84"/>
  <c r="X36" i="84"/>
  <c r="Z36" i="84" s="1"/>
  <c r="N36" i="84"/>
  <c r="L36" i="84"/>
  <c r="B36" i="84"/>
  <c r="X35" i="84"/>
  <c r="Z35" i="84" s="1"/>
  <c r="N35" i="84"/>
  <c r="L35" i="84"/>
  <c r="B35" i="84"/>
  <c r="Z34" i="84"/>
  <c r="X34" i="84"/>
  <c r="N34" i="84"/>
  <c r="L34" i="84"/>
  <c r="B34" i="84"/>
  <c r="X33" i="84"/>
  <c r="Z33" i="84" s="1"/>
  <c r="N33" i="84"/>
  <c r="L33" i="84"/>
  <c r="B33" i="84"/>
  <c r="X32" i="84"/>
  <c r="Z32" i="84" s="1"/>
  <c r="T32" i="84"/>
  <c r="P32" i="84"/>
  <c r="L32" i="84"/>
  <c r="H32" i="84"/>
  <c r="N32" i="84" s="1"/>
  <c r="D32" i="84"/>
  <c r="B32" i="84"/>
  <c r="Z31" i="84"/>
  <c r="X31" i="84"/>
  <c r="N31" i="84"/>
  <c r="L31" i="84"/>
  <c r="B31" i="84"/>
  <c r="X30" i="84"/>
  <c r="Z30" i="84" s="1"/>
  <c r="N30" i="84"/>
  <c r="L30" i="84"/>
  <c r="B30" i="84"/>
  <c r="Z29" i="84"/>
  <c r="X29" i="84"/>
  <c r="L29" i="84"/>
  <c r="N29" i="84" s="1"/>
  <c r="B29" i="84"/>
  <c r="Z28" i="84"/>
  <c r="X28" i="84"/>
  <c r="L28" i="84"/>
  <c r="N28" i="84" s="1"/>
  <c r="B28" i="84"/>
  <c r="Z27" i="84"/>
  <c r="X27" i="84"/>
  <c r="N27" i="84"/>
  <c r="L27" i="84"/>
  <c r="B27" i="84"/>
  <c r="X26" i="84"/>
  <c r="Z26" i="84" s="1"/>
  <c r="V26" i="84"/>
  <c r="R26" i="84"/>
  <c r="N26" i="84"/>
  <c r="L26" i="84"/>
  <c r="B26" i="84"/>
  <c r="Z25" i="84"/>
  <c r="X25" i="84"/>
  <c r="L25" i="84"/>
  <c r="N25" i="84" s="1"/>
  <c r="B25" i="84"/>
  <c r="Z24" i="84"/>
  <c r="X24" i="84"/>
  <c r="L24" i="84"/>
  <c r="N24" i="84" s="1"/>
  <c r="B24" i="84"/>
  <c r="T23" i="84"/>
  <c r="X23" i="84" s="1"/>
  <c r="Z23" i="84" s="1"/>
  <c r="P23" i="84"/>
  <c r="H23" i="84"/>
  <c r="D23" i="84"/>
  <c r="L23" i="84" s="1"/>
  <c r="N23" i="84" s="1"/>
  <c r="B23" i="84"/>
  <c r="T22" i="84"/>
  <c r="P22" i="84"/>
  <c r="X22" i="84" s="1"/>
  <c r="H22" i="84"/>
  <c r="N22" i="84" s="1"/>
  <c r="D22" i="84"/>
  <c r="L22" i="84" s="1"/>
  <c r="Z18" i="84"/>
  <c r="X18" i="84"/>
  <c r="L18" i="84"/>
  <c r="N18" i="84" s="1"/>
  <c r="B18" i="84"/>
  <c r="X17" i="84"/>
  <c r="Z17" i="84" s="1"/>
  <c r="L17" i="84"/>
  <c r="N17" i="84" s="1"/>
  <c r="B17" i="84"/>
  <c r="T16" i="84"/>
  <c r="R16" i="84"/>
  <c r="P16" i="84"/>
  <c r="X16" i="84" s="1"/>
  <c r="H16" i="84"/>
  <c r="D16" i="84"/>
  <c r="L16" i="84" s="1"/>
  <c r="T14" i="84"/>
  <c r="P14" i="84"/>
  <c r="P12" i="84" s="1"/>
  <c r="N14" i="84"/>
  <c r="L14" i="84"/>
  <c r="H14" i="84"/>
  <c r="D14" i="84"/>
  <c r="B14" i="84"/>
  <c r="T13" i="84"/>
  <c r="T12" i="84" s="1"/>
  <c r="V66" i="84" s="1"/>
  <c r="P13" i="84"/>
  <c r="X13" i="84" s="1"/>
  <c r="H13" i="84"/>
  <c r="H12" i="84" s="1"/>
  <c r="J39" i="84" s="1"/>
  <c r="D13" i="84"/>
  <c r="B13" i="84"/>
  <c r="D6" i="84"/>
  <c r="D4" i="84"/>
  <c r="Z31" i="83"/>
  <c r="X31" i="83"/>
  <c r="N31" i="83"/>
  <c r="L31" i="83"/>
  <c r="T27" i="83"/>
  <c r="Z27" i="83" s="1"/>
  <c r="P27" i="83"/>
  <c r="X27" i="83" s="1"/>
  <c r="H27" i="83"/>
  <c r="N27" i="83" s="1"/>
  <c r="D27" i="83"/>
  <c r="L27" i="83" s="1"/>
  <c r="X25" i="83"/>
  <c r="Z25" i="83" s="1"/>
  <c r="N25" i="83"/>
  <c r="L25" i="83"/>
  <c r="B25" i="83"/>
  <c r="T24" i="83"/>
  <c r="P24" i="83"/>
  <c r="X24" i="83" s="1"/>
  <c r="Z24" i="83" s="1"/>
  <c r="N24" i="83"/>
  <c r="L24" i="83"/>
  <c r="H24" i="83"/>
  <c r="D24" i="83"/>
  <c r="B24" i="83"/>
  <c r="T23" i="83"/>
  <c r="P23" i="83"/>
  <c r="X23" i="83" s="1"/>
  <c r="N23" i="83"/>
  <c r="L23" i="83"/>
  <c r="H23" i="83"/>
  <c r="D23" i="83"/>
  <c r="X19" i="83"/>
  <c r="Z19" i="83" s="1"/>
  <c r="L19" i="83"/>
  <c r="N19" i="83" s="1"/>
  <c r="B19" i="83"/>
  <c r="X18" i="83"/>
  <c r="Z18" i="83" s="1"/>
  <c r="N18" i="83"/>
  <c r="L18" i="83"/>
  <c r="B18" i="83"/>
  <c r="X17" i="83"/>
  <c r="Z17" i="83" s="1"/>
  <c r="T17" i="83"/>
  <c r="P17" i="83"/>
  <c r="H17" i="83"/>
  <c r="N17" i="83" s="1"/>
  <c r="D17" i="83"/>
  <c r="L17" i="83" s="1"/>
  <c r="X15" i="83"/>
  <c r="Z15" i="83" s="1"/>
  <c r="T15" i="83"/>
  <c r="P15" i="83"/>
  <c r="H15" i="83"/>
  <c r="D15" i="83"/>
  <c r="L15" i="83" s="1"/>
  <c r="N15" i="83" s="1"/>
  <c r="B15" i="83"/>
  <c r="T14" i="83"/>
  <c r="T12" i="83" s="1"/>
  <c r="P14" i="83"/>
  <c r="X14" i="83" s="1"/>
  <c r="H14" i="83"/>
  <c r="D14" i="83"/>
  <c r="L14" i="83" s="1"/>
  <c r="N14" i="83" s="1"/>
  <c r="B14" i="83"/>
  <c r="X13" i="83"/>
  <c r="T13" i="83"/>
  <c r="Z13" i="83" s="1"/>
  <c r="P13" i="83"/>
  <c r="P12" i="83" s="1"/>
  <c r="H13" i="83"/>
  <c r="D13" i="83"/>
  <c r="B13" i="83"/>
  <c r="D6" i="83"/>
  <c r="D4" i="83"/>
  <c r="Z77" i="81"/>
  <c r="X77" i="81"/>
  <c r="L77" i="81"/>
  <c r="N77" i="81" s="1"/>
  <c r="X73" i="81"/>
  <c r="T73" i="81"/>
  <c r="Z73" i="81" s="1"/>
  <c r="P73" i="81"/>
  <c r="H73" i="81"/>
  <c r="D73" i="81"/>
  <c r="X71" i="81"/>
  <c r="Z71" i="81" s="1"/>
  <c r="N71" i="81"/>
  <c r="L71" i="81"/>
  <c r="B71" i="81"/>
  <c r="X70" i="81"/>
  <c r="Z70" i="81" s="1"/>
  <c r="T70" i="81"/>
  <c r="P70" i="81"/>
  <c r="H70" i="81"/>
  <c r="D70" i="81"/>
  <c r="L70" i="81" s="1"/>
  <c r="B70" i="81"/>
  <c r="Z69" i="81"/>
  <c r="X69" i="81"/>
  <c r="N69" i="81"/>
  <c r="L69" i="81"/>
  <c r="B69" i="81"/>
  <c r="T68" i="81"/>
  <c r="P68" i="81"/>
  <c r="H68" i="81"/>
  <c r="D68" i="81"/>
  <c r="B68" i="81"/>
  <c r="X67" i="81"/>
  <c r="Z67" i="81" s="1"/>
  <c r="N67" i="81"/>
  <c r="L67" i="81"/>
  <c r="B67" i="81"/>
  <c r="X66" i="81"/>
  <c r="Z66" i="81" s="1"/>
  <c r="L66" i="81"/>
  <c r="N66" i="81" s="1"/>
  <c r="B66" i="81"/>
  <c r="Z65" i="81"/>
  <c r="X65" i="81"/>
  <c r="N65" i="81"/>
  <c r="L65" i="81"/>
  <c r="B65" i="81"/>
  <c r="Z64" i="81"/>
  <c r="X64" i="81"/>
  <c r="L64" i="81"/>
  <c r="N64" i="81" s="1"/>
  <c r="B64" i="81"/>
  <c r="X63" i="81"/>
  <c r="Z63" i="81" s="1"/>
  <c r="L63" i="81"/>
  <c r="N63" i="81" s="1"/>
  <c r="B63" i="81"/>
  <c r="Z62" i="81"/>
  <c r="X62" i="81"/>
  <c r="N62" i="81"/>
  <c r="L62" i="81"/>
  <c r="B62" i="81"/>
  <c r="T61" i="81"/>
  <c r="P61" i="81"/>
  <c r="X61" i="81" s="1"/>
  <c r="Z61" i="81" s="1"/>
  <c r="L61" i="81"/>
  <c r="N61" i="81" s="1"/>
  <c r="H61" i="81"/>
  <c r="D61" i="81"/>
  <c r="B61" i="81"/>
  <c r="X60" i="81"/>
  <c r="Z60" i="81" s="1"/>
  <c r="N60" i="81"/>
  <c r="L60" i="81"/>
  <c r="B60" i="81"/>
  <c r="X59" i="81"/>
  <c r="T59" i="81"/>
  <c r="Z59" i="81" s="1"/>
  <c r="P59" i="81"/>
  <c r="H59" i="81"/>
  <c r="D59" i="81"/>
  <c r="B59" i="81"/>
  <c r="Z58" i="81"/>
  <c r="X58" i="81"/>
  <c r="L58" i="81"/>
  <c r="N58" i="81" s="1"/>
  <c r="B58" i="81"/>
  <c r="Z57" i="81"/>
  <c r="X57" i="81"/>
  <c r="N57" i="81"/>
  <c r="L57" i="81"/>
  <c r="B57" i="81"/>
  <c r="X56" i="81"/>
  <c r="Z56" i="81" s="1"/>
  <c r="N56" i="81"/>
  <c r="L56" i="81"/>
  <c r="B56" i="81"/>
  <c r="T55" i="81"/>
  <c r="P55" i="81"/>
  <c r="X55" i="81" s="1"/>
  <c r="Z55" i="81" s="1"/>
  <c r="N55" i="81"/>
  <c r="H55" i="81"/>
  <c r="L55" i="81" s="1"/>
  <c r="D55" i="81"/>
  <c r="B55" i="81"/>
  <c r="X54" i="81"/>
  <c r="Z54" i="81" s="1"/>
  <c r="N54" i="81"/>
  <c r="L54" i="81"/>
  <c r="B54" i="81"/>
  <c r="Z53" i="81"/>
  <c r="X53" i="81"/>
  <c r="N53" i="81"/>
  <c r="L53" i="81"/>
  <c r="B53" i="81"/>
  <c r="T52" i="81"/>
  <c r="P52" i="81"/>
  <c r="X52" i="81" s="1"/>
  <c r="H52" i="81"/>
  <c r="D52" i="81"/>
  <c r="L52" i="81" s="1"/>
  <c r="B52" i="81"/>
  <c r="X51" i="81"/>
  <c r="Z51" i="81" s="1"/>
  <c r="N51" i="81"/>
  <c r="L51" i="81"/>
  <c r="B51" i="81"/>
  <c r="Z50" i="81"/>
  <c r="X50" i="81"/>
  <c r="T50" i="81"/>
  <c r="P50" i="81"/>
  <c r="H50" i="81"/>
  <c r="D50" i="81"/>
  <c r="L50" i="81" s="1"/>
  <c r="B50" i="81"/>
  <c r="Z49" i="81"/>
  <c r="X49" i="81"/>
  <c r="N49" i="81"/>
  <c r="L49" i="81"/>
  <c r="B49" i="81"/>
  <c r="X48" i="81"/>
  <c r="T48" i="81"/>
  <c r="P48" i="81"/>
  <c r="H48" i="81"/>
  <c r="D48" i="81"/>
  <c r="B48" i="81"/>
  <c r="Z47" i="81"/>
  <c r="X47" i="81"/>
  <c r="N47" i="81"/>
  <c r="L47" i="81"/>
  <c r="B47" i="81"/>
  <c r="T46" i="81"/>
  <c r="P46" i="81"/>
  <c r="H46" i="81"/>
  <c r="N46" i="81" s="1"/>
  <c r="D46" i="81"/>
  <c r="L46" i="81" s="1"/>
  <c r="B46" i="81"/>
  <c r="Z45" i="81"/>
  <c r="X45" i="81"/>
  <c r="R45" i="81"/>
  <c r="N45" i="81"/>
  <c r="L45" i="81"/>
  <c r="B45" i="81"/>
  <c r="T44" i="81"/>
  <c r="P44" i="81"/>
  <c r="X44" i="81" s="1"/>
  <c r="L44" i="81"/>
  <c r="N44" i="81" s="1"/>
  <c r="H44" i="81"/>
  <c r="D44" i="81"/>
  <c r="B44" i="81"/>
  <c r="Z43" i="81"/>
  <c r="X43" i="81"/>
  <c r="N43" i="81"/>
  <c r="L43" i="81"/>
  <c r="B43" i="81"/>
  <c r="T42" i="81"/>
  <c r="P42" i="81"/>
  <c r="L42" i="81"/>
  <c r="H42" i="81"/>
  <c r="D42" i="81"/>
  <c r="B42" i="81"/>
  <c r="Z41" i="81"/>
  <c r="X41" i="81"/>
  <c r="N41" i="81"/>
  <c r="L41" i="81"/>
  <c r="B41" i="81"/>
  <c r="T40" i="81"/>
  <c r="Z40" i="81" s="1"/>
  <c r="P40" i="81"/>
  <c r="X40" i="81" s="1"/>
  <c r="H40" i="81"/>
  <c r="D40" i="81"/>
  <c r="B40" i="81"/>
  <c r="X39" i="81"/>
  <c r="Z39" i="81" s="1"/>
  <c r="N39" i="81"/>
  <c r="L39" i="81"/>
  <c r="B39" i="81"/>
  <c r="X38" i="81"/>
  <c r="Z38" i="81" s="1"/>
  <c r="T38" i="81"/>
  <c r="P38" i="81"/>
  <c r="L38" i="81"/>
  <c r="H38" i="81"/>
  <c r="N38" i="81" s="1"/>
  <c r="D38" i="81"/>
  <c r="B38" i="81"/>
  <c r="Z37" i="81"/>
  <c r="X37" i="81"/>
  <c r="N37" i="81"/>
  <c r="L37" i="81"/>
  <c r="B37" i="81"/>
  <c r="X36" i="81"/>
  <c r="Z36" i="81" s="1"/>
  <c r="R36" i="81"/>
  <c r="N36" i="81"/>
  <c r="L36" i="81"/>
  <c r="B36" i="81"/>
  <c r="Z35" i="81"/>
  <c r="X35" i="81"/>
  <c r="N35" i="81"/>
  <c r="L35" i="81"/>
  <c r="B35" i="81"/>
  <c r="Z34" i="81"/>
  <c r="X34" i="81"/>
  <c r="R34" i="81"/>
  <c r="N34" i="81"/>
  <c r="L34" i="81"/>
  <c r="B34" i="81"/>
  <c r="Z33" i="81"/>
  <c r="X33" i="81"/>
  <c r="N33" i="81"/>
  <c r="L33" i="81"/>
  <c r="B33" i="81"/>
  <c r="T32" i="81"/>
  <c r="P32" i="81"/>
  <c r="H32" i="81"/>
  <c r="D32" i="81"/>
  <c r="B32" i="81"/>
  <c r="Z31" i="81"/>
  <c r="X31" i="81"/>
  <c r="L31" i="81"/>
  <c r="N31" i="81" s="1"/>
  <c r="B31" i="81"/>
  <c r="X30" i="81"/>
  <c r="Z30" i="81" s="1"/>
  <c r="R30" i="81"/>
  <c r="N30" i="81"/>
  <c r="L30" i="81"/>
  <c r="B30" i="81"/>
  <c r="Z29" i="81"/>
  <c r="X29" i="81"/>
  <c r="N29" i="81"/>
  <c r="L29" i="81"/>
  <c r="B29" i="81"/>
  <c r="Z28" i="81"/>
  <c r="X28" i="81"/>
  <c r="L28" i="81"/>
  <c r="N28" i="81" s="1"/>
  <c r="B28" i="81"/>
  <c r="X27" i="81"/>
  <c r="Z27" i="81" s="1"/>
  <c r="L27" i="81"/>
  <c r="N27" i="81" s="1"/>
  <c r="B27" i="81"/>
  <c r="X26" i="81"/>
  <c r="Z26" i="81" s="1"/>
  <c r="L26" i="81"/>
  <c r="N26" i="81" s="1"/>
  <c r="B26" i="81"/>
  <c r="Z25" i="81"/>
  <c r="X25" i="81"/>
  <c r="N25" i="81"/>
  <c r="L25" i="81"/>
  <c r="B25" i="81"/>
  <c r="Z24" i="81"/>
  <c r="X24" i="81"/>
  <c r="L24" i="81"/>
  <c r="N24" i="81" s="1"/>
  <c r="B24" i="81"/>
  <c r="T23" i="81"/>
  <c r="P23" i="81"/>
  <c r="X23" i="81" s="1"/>
  <c r="Z23" i="81" s="1"/>
  <c r="H23" i="81"/>
  <c r="D23" i="81"/>
  <c r="L23" i="81" s="1"/>
  <c r="N23" i="81" s="1"/>
  <c r="B23" i="81"/>
  <c r="T22" i="81"/>
  <c r="P22" i="81"/>
  <c r="X22" i="81" s="1"/>
  <c r="Z22" i="81" s="1"/>
  <c r="H22" i="81"/>
  <c r="D22" i="81"/>
  <c r="L22" i="81" s="1"/>
  <c r="X18" i="81"/>
  <c r="Z18" i="81" s="1"/>
  <c r="L18" i="81"/>
  <c r="N18" i="81" s="1"/>
  <c r="B18" i="81"/>
  <c r="Z17" i="81"/>
  <c r="X17" i="81"/>
  <c r="R17" i="81"/>
  <c r="N17" i="81"/>
  <c r="L17" i="81"/>
  <c r="B17" i="81"/>
  <c r="T16" i="81"/>
  <c r="P16" i="81"/>
  <c r="X16" i="81" s="1"/>
  <c r="L16" i="81"/>
  <c r="N16" i="81" s="1"/>
  <c r="H16" i="81"/>
  <c r="D16" i="81"/>
  <c r="X14" i="81"/>
  <c r="T14" i="81"/>
  <c r="P14" i="81"/>
  <c r="P12" i="81" s="1"/>
  <c r="R55" i="81" s="1"/>
  <c r="L14" i="81"/>
  <c r="H14" i="81"/>
  <c r="D14" i="81"/>
  <c r="B14" i="81"/>
  <c r="T13" i="81"/>
  <c r="P13" i="81"/>
  <c r="H13" i="81"/>
  <c r="H12" i="81" s="1"/>
  <c r="J60" i="81" s="1"/>
  <c r="D13" i="81"/>
  <c r="B13" i="81"/>
  <c r="D12" i="81"/>
  <c r="F59" i="81" s="1"/>
  <c r="D6" i="81"/>
  <c r="D4" i="81"/>
  <c r="X72" i="80"/>
  <c r="Z72" i="80" s="1"/>
  <c r="L72" i="80"/>
  <c r="N72" i="80" s="1"/>
  <c r="X68" i="80"/>
  <c r="T68" i="80"/>
  <c r="Z68" i="80" s="1"/>
  <c r="P68" i="80"/>
  <c r="N68" i="80"/>
  <c r="H68" i="80"/>
  <c r="L68" i="80" s="1"/>
  <c r="D68" i="80"/>
  <c r="X66" i="80"/>
  <c r="Z66" i="80" s="1"/>
  <c r="L66" i="80"/>
  <c r="N66" i="80" s="1"/>
  <c r="B66" i="80"/>
  <c r="X65" i="80"/>
  <c r="Z65" i="80" s="1"/>
  <c r="T65" i="80"/>
  <c r="P65" i="80"/>
  <c r="N65" i="80"/>
  <c r="H65" i="80"/>
  <c r="D65" i="80"/>
  <c r="L65" i="80" s="1"/>
  <c r="B65" i="80"/>
  <c r="X64" i="80"/>
  <c r="Z64" i="80" s="1"/>
  <c r="N64" i="80"/>
  <c r="L64" i="80"/>
  <c r="B64" i="80"/>
  <c r="T63" i="80"/>
  <c r="X63" i="80" s="1"/>
  <c r="Z63" i="80" s="1"/>
  <c r="P63" i="80"/>
  <c r="N63" i="80"/>
  <c r="H63" i="80"/>
  <c r="D63" i="80"/>
  <c r="L63" i="80" s="1"/>
  <c r="B63" i="80"/>
  <c r="Z62" i="80"/>
  <c r="X62" i="80"/>
  <c r="L62" i="80"/>
  <c r="N62" i="80" s="1"/>
  <c r="B62" i="80"/>
  <c r="T61" i="80"/>
  <c r="P61" i="80"/>
  <c r="X61" i="80" s="1"/>
  <c r="Z61" i="80" s="1"/>
  <c r="H61" i="80"/>
  <c r="D61" i="80"/>
  <c r="L61" i="80" s="1"/>
  <c r="N61" i="80" s="1"/>
  <c r="B61" i="80"/>
  <c r="X60" i="80"/>
  <c r="Z60" i="80" s="1"/>
  <c r="N60" i="80"/>
  <c r="L60" i="80"/>
  <c r="B60" i="80"/>
  <c r="Z59" i="80"/>
  <c r="X59" i="80"/>
  <c r="L59" i="80"/>
  <c r="N59" i="80" s="1"/>
  <c r="B59" i="80"/>
  <c r="X58" i="80"/>
  <c r="Z58" i="80" s="1"/>
  <c r="N58" i="80"/>
  <c r="L58" i="80"/>
  <c r="B58" i="80"/>
  <c r="X57" i="80"/>
  <c r="Z57" i="80" s="1"/>
  <c r="N57" i="80"/>
  <c r="L57" i="80"/>
  <c r="B57" i="80"/>
  <c r="Z56" i="80"/>
  <c r="X56" i="80"/>
  <c r="N56" i="80"/>
  <c r="L56" i="80"/>
  <c r="B56" i="80"/>
  <c r="Z55" i="80"/>
  <c r="X55" i="80"/>
  <c r="T55" i="80"/>
  <c r="P55" i="80"/>
  <c r="H55" i="80"/>
  <c r="D55" i="80"/>
  <c r="B55" i="80"/>
  <c r="Z54" i="80"/>
  <c r="X54" i="80"/>
  <c r="L54" i="80"/>
  <c r="N54" i="80" s="1"/>
  <c r="B54" i="80"/>
  <c r="Z53" i="80"/>
  <c r="X53" i="80"/>
  <c r="L53" i="80"/>
  <c r="N53" i="80" s="1"/>
  <c r="B53" i="80"/>
  <c r="Z52" i="80"/>
  <c r="X52" i="80"/>
  <c r="L52" i="80"/>
  <c r="N52" i="80" s="1"/>
  <c r="B52" i="80"/>
  <c r="T51" i="80"/>
  <c r="P51" i="80"/>
  <c r="X51" i="80" s="1"/>
  <c r="H51" i="80"/>
  <c r="D51" i="80"/>
  <c r="L51" i="80" s="1"/>
  <c r="N51" i="80" s="1"/>
  <c r="B51" i="80"/>
  <c r="X50" i="80"/>
  <c r="Z50" i="80" s="1"/>
  <c r="N50" i="80"/>
  <c r="L50" i="80"/>
  <c r="B50" i="80"/>
  <c r="T49" i="80"/>
  <c r="P49" i="80"/>
  <c r="X49" i="80" s="1"/>
  <c r="L49" i="80"/>
  <c r="H49" i="80"/>
  <c r="N49" i="80" s="1"/>
  <c r="D49" i="80"/>
  <c r="B49" i="80"/>
  <c r="X48" i="80"/>
  <c r="Z48" i="80" s="1"/>
  <c r="N48" i="80"/>
  <c r="L48" i="80"/>
  <c r="B48" i="80"/>
  <c r="Z47" i="80"/>
  <c r="X47" i="80"/>
  <c r="N47" i="80"/>
  <c r="L47" i="80"/>
  <c r="B47" i="80"/>
  <c r="Z46" i="80"/>
  <c r="X46" i="80"/>
  <c r="N46" i="80"/>
  <c r="L46" i="80"/>
  <c r="B46" i="80"/>
  <c r="T45" i="80"/>
  <c r="P45" i="80"/>
  <c r="N45" i="80"/>
  <c r="L45" i="80"/>
  <c r="H45" i="80"/>
  <c r="D45" i="80"/>
  <c r="B45" i="80"/>
  <c r="Z44" i="80"/>
  <c r="X44" i="80"/>
  <c r="L44" i="80"/>
  <c r="N44" i="80" s="1"/>
  <c r="B44" i="80"/>
  <c r="T43" i="80"/>
  <c r="P43" i="80"/>
  <c r="X43" i="80" s="1"/>
  <c r="H43" i="80"/>
  <c r="D43" i="80"/>
  <c r="L43" i="80" s="1"/>
  <c r="N43" i="80" s="1"/>
  <c r="B43" i="80"/>
  <c r="X42" i="80"/>
  <c r="Z42" i="80" s="1"/>
  <c r="N42" i="80"/>
  <c r="L42" i="80"/>
  <c r="B42" i="80"/>
  <c r="T41" i="80"/>
  <c r="Z41" i="80" s="1"/>
  <c r="P41" i="80"/>
  <c r="X41" i="80" s="1"/>
  <c r="L41" i="80"/>
  <c r="H41" i="80"/>
  <c r="N41" i="80" s="1"/>
  <c r="D41" i="80"/>
  <c r="B41" i="80"/>
  <c r="X40" i="80"/>
  <c r="Z40" i="80" s="1"/>
  <c r="N40" i="80"/>
  <c r="L40" i="80"/>
  <c r="B40" i="80"/>
  <c r="Z39" i="80"/>
  <c r="X39" i="80"/>
  <c r="T39" i="80"/>
  <c r="P39" i="80"/>
  <c r="H39" i="80"/>
  <c r="D39" i="80"/>
  <c r="B39" i="80"/>
  <c r="Z38" i="80"/>
  <c r="X38" i="80"/>
  <c r="L38" i="80"/>
  <c r="N38" i="80" s="1"/>
  <c r="B38" i="80"/>
  <c r="T37" i="80"/>
  <c r="P37" i="80"/>
  <c r="X37" i="80" s="1"/>
  <c r="Z37" i="80" s="1"/>
  <c r="H37" i="80"/>
  <c r="D37" i="80"/>
  <c r="L37" i="80" s="1"/>
  <c r="B37" i="80"/>
  <c r="Z36" i="80"/>
  <c r="X36" i="80"/>
  <c r="N36" i="80"/>
  <c r="L36" i="80"/>
  <c r="B36" i="80"/>
  <c r="X35" i="80"/>
  <c r="Z35" i="80" s="1"/>
  <c r="N35" i="80"/>
  <c r="L35" i="80"/>
  <c r="B35" i="80"/>
  <c r="X34" i="80"/>
  <c r="Z34" i="80" s="1"/>
  <c r="N34" i="80"/>
  <c r="L34" i="80"/>
  <c r="B34" i="80"/>
  <c r="Z33" i="80"/>
  <c r="X33" i="80"/>
  <c r="N33" i="80"/>
  <c r="L33" i="80"/>
  <c r="B33" i="80"/>
  <c r="Z32" i="80"/>
  <c r="X32" i="80"/>
  <c r="N32" i="80"/>
  <c r="L32" i="80"/>
  <c r="B32" i="80"/>
  <c r="X31" i="80"/>
  <c r="T31" i="80"/>
  <c r="Z31" i="80" s="1"/>
  <c r="P31" i="80"/>
  <c r="H31" i="80"/>
  <c r="D31" i="80"/>
  <c r="L31" i="80" s="1"/>
  <c r="B31" i="80"/>
  <c r="Z30" i="80"/>
  <c r="X30" i="80"/>
  <c r="N30" i="80"/>
  <c r="L30" i="80"/>
  <c r="B30" i="80"/>
  <c r="Z29" i="80"/>
  <c r="X29" i="80"/>
  <c r="N29" i="80"/>
  <c r="L29" i="80"/>
  <c r="B29" i="80"/>
  <c r="Z28" i="80"/>
  <c r="X28" i="80"/>
  <c r="N28" i="80"/>
  <c r="L28" i="80"/>
  <c r="B28" i="80"/>
  <c r="X27" i="80"/>
  <c r="Z27" i="80" s="1"/>
  <c r="N27" i="80"/>
  <c r="L27" i="80"/>
  <c r="B27" i="80"/>
  <c r="Z26" i="80"/>
  <c r="X26" i="80"/>
  <c r="N26" i="80"/>
  <c r="L26" i="80"/>
  <c r="B26" i="80"/>
  <c r="X25" i="80"/>
  <c r="Z25" i="80" s="1"/>
  <c r="N25" i="80"/>
  <c r="L25" i="80"/>
  <c r="B25" i="80"/>
  <c r="X24" i="80"/>
  <c r="Z24" i="80" s="1"/>
  <c r="N24" i="80"/>
  <c r="L24" i="80"/>
  <c r="B24" i="80"/>
  <c r="X23" i="80"/>
  <c r="Z23" i="80" s="1"/>
  <c r="T23" i="80"/>
  <c r="P23" i="80"/>
  <c r="H23" i="80"/>
  <c r="D23" i="80"/>
  <c r="B23" i="80"/>
  <c r="T22" i="80"/>
  <c r="Z22" i="80" s="1"/>
  <c r="P22" i="80"/>
  <c r="X22" i="80" s="1"/>
  <c r="H22" i="80"/>
  <c r="D22" i="80"/>
  <c r="L22" i="80" s="1"/>
  <c r="Z18" i="80"/>
  <c r="X18" i="80"/>
  <c r="L18" i="80"/>
  <c r="N18" i="80" s="1"/>
  <c r="B18" i="80"/>
  <c r="Z17" i="80"/>
  <c r="X17" i="80"/>
  <c r="L17" i="80"/>
  <c r="N17" i="80" s="1"/>
  <c r="B17" i="80"/>
  <c r="T16" i="80"/>
  <c r="Z16" i="80" s="1"/>
  <c r="P16" i="80"/>
  <c r="X16" i="80" s="1"/>
  <c r="H16" i="80"/>
  <c r="D16" i="80"/>
  <c r="L16" i="80" s="1"/>
  <c r="T14" i="80"/>
  <c r="Z14" i="80" s="1"/>
  <c r="P14" i="80"/>
  <c r="X14" i="80" s="1"/>
  <c r="L14" i="80"/>
  <c r="H14" i="80"/>
  <c r="N14" i="80" s="1"/>
  <c r="D14" i="80"/>
  <c r="B14" i="80"/>
  <c r="T13" i="80"/>
  <c r="T12" i="80" s="1"/>
  <c r="P13" i="80"/>
  <c r="P12" i="80" s="1"/>
  <c r="H13" i="80"/>
  <c r="H12" i="80" s="1"/>
  <c r="D13" i="80"/>
  <c r="D12" i="80" s="1"/>
  <c r="B13" i="80"/>
  <c r="D6" i="80"/>
  <c r="D4" i="80"/>
  <c r="X67" i="79"/>
  <c r="Z67" i="79" s="1"/>
  <c r="L67" i="79"/>
  <c r="N67" i="79" s="1"/>
  <c r="T63" i="79"/>
  <c r="Z63" i="79" s="1"/>
  <c r="P63" i="79"/>
  <c r="H63" i="79"/>
  <c r="N63" i="79" s="1"/>
  <c r="D63" i="79"/>
  <c r="L63" i="79" s="1"/>
  <c r="B63" i="79"/>
  <c r="X62" i="79"/>
  <c r="T62" i="79"/>
  <c r="Z62" i="79" s="1"/>
  <c r="P62" i="79"/>
  <c r="H62" i="79"/>
  <c r="N62" i="79" s="1"/>
  <c r="D62" i="79"/>
  <c r="L62" i="79" s="1"/>
  <c r="B62" i="79"/>
  <c r="X61" i="79"/>
  <c r="Z61" i="79" s="1"/>
  <c r="T61" i="79"/>
  <c r="P61" i="79"/>
  <c r="L61" i="79"/>
  <c r="H61" i="79"/>
  <c r="N61" i="79" s="1"/>
  <c r="D61" i="79"/>
  <c r="B61" i="79"/>
  <c r="Z60" i="79"/>
  <c r="T60" i="79"/>
  <c r="P60" i="79"/>
  <c r="X60" i="79" s="1"/>
  <c r="H60" i="79"/>
  <c r="N60" i="79" s="1"/>
  <c r="D60" i="79"/>
  <c r="L60" i="79" s="1"/>
  <c r="B60" i="79"/>
  <c r="T59" i="79"/>
  <c r="P59" i="79"/>
  <c r="X59" i="79" s="1"/>
  <c r="Z59" i="79" s="1"/>
  <c r="H59" i="79"/>
  <c r="D59" i="79"/>
  <c r="B59" i="79"/>
  <c r="H58" i="79"/>
  <c r="Z56" i="79"/>
  <c r="X56" i="79"/>
  <c r="N56" i="79"/>
  <c r="L56" i="79"/>
  <c r="B56" i="79"/>
  <c r="Z55" i="79"/>
  <c r="X55" i="79"/>
  <c r="T55" i="79"/>
  <c r="P55" i="79"/>
  <c r="L55" i="79"/>
  <c r="H55" i="79"/>
  <c r="N55" i="79" s="1"/>
  <c r="D55" i="79"/>
  <c r="B55" i="79"/>
  <c r="Z54" i="79"/>
  <c r="X54" i="79"/>
  <c r="L54" i="79"/>
  <c r="N54" i="79" s="1"/>
  <c r="B54" i="79"/>
  <c r="Z53" i="79"/>
  <c r="X53" i="79"/>
  <c r="N53" i="79"/>
  <c r="L53" i="79"/>
  <c r="B53" i="79"/>
  <c r="T52" i="79"/>
  <c r="Z52" i="79" s="1"/>
  <c r="P52" i="79"/>
  <c r="X52" i="79" s="1"/>
  <c r="H52" i="79"/>
  <c r="D52" i="79"/>
  <c r="L52" i="79" s="1"/>
  <c r="N52" i="79" s="1"/>
  <c r="B52" i="79"/>
  <c r="X51" i="79"/>
  <c r="Z51" i="79" s="1"/>
  <c r="L51" i="79"/>
  <c r="N51" i="79" s="1"/>
  <c r="B51" i="79"/>
  <c r="T50" i="79"/>
  <c r="Z50" i="79" s="1"/>
  <c r="P50" i="79"/>
  <c r="X50" i="79" s="1"/>
  <c r="L50" i="79"/>
  <c r="H50" i="79"/>
  <c r="D50" i="79"/>
  <c r="B50" i="79"/>
  <c r="X49" i="79"/>
  <c r="Z49" i="79" s="1"/>
  <c r="N49" i="79"/>
  <c r="L49" i="79"/>
  <c r="B49" i="79"/>
  <c r="T48" i="79"/>
  <c r="X48" i="79" s="1"/>
  <c r="Z48" i="79" s="1"/>
  <c r="P48" i="79"/>
  <c r="H48" i="79"/>
  <c r="D48" i="79"/>
  <c r="B48" i="79"/>
  <c r="Z47" i="79"/>
  <c r="X47" i="79"/>
  <c r="L47" i="79"/>
  <c r="N47" i="79" s="1"/>
  <c r="B47" i="79"/>
  <c r="Z46" i="79"/>
  <c r="X46" i="79"/>
  <c r="L46" i="79"/>
  <c r="N46" i="79" s="1"/>
  <c r="B46" i="79"/>
  <c r="T45" i="79"/>
  <c r="Z45" i="79" s="1"/>
  <c r="P45" i="79"/>
  <c r="X45" i="79" s="1"/>
  <c r="H45" i="79"/>
  <c r="D45" i="79"/>
  <c r="L45" i="79" s="1"/>
  <c r="B45" i="79"/>
  <c r="X44" i="79"/>
  <c r="Z44" i="79" s="1"/>
  <c r="N44" i="79"/>
  <c r="L44" i="79"/>
  <c r="B44" i="79"/>
  <c r="T43" i="79"/>
  <c r="P43" i="79"/>
  <c r="X43" i="79" s="1"/>
  <c r="Z43" i="79" s="1"/>
  <c r="H43" i="79"/>
  <c r="D43" i="79"/>
  <c r="L43" i="79" s="1"/>
  <c r="N43" i="79" s="1"/>
  <c r="B43" i="79"/>
  <c r="X42" i="79"/>
  <c r="Z42" i="79" s="1"/>
  <c r="N42" i="79"/>
  <c r="L42" i="79"/>
  <c r="B42" i="79"/>
  <c r="X41" i="79"/>
  <c r="T41" i="79"/>
  <c r="Z41" i="79" s="1"/>
  <c r="P41" i="79"/>
  <c r="L41" i="79"/>
  <c r="N41" i="79" s="1"/>
  <c r="H41" i="79"/>
  <c r="D41" i="79"/>
  <c r="B41" i="79"/>
  <c r="Z40" i="79"/>
  <c r="X40" i="79"/>
  <c r="N40" i="79"/>
  <c r="L40" i="79"/>
  <c r="B40" i="79"/>
  <c r="Z39" i="79"/>
  <c r="X39" i="79"/>
  <c r="N39" i="79"/>
  <c r="L39" i="79"/>
  <c r="B39" i="79"/>
  <c r="Z38" i="79"/>
  <c r="X38" i="79"/>
  <c r="L38" i="79"/>
  <c r="N38" i="79" s="1"/>
  <c r="B38" i="79"/>
  <c r="T37" i="79"/>
  <c r="P37" i="79"/>
  <c r="H37" i="79"/>
  <c r="D37" i="79"/>
  <c r="L37" i="79" s="1"/>
  <c r="B37" i="79"/>
  <c r="X36" i="79"/>
  <c r="Z36" i="79" s="1"/>
  <c r="N36" i="79"/>
  <c r="L36" i="79"/>
  <c r="B36" i="79"/>
  <c r="X35" i="79"/>
  <c r="Z35" i="79" s="1"/>
  <c r="N35" i="79"/>
  <c r="L35" i="79"/>
  <c r="B35" i="79"/>
  <c r="X34" i="79"/>
  <c r="Z34" i="79" s="1"/>
  <c r="N34" i="79"/>
  <c r="L34" i="79"/>
  <c r="B34" i="79"/>
  <c r="X33" i="79"/>
  <c r="Z33" i="79" s="1"/>
  <c r="L33" i="79"/>
  <c r="N33" i="79" s="1"/>
  <c r="B33" i="79"/>
  <c r="X32" i="79"/>
  <c r="Z32" i="79" s="1"/>
  <c r="N32" i="79"/>
  <c r="L32" i="79"/>
  <c r="B32" i="79"/>
  <c r="X31" i="79"/>
  <c r="Z31" i="79" s="1"/>
  <c r="L31" i="79"/>
  <c r="N31" i="79" s="1"/>
  <c r="B31" i="79"/>
  <c r="X30" i="79"/>
  <c r="Z30" i="79" s="1"/>
  <c r="L30" i="79"/>
  <c r="N30" i="79" s="1"/>
  <c r="B30" i="79"/>
  <c r="X29" i="79"/>
  <c r="Z29" i="79" s="1"/>
  <c r="L29" i="79"/>
  <c r="N29" i="79" s="1"/>
  <c r="B29" i="79"/>
  <c r="X28" i="79"/>
  <c r="T28" i="79"/>
  <c r="P28" i="79"/>
  <c r="H28" i="79"/>
  <c r="D28" i="79"/>
  <c r="L28" i="79" s="1"/>
  <c r="B28" i="79"/>
  <c r="T27" i="79"/>
  <c r="P27" i="79"/>
  <c r="H27" i="79"/>
  <c r="D27" i="79"/>
  <c r="Z23" i="79"/>
  <c r="X23" i="79"/>
  <c r="N23" i="79"/>
  <c r="L23" i="79"/>
  <c r="B23" i="79"/>
  <c r="Z22" i="79"/>
  <c r="X22" i="79"/>
  <c r="N22" i="79"/>
  <c r="L22" i="79"/>
  <c r="B22" i="79"/>
  <c r="X21" i="79"/>
  <c r="Z21" i="79" s="1"/>
  <c r="N21" i="79"/>
  <c r="L21" i="79"/>
  <c r="B21" i="79"/>
  <c r="Z20" i="79"/>
  <c r="X20" i="79"/>
  <c r="N20" i="79"/>
  <c r="L20" i="79"/>
  <c r="B20" i="79"/>
  <c r="X19" i="79"/>
  <c r="Z19" i="79" s="1"/>
  <c r="N19" i="79"/>
  <c r="L19" i="79"/>
  <c r="B19" i="79"/>
  <c r="T18" i="79"/>
  <c r="P18" i="79"/>
  <c r="X18" i="79" s="1"/>
  <c r="H18" i="79"/>
  <c r="D18" i="79"/>
  <c r="X16" i="79"/>
  <c r="T16" i="79"/>
  <c r="Z16" i="79" s="1"/>
  <c r="P16" i="79"/>
  <c r="N16" i="79"/>
  <c r="H16" i="79"/>
  <c r="L16" i="79" s="1"/>
  <c r="D16" i="79"/>
  <c r="B16" i="79"/>
  <c r="Z15" i="79"/>
  <c r="X15" i="79"/>
  <c r="T15" i="79"/>
  <c r="P15" i="79"/>
  <c r="H15" i="79"/>
  <c r="D15" i="79"/>
  <c r="L15" i="79" s="1"/>
  <c r="N15" i="79" s="1"/>
  <c r="B15" i="79"/>
  <c r="T14" i="79"/>
  <c r="P14" i="79"/>
  <c r="X14" i="79" s="1"/>
  <c r="Z14" i="79" s="1"/>
  <c r="H14" i="79"/>
  <c r="D14" i="79"/>
  <c r="B14" i="79"/>
  <c r="T13" i="79"/>
  <c r="P13" i="79"/>
  <c r="P12" i="79" s="1"/>
  <c r="H13" i="79"/>
  <c r="D13" i="79"/>
  <c r="D12" i="79" s="1"/>
  <c r="F28" i="79" s="1"/>
  <c r="B13" i="79"/>
  <c r="D6" i="79"/>
  <c r="D4" i="79"/>
  <c r="Z108" i="77"/>
  <c r="X108" i="77"/>
  <c r="N108" i="77"/>
  <c r="L108" i="77"/>
  <c r="X104" i="77"/>
  <c r="T104" i="77"/>
  <c r="Z104" i="77" s="1"/>
  <c r="P104" i="77"/>
  <c r="H104" i="77"/>
  <c r="D104" i="77"/>
  <c r="L104" i="77" s="1"/>
  <c r="N104" i="77" s="1"/>
  <c r="B104" i="77"/>
  <c r="Z103" i="77"/>
  <c r="T103" i="77"/>
  <c r="P103" i="77"/>
  <c r="X103" i="77" s="1"/>
  <c r="N103" i="77"/>
  <c r="L103" i="77"/>
  <c r="H103" i="77"/>
  <c r="D103" i="77"/>
  <c r="B103" i="77"/>
  <c r="Z102" i="77"/>
  <c r="T102" i="77"/>
  <c r="P102" i="77"/>
  <c r="X102" i="77" s="1"/>
  <c r="H102" i="77"/>
  <c r="N102" i="77" s="1"/>
  <c r="D102" i="77"/>
  <c r="L102" i="77" s="1"/>
  <c r="B102" i="77"/>
  <c r="T101" i="77"/>
  <c r="P101" i="77"/>
  <c r="P100" i="77" s="1"/>
  <c r="H101" i="77"/>
  <c r="D101" i="77"/>
  <c r="B101" i="77"/>
  <c r="Z98" i="77"/>
  <c r="X98" i="77"/>
  <c r="N98" i="77"/>
  <c r="L98" i="77"/>
  <c r="B98" i="77"/>
  <c r="T97" i="77"/>
  <c r="P97" i="77"/>
  <c r="X97" i="77" s="1"/>
  <c r="Z97" i="77" s="1"/>
  <c r="N97" i="77"/>
  <c r="L97" i="77"/>
  <c r="H97" i="77"/>
  <c r="D97" i="77"/>
  <c r="B97" i="77"/>
  <c r="Z96" i="77"/>
  <c r="X96" i="77"/>
  <c r="N96" i="77"/>
  <c r="L96" i="77"/>
  <c r="B96" i="77"/>
  <c r="Z95" i="77"/>
  <c r="X95" i="77"/>
  <c r="T95" i="77"/>
  <c r="P95" i="77"/>
  <c r="L95" i="77"/>
  <c r="H95" i="77"/>
  <c r="N95" i="77" s="1"/>
  <c r="D95" i="77"/>
  <c r="B95" i="77"/>
  <c r="X94" i="77"/>
  <c r="Z94" i="77" s="1"/>
  <c r="N94" i="77"/>
  <c r="L94" i="77"/>
  <c r="J94" i="77"/>
  <c r="B94" i="77"/>
  <c r="T93" i="77"/>
  <c r="P93" i="77"/>
  <c r="H93" i="77"/>
  <c r="D93" i="77"/>
  <c r="L93" i="77" s="1"/>
  <c r="B93" i="77"/>
  <c r="X92" i="77"/>
  <c r="Z92" i="77" s="1"/>
  <c r="N92" i="77"/>
  <c r="L92" i="77"/>
  <c r="B92" i="77"/>
  <c r="X91" i="77"/>
  <c r="Z91" i="77" s="1"/>
  <c r="N91" i="77"/>
  <c r="L91" i="77"/>
  <c r="B91" i="77"/>
  <c r="T90" i="77"/>
  <c r="P90" i="77"/>
  <c r="X90" i="77" s="1"/>
  <c r="L90" i="77"/>
  <c r="H90" i="77"/>
  <c r="N90" i="77" s="1"/>
  <c r="D90" i="77"/>
  <c r="B90" i="77"/>
  <c r="X89" i="77"/>
  <c r="Z89" i="77" s="1"/>
  <c r="N89" i="77"/>
  <c r="L89" i="77"/>
  <c r="B89" i="77"/>
  <c r="X88" i="77"/>
  <c r="Z88" i="77" s="1"/>
  <c r="T88" i="77"/>
  <c r="P88" i="77"/>
  <c r="H88" i="77"/>
  <c r="N88" i="77" s="1"/>
  <c r="D88" i="77"/>
  <c r="L88" i="77" s="1"/>
  <c r="B88" i="77"/>
  <c r="Z87" i="77"/>
  <c r="X87" i="77"/>
  <c r="N87" i="77"/>
  <c r="L87" i="77"/>
  <c r="B87" i="77"/>
  <c r="X86" i="77"/>
  <c r="T86" i="77"/>
  <c r="Z86" i="77" s="1"/>
  <c r="P86" i="77"/>
  <c r="N86" i="77"/>
  <c r="H86" i="77"/>
  <c r="D86" i="77"/>
  <c r="L86" i="77" s="1"/>
  <c r="B86" i="77"/>
  <c r="Z85" i="77"/>
  <c r="X85" i="77"/>
  <c r="L85" i="77"/>
  <c r="N85" i="77" s="1"/>
  <c r="B85" i="77"/>
  <c r="X84" i="77"/>
  <c r="T84" i="77"/>
  <c r="Z84" i="77" s="1"/>
  <c r="P84" i="77"/>
  <c r="H84" i="77"/>
  <c r="D84" i="77"/>
  <c r="L84" i="77" s="1"/>
  <c r="B84" i="77"/>
  <c r="Z83" i="77"/>
  <c r="X83" i="77"/>
  <c r="N83" i="77"/>
  <c r="L83" i="77"/>
  <c r="F83" i="77"/>
  <c r="B83" i="77"/>
  <c r="T82" i="77"/>
  <c r="Z82" i="77" s="1"/>
  <c r="P82" i="77"/>
  <c r="X82" i="77" s="1"/>
  <c r="H82" i="77"/>
  <c r="F82" i="77"/>
  <c r="D82" i="77"/>
  <c r="L82" i="77" s="1"/>
  <c r="N82" i="77" s="1"/>
  <c r="B82" i="77"/>
  <c r="X81" i="77"/>
  <c r="Z81" i="77" s="1"/>
  <c r="N81" i="77"/>
  <c r="L81" i="77"/>
  <c r="B81" i="77"/>
  <c r="T80" i="77"/>
  <c r="P80" i="77"/>
  <c r="X80" i="77" s="1"/>
  <c r="Z80" i="77" s="1"/>
  <c r="L80" i="77"/>
  <c r="H80" i="77"/>
  <c r="N80" i="77" s="1"/>
  <c r="D80" i="77"/>
  <c r="B80" i="77"/>
  <c r="X79" i="77"/>
  <c r="Z79" i="77" s="1"/>
  <c r="N79" i="77"/>
  <c r="L79" i="77"/>
  <c r="B79" i="77"/>
  <c r="V78" i="77"/>
  <c r="T78" i="77"/>
  <c r="P78" i="77"/>
  <c r="X78" i="77" s="1"/>
  <c r="H78" i="77"/>
  <c r="N78" i="77" s="1"/>
  <c r="D78" i="77"/>
  <c r="B78" i="77"/>
  <c r="X77" i="77"/>
  <c r="Z77" i="77" s="1"/>
  <c r="L77" i="77"/>
  <c r="N77" i="77" s="1"/>
  <c r="B77" i="77"/>
  <c r="X76" i="77"/>
  <c r="Z76" i="77" s="1"/>
  <c r="T76" i="77"/>
  <c r="P76" i="77"/>
  <c r="H76" i="77"/>
  <c r="D76" i="77"/>
  <c r="L76" i="77" s="1"/>
  <c r="B76" i="77"/>
  <c r="Z75" i="77"/>
  <c r="X75" i="77"/>
  <c r="L75" i="77"/>
  <c r="N75" i="77" s="1"/>
  <c r="B75" i="77"/>
  <c r="X74" i="77"/>
  <c r="T74" i="77"/>
  <c r="Z74" i="77" s="1"/>
  <c r="P74" i="77"/>
  <c r="H74" i="77"/>
  <c r="D74" i="77"/>
  <c r="L74" i="77" s="1"/>
  <c r="N74" i="77" s="1"/>
  <c r="B74" i="77"/>
  <c r="Z73" i="77"/>
  <c r="X73" i="77"/>
  <c r="L73" i="77"/>
  <c r="N73" i="77" s="1"/>
  <c r="B73" i="77"/>
  <c r="T72" i="77"/>
  <c r="P72" i="77"/>
  <c r="H72" i="77"/>
  <c r="D72" i="77"/>
  <c r="L72" i="77" s="1"/>
  <c r="B72" i="77"/>
  <c r="Z71" i="77"/>
  <c r="X71" i="77"/>
  <c r="N71" i="77"/>
  <c r="L71" i="77"/>
  <c r="F71" i="77"/>
  <c r="B71" i="77"/>
  <c r="Z70" i="77"/>
  <c r="X70" i="77"/>
  <c r="N70" i="77"/>
  <c r="L70" i="77"/>
  <c r="B70" i="77"/>
  <c r="X69" i="77"/>
  <c r="Z69" i="77" s="1"/>
  <c r="L69" i="77"/>
  <c r="N69" i="77" s="1"/>
  <c r="B69" i="77"/>
  <c r="X68" i="77"/>
  <c r="Z68" i="77" s="1"/>
  <c r="N68" i="77"/>
  <c r="L68" i="77"/>
  <c r="B68" i="77"/>
  <c r="Z67" i="77"/>
  <c r="X67" i="77"/>
  <c r="T67" i="77"/>
  <c r="P67" i="77"/>
  <c r="L67" i="77"/>
  <c r="H67" i="77"/>
  <c r="D67" i="77"/>
  <c r="B67" i="77"/>
  <c r="X66" i="77"/>
  <c r="Z66" i="77" s="1"/>
  <c r="N66" i="77"/>
  <c r="L66" i="77"/>
  <c r="B66" i="77"/>
  <c r="X65" i="77"/>
  <c r="Z65" i="77" s="1"/>
  <c r="N65" i="77"/>
  <c r="L65" i="77"/>
  <c r="B65" i="77"/>
  <c r="Z64" i="77"/>
  <c r="X64" i="77"/>
  <c r="L64" i="77"/>
  <c r="N64" i="77" s="1"/>
  <c r="B64" i="77"/>
  <c r="Z63" i="77"/>
  <c r="X63" i="77"/>
  <c r="L63" i="77"/>
  <c r="N63" i="77" s="1"/>
  <c r="B63" i="77"/>
  <c r="X62" i="77"/>
  <c r="Z62" i="77" s="1"/>
  <c r="N62" i="77"/>
  <c r="L62" i="77"/>
  <c r="B62" i="77"/>
  <c r="X61" i="77"/>
  <c r="Z61" i="77" s="1"/>
  <c r="N61" i="77"/>
  <c r="L61" i="77"/>
  <c r="B61" i="77"/>
  <c r="Z60" i="77"/>
  <c r="X60" i="77"/>
  <c r="L60" i="77"/>
  <c r="N60" i="77" s="1"/>
  <c r="B60" i="77"/>
  <c r="Z59" i="77"/>
  <c r="X59" i="77"/>
  <c r="L59" i="77"/>
  <c r="N59" i="77" s="1"/>
  <c r="B59" i="77"/>
  <c r="X58" i="77"/>
  <c r="Z58" i="77" s="1"/>
  <c r="N58" i="77"/>
  <c r="L58" i="77"/>
  <c r="B58" i="77"/>
  <c r="T57" i="77"/>
  <c r="P57" i="77"/>
  <c r="X57" i="77" s="1"/>
  <c r="H57" i="77"/>
  <c r="D57" i="77"/>
  <c r="L57" i="77" s="1"/>
  <c r="B57" i="77"/>
  <c r="T56" i="77"/>
  <c r="P56" i="77"/>
  <c r="H56" i="77"/>
  <c r="N56" i="77" s="1"/>
  <c r="D56" i="77"/>
  <c r="L56" i="77" s="1"/>
  <c r="X52" i="77"/>
  <c r="Z52" i="77" s="1"/>
  <c r="N52" i="77"/>
  <c r="L52" i="77"/>
  <c r="B52" i="77"/>
  <c r="Z51" i="77"/>
  <c r="X51" i="77"/>
  <c r="N51" i="77"/>
  <c r="L51" i="77"/>
  <c r="B51" i="77"/>
  <c r="Z50" i="77"/>
  <c r="X50" i="77"/>
  <c r="N50" i="77"/>
  <c r="L50" i="77"/>
  <c r="B50" i="77"/>
  <c r="Z49" i="77"/>
  <c r="X49" i="77"/>
  <c r="N49" i="77"/>
  <c r="L49" i="77"/>
  <c r="B49" i="77"/>
  <c r="X48" i="77"/>
  <c r="Z48" i="77" s="1"/>
  <c r="N48" i="77"/>
  <c r="L48" i="77"/>
  <c r="B48" i="77"/>
  <c r="Z47" i="77"/>
  <c r="X47" i="77"/>
  <c r="N47" i="77"/>
  <c r="L47" i="77"/>
  <c r="B47" i="77"/>
  <c r="Z46" i="77"/>
  <c r="X46" i="77"/>
  <c r="N46" i="77"/>
  <c r="L46" i="77"/>
  <c r="B46" i="77"/>
  <c r="Z45" i="77"/>
  <c r="X45" i="77"/>
  <c r="N45" i="77"/>
  <c r="L45" i="77"/>
  <c r="B45" i="77"/>
  <c r="X44" i="77"/>
  <c r="Z44" i="77" s="1"/>
  <c r="L44" i="77"/>
  <c r="N44" i="77" s="1"/>
  <c r="B44" i="77"/>
  <c r="Z43" i="77"/>
  <c r="X43" i="77"/>
  <c r="N43" i="77"/>
  <c r="L43" i="77"/>
  <c r="B43" i="77"/>
  <c r="Z42" i="77"/>
  <c r="X42" i="77"/>
  <c r="N42" i="77"/>
  <c r="L42" i="77"/>
  <c r="B42" i="77"/>
  <c r="Z41" i="77"/>
  <c r="X41" i="77"/>
  <c r="L41" i="77"/>
  <c r="N41" i="77" s="1"/>
  <c r="B41" i="77"/>
  <c r="X40" i="77"/>
  <c r="Z40" i="77" s="1"/>
  <c r="L40" i="77"/>
  <c r="N40" i="77" s="1"/>
  <c r="B40" i="77"/>
  <c r="Z39" i="77"/>
  <c r="X39" i="77"/>
  <c r="N39" i="77"/>
  <c r="L39" i="77"/>
  <c r="B39" i="77"/>
  <c r="V38" i="77"/>
  <c r="T38" i="77"/>
  <c r="Z38" i="77" s="1"/>
  <c r="P38" i="77"/>
  <c r="X38" i="77" s="1"/>
  <c r="H38" i="77"/>
  <c r="D38" i="77"/>
  <c r="T36" i="77"/>
  <c r="P36" i="77"/>
  <c r="H36" i="77"/>
  <c r="D36" i="77"/>
  <c r="L36" i="77" s="1"/>
  <c r="N36" i="77" s="1"/>
  <c r="B36" i="77"/>
  <c r="T35" i="77"/>
  <c r="X35" i="77" s="1"/>
  <c r="Z35" i="77" s="1"/>
  <c r="P35" i="77"/>
  <c r="L35" i="77"/>
  <c r="H35" i="77"/>
  <c r="D35" i="77"/>
  <c r="B35" i="77"/>
  <c r="T34" i="77"/>
  <c r="P34" i="77"/>
  <c r="X34" i="77" s="1"/>
  <c r="L34" i="77"/>
  <c r="N34" i="77" s="1"/>
  <c r="H34" i="77"/>
  <c r="D34" i="77"/>
  <c r="B34" i="77"/>
  <c r="Z33" i="77"/>
  <c r="X33" i="77"/>
  <c r="T33" i="77"/>
  <c r="P33" i="77"/>
  <c r="H33" i="77"/>
  <c r="N33" i="77" s="1"/>
  <c r="D33" i="77"/>
  <c r="B33" i="77"/>
  <c r="T32" i="77"/>
  <c r="P32" i="77"/>
  <c r="H32" i="77"/>
  <c r="D32" i="77"/>
  <c r="L32" i="77" s="1"/>
  <c r="N32" i="77" s="1"/>
  <c r="B32" i="77"/>
  <c r="Z31" i="77"/>
  <c r="T31" i="77"/>
  <c r="X31" i="77" s="1"/>
  <c r="P31" i="77"/>
  <c r="L31" i="77"/>
  <c r="H31" i="77"/>
  <c r="N31" i="77" s="1"/>
  <c r="D31" i="77"/>
  <c r="B31" i="77"/>
  <c r="T30" i="77"/>
  <c r="Z30" i="77" s="1"/>
  <c r="P30" i="77"/>
  <c r="X30" i="77" s="1"/>
  <c r="N30" i="77"/>
  <c r="L30" i="77"/>
  <c r="H30" i="77"/>
  <c r="D30" i="77"/>
  <c r="B30" i="77"/>
  <c r="Z29" i="77"/>
  <c r="X29" i="77"/>
  <c r="T29" i="77"/>
  <c r="P29" i="77"/>
  <c r="H29" i="77"/>
  <c r="D29" i="77"/>
  <c r="B29" i="77"/>
  <c r="T28" i="77"/>
  <c r="P28" i="77"/>
  <c r="X28" i="77" s="1"/>
  <c r="H28" i="77"/>
  <c r="D28" i="77"/>
  <c r="L28" i="77" s="1"/>
  <c r="N28" i="77" s="1"/>
  <c r="B28" i="77"/>
  <c r="T27" i="77"/>
  <c r="X27" i="77" s="1"/>
  <c r="Z27" i="77" s="1"/>
  <c r="P27" i="77"/>
  <c r="L27" i="77"/>
  <c r="H27" i="77"/>
  <c r="N27" i="77" s="1"/>
  <c r="D27" i="77"/>
  <c r="B27" i="77"/>
  <c r="T26" i="77"/>
  <c r="P26" i="77"/>
  <c r="X26" i="77" s="1"/>
  <c r="N26" i="77"/>
  <c r="L26" i="77"/>
  <c r="H26" i="77"/>
  <c r="D26" i="77"/>
  <c r="B26" i="77"/>
  <c r="Z25" i="77"/>
  <c r="X25" i="77"/>
  <c r="T25" i="77"/>
  <c r="P25" i="77"/>
  <c r="H25" i="77"/>
  <c r="D25" i="77"/>
  <c r="B25" i="77"/>
  <c r="T24" i="77"/>
  <c r="P24" i="77"/>
  <c r="H24" i="77"/>
  <c r="D24" i="77"/>
  <c r="L24" i="77" s="1"/>
  <c r="N24" i="77" s="1"/>
  <c r="B24" i="77"/>
  <c r="T23" i="77"/>
  <c r="X23" i="77" s="1"/>
  <c r="Z23" i="77" s="1"/>
  <c r="P23" i="77"/>
  <c r="L23" i="77"/>
  <c r="H23" i="77"/>
  <c r="D23" i="77"/>
  <c r="B23" i="77"/>
  <c r="T22" i="77"/>
  <c r="P22" i="77"/>
  <c r="X22" i="77" s="1"/>
  <c r="L22" i="77"/>
  <c r="N22" i="77" s="1"/>
  <c r="H22" i="77"/>
  <c r="D22" i="77"/>
  <c r="B22" i="77"/>
  <c r="Z21" i="77"/>
  <c r="X21" i="77"/>
  <c r="T21" i="77"/>
  <c r="P21" i="77"/>
  <c r="H21" i="77"/>
  <c r="D21" i="77"/>
  <c r="B21" i="77"/>
  <c r="T20" i="77"/>
  <c r="P20" i="77"/>
  <c r="H20" i="77"/>
  <c r="D20" i="77"/>
  <c r="L20" i="77" s="1"/>
  <c r="N20" i="77" s="1"/>
  <c r="B20" i="77"/>
  <c r="T19" i="77"/>
  <c r="X19" i="77" s="1"/>
  <c r="Z19" i="77" s="1"/>
  <c r="P19" i="77"/>
  <c r="L19" i="77"/>
  <c r="H19" i="77"/>
  <c r="D19" i="77"/>
  <c r="B19" i="77"/>
  <c r="T18" i="77"/>
  <c r="P18" i="77"/>
  <c r="X18" i="77" s="1"/>
  <c r="L18" i="77"/>
  <c r="N18" i="77" s="1"/>
  <c r="H18" i="77"/>
  <c r="D18" i="77"/>
  <c r="B18" i="77"/>
  <c r="Z17" i="77"/>
  <c r="X17" i="77"/>
  <c r="T17" i="77"/>
  <c r="P17" i="77"/>
  <c r="H17" i="77"/>
  <c r="D17" i="77"/>
  <c r="B17" i="77"/>
  <c r="T16" i="77"/>
  <c r="P16" i="77"/>
  <c r="H16" i="77"/>
  <c r="D16" i="77"/>
  <c r="L16" i="77" s="1"/>
  <c r="N16" i="77" s="1"/>
  <c r="B16" i="77"/>
  <c r="T15" i="77"/>
  <c r="X15" i="77" s="1"/>
  <c r="Z15" i="77" s="1"/>
  <c r="P15" i="77"/>
  <c r="L15" i="77"/>
  <c r="H15" i="77"/>
  <c r="D15" i="77"/>
  <c r="B15" i="77"/>
  <c r="T14" i="77"/>
  <c r="P14" i="77"/>
  <c r="P12" i="77" s="1"/>
  <c r="R87" i="77" s="1"/>
  <c r="L14" i="77"/>
  <c r="N14" i="77" s="1"/>
  <c r="H14" i="77"/>
  <c r="D14" i="77"/>
  <c r="B14" i="77"/>
  <c r="Z13" i="77"/>
  <c r="X13" i="77"/>
  <c r="T13" i="77"/>
  <c r="P13" i="77"/>
  <c r="H13" i="77"/>
  <c r="H12" i="77" s="1"/>
  <c r="J72" i="77" s="1"/>
  <c r="D13" i="77"/>
  <c r="B13" i="77"/>
  <c r="T12" i="77"/>
  <c r="V108" i="77" s="1"/>
  <c r="D12" i="77"/>
  <c r="F94" i="77" s="1"/>
  <c r="D6" i="77"/>
  <c r="D4" i="77"/>
  <c r="X78" i="76"/>
  <c r="Z78" i="76" s="1"/>
  <c r="N78" i="76"/>
  <c r="L78" i="76"/>
  <c r="T74" i="76"/>
  <c r="P74" i="76"/>
  <c r="P73" i="76" s="1"/>
  <c r="H74" i="76"/>
  <c r="H73" i="76" s="1"/>
  <c r="D74" i="76"/>
  <c r="D73" i="76" s="1"/>
  <c r="B74" i="76"/>
  <c r="L73" i="76"/>
  <c r="Z71" i="76"/>
  <c r="X71" i="76"/>
  <c r="N71" i="76"/>
  <c r="L71" i="76"/>
  <c r="B71" i="76"/>
  <c r="T70" i="76"/>
  <c r="Z70" i="76" s="1"/>
  <c r="P70" i="76"/>
  <c r="X70" i="76" s="1"/>
  <c r="N70" i="76"/>
  <c r="L70" i="76"/>
  <c r="H70" i="76"/>
  <c r="D70" i="76"/>
  <c r="B70" i="76"/>
  <c r="Z69" i="76"/>
  <c r="X69" i="76"/>
  <c r="N69" i="76"/>
  <c r="L69" i="76"/>
  <c r="B69" i="76"/>
  <c r="T68" i="76"/>
  <c r="P68" i="76"/>
  <c r="X68" i="76" s="1"/>
  <c r="Z68" i="76" s="1"/>
  <c r="L68" i="76"/>
  <c r="H68" i="76"/>
  <c r="N68" i="76" s="1"/>
  <c r="D68" i="76"/>
  <c r="B68" i="76"/>
  <c r="Z67" i="76"/>
  <c r="X67" i="76"/>
  <c r="N67" i="76"/>
  <c r="L67" i="76"/>
  <c r="B67" i="76"/>
  <c r="Z66" i="76"/>
  <c r="X66" i="76"/>
  <c r="N66" i="76"/>
  <c r="L66" i="76"/>
  <c r="B66" i="76"/>
  <c r="Z65" i="76"/>
  <c r="X65" i="76"/>
  <c r="L65" i="76"/>
  <c r="N65" i="76" s="1"/>
  <c r="B65" i="76"/>
  <c r="Z64" i="76"/>
  <c r="X64" i="76"/>
  <c r="N64" i="76"/>
  <c r="L64" i="76"/>
  <c r="B64" i="76"/>
  <c r="Z63" i="76"/>
  <c r="X63" i="76"/>
  <c r="N63" i="76"/>
  <c r="L63" i="76"/>
  <c r="B63" i="76"/>
  <c r="T62" i="76"/>
  <c r="Z62" i="76" s="1"/>
  <c r="P62" i="76"/>
  <c r="X62" i="76" s="1"/>
  <c r="H62" i="76"/>
  <c r="D62" i="76"/>
  <c r="L62" i="76" s="1"/>
  <c r="B62" i="76"/>
  <c r="X61" i="76"/>
  <c r="Z61" i="76" s="1"/>
  <c r="N61" i="76"/>
  <c r="L61" i="76"/>
  <c r="B61" i="76"/>
  <c r="X60" i="76"/>
  <c r="Z60" i="76" s="1"/>
  <c r="T60" i="76"/>
  <c r="P60" i="76"/>
  <c r="H60" i="76"/>
  <c r="D60" i="76"/>
  <c r="L60" i="76" s="1"/>
  <c r="B60" i="76"/>
  <c r="Z59" i="76"/>
  <c r="X59" i="76"/>
  <c r="N59" i="76"/>
  <c r="L59" i="76"/>
  <c r="B59" i="76"/>
  <c r="X58" i="76"/>
  <c r="Z58" i="76" s="1"/>
  <c r="N58" i="76"/>
  <c r="L58" i="76"/>
  <c r="B58" i="76"/>
  <c r="T57" i="76"/>
  <c r="Z57" i="76" s="1"/>
  <c r="P57" i="76"/>
  <c r="X57" i="76" s="1"/>
  <c r="H57" i="76"/>
  <c r="D57" i="76"/>
  <c r="B57" i="76"/>
  <c r="X56" i="76"/>
  <c r="Z56" i="76" s="1"/>
  <c r="N56" i="76"/>
  <c r="L56" i="76"/>
  <c r="B56" i="76"/>
  <c r="T55" i="76"/>
  <c r="P55" i="76"/>
  <c r="X55" i="76" s="1"/>
  <c r="Z55" i="76" s="1"/>
  <c r="N55" i="76"/>
  <c r="H55" i="76"/>
  <c r="D55" i="76"/>
  <c r="L55" i="76" s="1"/>
  <c r="B55" i="76"/>
  <c r="Z54" i="76"/>
  <c r="X54" i="76"/>
  <c r="N54" i="76"/>
  <c r="L54" i="76"/>
  <c r="B54" i="76"/>
  <c r="X53" i="76"/>
  <c r="T53" i="76"/>
  <c r="Z53" i="76" s="1"/>
  <c r="P53" i="76"/>
  <c r="N53" i="76"/>
  <c r="L53" i="76"/>
  <c r="H53" i="76"/>
  <c r="D53" i="76"/>
  <c r="B53" i="76"/>
  <c r="Z52" i="76"/>
  <c r="X52" i="76"/>
  <c r="L52" i="76"/>
  <c r="N52" i="76" s="1"/>
  <c r="B52" i="76"/>
  <c r="T51" i="76"/>
  <c r="P51" i="76"/>
  <c r="X51" i="76" s="1"/>
  <c r="H51" i="76"/>
  <c r="D51" i="76"/>
  <c r="L51" i="76" s="1"/>
  <c r="B51" i="76"/>
  <c r="Z50" i="76"/>
  <c r="X50" i="76"/>
  <c r="N50" i="76"/>
  <c r="L50" i="76"/>
  <c r="B50" i="76"/>
  <c r="T49" i="76"/>
  <c r="P49" i="76"/>
  <c r="X49" i="76" s="1"/>
  <c r="Z49" i="76" s="1"/>
  <c r="H49" i="76"/>
  <c r="D49" i="76"/>
  <c r="L49" i="76" s="1"/>
  <c r="N49" i="76" s="1"/>
  <c r="B49" i="76"/>
  <c r="Z48" i="76"/>
  <c r="X48" i="76"/>
  <c r="N48" i="76"/>
  <c r="L48" i="76"/>
  <c r="B48" i="76"/>
  <c r="Z47" i="76"/>
  <c r="X47" i="76"/>
  <c r="T47" i="76"/>
  <c r="P47" i="76"/>
  <c r="L47" i="76"/>
  <c r="H47" i="76"/>
  <c r="N47" i="76" s="1"/>
  <c r="D47" i="76"/>
  <c r="B47" i="76"/>
  <c r="X46" i="76"/>
  <c r="Z46" i="76" s="1"/>
  <c r="N46" i="76"/>
  <c r="L46" i="76"/>
  <c r="B46" i="76"/>
  <c r="T45" i="76"/>
  <c r="P45" i="76"/>
  <c r="X45" i="76" s="1"/>
  <c r="H45" i="76"/>
  <c r="N45" i="76" s="1"/>
  <c r="D45" i="76"/>
  <c r="L45" i="76" s="1"/>
  <c r="B45" i="76"/>
  <c r="X44" i="76"/>
  <c r="Z44" i="76" s="1"/>
  <c r="L44" i="76"/>
  <c r="N44" i="76" s="1"/>
  <c r="B44" i="76"/>
  <c r="X43" i="76"/>
  <c r="Z43" i="76" s="1"/>
  <c r="N43" i="76"/>
  <c r="L43" i="76"/>
  <c r="B43" i="76"/>
  <c r="Z42" i="76"/>
  <c r="X42" i="76"/>
  <c r="N42" i="76"/>
  <c r="L42" i="76"/>
  <c r="B42" i="76"/>
  <c r="Z41" i="76"/>
  <c r="X41" i="76"/>
  <c r="L41" i="76"/>
  <c r="N41" i="76" s="1"/>
  <c r="B41" i="76"/>
  <c r="T40" i="76"/>
  <c r="Z40" i="76" s="1"/>
  <c r="P40" i="76"/>
  <c r="X40" i="76" s="1"/>
  <c r="H40" i="76"/>
  <c r="N40" i="76" s="1"/>
  <c r="D40" i="76"/>
  <c r="L40" i="76" s="1"/>
  <c r="B40" i="76"/>
  <c r="Z39" i="76"/>
  <c r="X39" i="76"/>
  <c r="N39" i="76"/>
  <c r="L39" i="76"/>
  <c r="B39" i="76"/>
  <c r="Z38" i="76"/>
  <c r="X38" i="76"/>
  <c r="L38" i="76"/>
  <c r="N38" i="76" s="1"/>
  <c r="B38" i="76"/>
  <c r="X37" i="76"/>
  <c r="Z37" i="76" s="1"/>
  <c r="N37" i="76"/>
  <c r="L37" i="76"/>
  <c r="B37" i="76"/>
  <c r="X36" i="76"/>
  <c r="Z36" i="76" s="1"/>
  <c r="N36" i="76"/>
  <c r="L36" i="76"/>
  <c r="B36" i="76"/>
  <c r="Z35" i="76"/>
  <c r="X35" i="76"/>
  <c r="N35" i="76"/>
  <c r="L35" i="76"/>
  <c r="B35" i="76"/>
  <c r="Z34" i="76"/>
  <c r="X34" i="76"/>
  <c r="L34" i="76"/>
  <c r="N34" i="76" s="1"/>
  <c r="B34" i="76"/>
  <c r="X33" i="76"/>
  <c r="Z33" i="76" s="1"/>
  <c r="N33" i="76"/>
  <c r="L33" i="76"/>
  <c r="B33" i="76"/>
  <c r="X32" i="76"/>
  <c r="Z32" i="76" s="1"/>
  <c r="N32" i="76"/>
  <c r="L32" i="76"/>
  <c r="B32" i="76"/>
  <c r="Z31" i="76"/>
  <c r="X31" i="76"/>
  <c r="T31" i="76"/>
  <c r="P31" i="76"/>
  <c r="L31" i="76"/>
  <c r="H31" i="76"/>
  <c r="D31" i="76"/>
  <c r="B31" i="76"/>
  <c r="X30" i="76"/>
  <c r="T30" i="76"/>
  <c r="Z30" i="76" s="1"/>
  <c r="P30" i="76"/>
  <c r="N30" i="76"/>
  <c r="H30" i="76"/>
  <c r="D30" i="76"/>
  <c r="L30" i="76" s="1"/>
  <c r="X26" i="76"/>
  <c r="T26" i="76"/>
  <c r="Z26" i="76" s="1"/>
  <c r="P26" i="76"/>
  <c r="N26" i="76"/>
  <c r="H26" i="76"/>
  <c r="D26" i="76"/>
  <c r="L26" i="76" s="1"/>
  <c r="Z24" i="76"/>
  <c r="X24" i="76"/>
  <c r="T24" i="76"/>
  <c r="P24" i="76"/>
  <c r="H24" i="76"/>
  <c r="N24" i="76" s="1"/>
  <c r="D24" i="76"/>
  <c r="L24" i="76" s="1"/>
  <c r="B24" i="76"/>
  <c r="T23" i="76"/>
  <c r="Z23" i="76" s="1"/>
  <c r="P23" i="76"/>
  <c r="X23" i="76" s="1"/>
  <c r="N23" i="76"/>
  <c r="H23" i="76"/>
  <c r="L23" i="76" s="1"/>
  <c r="D23" i="76"/>
  <c r="B23" i="76"/>
  <c r="Z22" i="76"/>
  <c r="X22" i="76"/>
  <c r="T22" i="76"/>
  <c r="P22" i="76"/>
  <c r="H22" i="76"/>
  <c r="N22" i="76" s="1"/>
  <c r="D22" i="76"/>
  <c r="L22" i="76" s="1"/>
  <c r="B22" i="76"/>
  <c r="T21" i="76"/>
  <c r="P21" i="76"/>
  <c r="X21" i="76" s="1"/>
  <c r="Z21" i="76" s="1"/>
  <c r="N21" i="76"/>
  <c r="L21" i="76"/>
  <c r="H21" i="76"/>
  <c r="D21" i="76"/>
  <c r="B21" i="76"/>
  <c r="X20" i="76"/>
  <c r="Z20" i="76" s="1"/>
  <c r="T20" i="76"/>
  <c r="P20" i="76"/>
  <c r="H20" i="76"/>
  <c r="D20" i="76"/>
  <c r="L20" i="76" s="1"/>
  <c r="B20" i="76"/>
  <c r="T19" i="76"/>
  <c r="Z19" i="76" s="1"/>
  <c r="P19" i="76"/>
  <c r="X19" i="76" s="1"/>
  <c r="H19" i="76"/>
  <c r="L19" i="76" s="1"/>
  <c r="N19" i="76" s="1"/>
  <c r="D19" i="76"/>
  <c r="B19" i="76"/>
  <c r="Z18" i="76"/>
  <c r="X18" i="76"/>
  <c r="T18" i="76"/>
  <c r="P18" i="76"/>
  <c r="H18" i="76"/>
  <c r="N18" i="76" s="1"/>
  <c r="D18" i="76"/>
  <c r="L18" i="76" s="1"/>
  <c r="B18" i="76"/>
  <c r="T17" i="76"/>
  <c r="P17" i="76"/>
  <c r="X17" i="76" s="1"/>
  <c r="Z17" i="76" s="1"/>
  <c r="N17" i="76"/>
  <c r="L17" i="76"/>
  <c r="H17" i="76"/>
  <c r="D17" i="76"/>
  <c r="B17" i="76"/>
  <c r="X16" i="76"/>
  <c r="Z16" i="76" s="1"/>
  <c r="T16" i="76"/>
  <c r="P16" i="76"/>
  <c r="H16" i="76"/>
  <c r="D16" i="76"/>
  <c r="L16" i="76" s="1"/>
  <c r="B16" i="76"/>
  <c r="T15" i="76"/>
  <c r="Z15" i="76" s="1"/>
  <c r="P15" i="76"/>
  <c r="X15" i="76" s="1"/>
  <c r="H15" i="76"/>
  <c r="L15" i="76" s="1"/>
  <c r="N15" i="76" s="1"/>
  <c r="D15" i="76"/>
  <c r="B15" i="76"/>
  <c r="Z14" i="76"/>
  <c r="T14" i="76"/>
  <c r="X14" i="76" s="1"/>
  <c r="P14" i="76"/>
  <c r="H14" i="76"/>
  <c r="D14" i="76"/>
  <c r="B14" i="76"/>
  <c r="T13" i="76"/>
  <c r="P13" i="76"/>
  <c r="L13" i="76"/>
  <c r="N13" i="76" s="1"/>
  <c r="H13" i="76"/>
  <c r="D13" i="76"/>
  <c r="B13" i="76"/>
  <c r="D6" i="76"/>
  <c r="D4" i="76"/>
  <c r="X112" i="75"/>
  <c r="Z112" i="75" s="1"/>
  <c r="L112" i="75"/>
  <c r="N112" i="75" s="1"/>
  <c r="Z108" i="75"/>
  <c r="T108" i="75"/>
  <c r="T107" i="75" s="1"/>
  <c r="P108" i="75"/>
  <c r="X108" i="75" s="1"/>
  <c r="L108" i="75"/>
  <c r="H108" i="75"/>
  <c r="N108" i="75" s="1"/>
  <c r="D108" i="75"/>
  <c r="B108" i="75"/>
  <c r="D107" i="75"/>
  <c r="X105" i="75"/>
  <c r="Z105" i="75" s="1"/>
  <c r="N105" i="75"/>
  <c r="L105" i="75"/>
  <c r="B105" i="75"/>
  <c r="Z104" i="75"/>
  <c r="X104" i="75"/>
  <c r="N104" i="75"/>
  <c r="L104" i="75"/>
  <c r="B104" i="75"/>
  <c r="Z103" i="75"/>
  <c r="T103" i="75"/>
  <c r="P103" i="75"/>
  <c r="X103" i="75" s="1"/>
  <c r="N103" i="75"/>
  <c r="L103" i="75"/>
  <c r="H103" i="75"/>
  <c r="D103" i="75"/>
  <c r="B103" i="75"/>
  <c r="X102" i="75"/>
  <c r="Z102" i="75" s="1"/>
  <c r="N102" i="75"/>
  <c r="L102" i="75"/>
  <c r="B102" i="75"/>
  <c r="Z101" i="75"/>
  <c r="X101" i="75"/>
  <c r="T101" i="75"/>
  <c r="P101" i="75"/>
  <c r="L101" i="75"/>
  <c r="H101" i="75"/>
  <c r="D101" i="75"/>
  <c r="B101" i="75"/>
  <c r="X100" i="75"/>
  <c r="Z100" i="75" s="1"/>
  <c r="N100" i="75"/>
  <c r="L100" i="75"/>
  <c r="B100" i="75"/>
  <c r="T99" i="75"/>
  <c r="Z99" i="75" s="1"/>
  <c r="P99" i="75"/>
  <c r="X99" i="75" s="1"/>
  <c r="H99" i="75"/>
  <c r="D99" i="75"/>
  <c r="B99" i="75"/>
  <c r="X98" i="75"/>
  <c r="Z98" i="75" s="1"/>
  <c r="N98" i="75"/>
  <c r="L98" i="75"/>
  <c r="B98" i="75"/>
  <c r="X97" i="75"/>
  <c r="Z97" i="75" s="1"/>
  <c r="N97" i="75"/>
  <c r="L97" i="75"/>
  <c r="B97" i="75"/>
  <c r="Z96" i="75"/>
  <c r="X96" i="75"/>
  <c r="N96" i="75"/>
  <c r="L96" i="75"/>
  <c r="B96" i="75"/>
  <c r="Z95" i="75"/>
  <c r="X95" i="75"/>
  <c r="L95" i="75"/>
  <c r="N95" i="75" s="1"/>
  <c r="B95" i="75"/>
  <c r="X94" i="75"/>
  <c r="Z94" i="75" s="1"/>
  <c r="L94" i="75"/>
  <c r="N94" i="75" s="1"/>
  <c r="B94" i="75"/>
  <c r="X93" i="75"/>
  <c r="Z93" i="75" s="1"/>
  <c r="T93" i="75"/>
  <c r="P93" i="75"/>
  <c r="N93" i="75"/>
  <c r="H93" i="75"/>
  <c r="D93" i="75"/>
  <c r="L93" i="75" s="1"/>
  <c r="B93" i="75"/>
  <c r="Z92" i="75"/>
  <c r="X92" i="75"/>
  <c r="N92" i="75"/>
  <c r="L92" i="75"/>
  <c r="B92" i="75"/>
  <c r="X91" i="75"/>
  <c r="Z91" i="75" s="1"/>
  <c r="N91" i="75"/>
  <c r="L91" i="75"/>
  <c r="B91" i="75"/>
  <c r="X90" i="75"/>
  <c r="Z90" i="75" s="1"/>
  <c r="T90" i="75"/>
  <c r="P90" i="75"/>
  <c r="H90" i="75"/>
  <c r="N90" i="75" s="1"/>
  <c r="D90" i="75"/>
  <c r="L90" i="75" s="1"/>
  <c r="B90" i="75"/>
  <c r="Z89" i="75"/>
  <c r="X89" i="75"/>
  <c r="L89" i="75"/>
  <c r="N89" i="75" s="1"/>
  <c r="B89" i="75"/>
  <c r="X88" i="75"/>
  <c r="Z88" i="75" s="1"/>
  <c r="N88" i="75"/>
  <c r="L88" i="75"/>
  <c r="B88" i="75"/>
  <c r="T87" i="75"/>
  <c r="P87" i="75"/>
  <c r="X87" i="75" s="1"/>
  <c r="H87" i="75"/>
  <c r="D87" i="75"/>
  <c r="B87" i="75"/>
  <c r="X86" i="75"/>
  <c r="Z86" i="75" s="1"/>
  <c r="N86" i="75"/>
  <c r="L86" i="75"/>
  <c r="B86" i="75"/>
  <c r="X85" i="75"/>
  <c r="Z85" i="75" s="1"/>
  <c r="N85" i="75"/>
  <c r="L85" i="75"/>
  <c r="B85" i="75"/>
  <c r="T84" i="75"/>
  <c r="Z84" i="75" s="1"/>
  <c r="P84" i="75"/>
  <c r="X84" i="75" s="1"/>
  <c r="H84" i="75"/>
  <c r="D84" i="75"/>
  <c r="B84" i="75"/>
  <c r="X83" i="75"/>
  <c r="Z83" i="75" s="1"/>
  <c r="N83" i="75"/>
  <c r="L83" i="75"/>
  <c r="B83" i="75"/>
  <c r="X82" i="75"/>
  <c r="Z82" i="75" s="1"/>
  <c r="T82" i="75"/>
  <c r="P82" i="75"/>
  <c r="H82" i="75"/>
  <c r="D82" i="75"/>
  <c r="L82" i="75" s="1"/>
  <c r="B82" i="75"/>
  <c r="Z81" i="75"/>
  <c r="X81" i="75"/>
  <c r="N81" i="75"/>
  <c r="L81" i="75"/>
  <c r="B81" i="75"/>
  <c r="X80" i="75"/>
  <c r="T80" i="75"/>
  <c r="P80" i="75"/>
  <c r="N80" i="75"/>
  <c r="H80" i="75"/>
  <c r="D80" i="75"/>
  <c r="L80" i="75" s="1"/>
  <c r="B80" i="75"/>
  <c r="Z79" i="75"/>
  <c r="X79" i="75"/>
  <c r="N79" i="75"/>
  <c r="L79" i="75"/>
  <c r="B79" i="75"/>
  <c r="X78" i="75"/>
  <c r="Z78" i="75" s="1"/>
  <c r="L78" i="75"/>
  <c r="N78" i="75" s="1"/>
  <c r="B78" i="75"/>
  <c r="T77" i="75"/>
  <c r="P77" i="75"/>
  <c r="X77" i="75" s="1"/>
  <c r="Z77" i="75" s="1"/>
  <c r="N77" i="75"/>
  <c r="H77" i="75"/>
  <c r="D77" i="75"/>
  <c r="L77" i="75" s="1"/>
  <c r="B77" i="75"/>
  <c r="Z76" i="75"/>
  <c r="X76" i="75"/>
  <c r="L76" i="75"/>
  <c r="N76" i="75" s="1"/>
  <c r="B76" i="75"/>
  <c r="X75" i="75"/>
  <c r="T75" i="75"/>
  <c r="Z75" i="75" s="1"/>
  <c r="P75" i="75"/>
  <c r="N75" i="75"/>
  <c r="L75" i="75"/>
  <c r="H75" i="75"/>
  <c r="D75" i="75"/>
  <c r="B75" i="75"/>
  <c r="Z74" i="75"/>
  <c r="X74" i="75"/>
  <c r="L74" i="75"/>
  <c r="N74" i="75" s="1"/>
  <c r="B74" i="75"/>
  <c r="Z73" i="75"/>
  <c r="X73" i="75"/>
  <c r="L73" i="75"/>
  <c r="N73" i="75" s="1"/>
  <c r="B73" i="75"/>
  <c r="X72" i="75"/>
  <c r="T72" i="75"/>
  <c r="Z72" i="75" s="1"/>
  <c r="P72" i="75"/>
  <c r="N72" i="75"/>
  <c r="H72" i="75"/>
  <c r="D72" i="75"/>
  <c r="L72" i="75" s="1"/>
  <c r="B72" i="75"/>
  <c r="Z71" i="75"/>
  <c r="X71" i="75"/>
  <c r="L71" i="75"/>
  <c r="N71" i="75" s="1"/>
  <c r="B71" i="75"/>
  <c r="X70" i="75"/>
  <c r="T70" i="75"/>
  <c r="P70" i="75"/>
  <c r="H70" i="75"/>
  <c r="N70" i="75" s="1"/>
  <c r="D70" i="75"/>
  <c r="L70" i="75" s="1"/>
  <c r="B70" i="75"/>
  <c r="Z69" i="75"/>
  <c r="X69" i="75"/>
  <c r="N69" i="75"/>
  <c r="L69" i="75"/>
  <c r="B69" i="75"/>
  <c r="Z68" i="75"/>
  <c r="X68" i="75"/>
  <c r="L68" i="75"/>
  <c r="N68" i="75" s="1"/>
  <c r="B68" i="75"/>
  <c r="X67" i="75"/>
  <c r="Z67" i="75" s="1"/>
  <c r="N67" i="75"/>
  <c r="L67" i="75"/>
  <c r="B67" i="75"/>
  <c r="X66" i="75"/>
  <c r="Z66" i="75" s="1"/>
  <c r="N66" i="75"/>
  <c r="L66" i="75"/>
  <c r="B66" i="75"/>
  <c r="Z65" i="75"/>
  <c r="X65" i="75"/>
  <c r="N65" i="75"/>
  <c r="L65" i="75"/>
  <c r="B65" i="75"/>
  <c r="Z64" i="75"/>
  <c r="X64" i="75"/>
  <c r="L64" i="75"/>
  <c r="N64" i="75" s="1"/>
  <c r="B64" i="75"/>
  <c r="X63" i="75"/>
  <c r="T63" i="75"/>
  <c r="P63" i="75"/>
  <c r="N63" i="75"/>
  <c r="L63" i="75"/>
  <c r="H63" i="75"/>
  <c r="D63" i="75"/>
  <c r="B63" i="75"/>
  <c r="Z62" i="75"/>
  <c r="X62" i="75"/>
  <c r="L62" i="75"/>
  <c r="N62" i="75" s="1"/>
  <c r="B62" i="75"/>
  <c r="Z61" i="75"/>
  <c r="X61" i="75"/>
  <c r="L61" i="75"/>
  <c r="N61" i="75" s="1"/>
  <c r="B61" i="75"/>
  <c r="X60" i="75"/>
  <c r="Z60" i="75" s="1"/>
  <c r="N60" i="75"/>
  <c r="L60" i="75"/>
  <c r="B60" i="75"/>
  <c r="Z59" i="75"/>
  <c r="X59" i="75"/>
  <c r="N59" i="75"/>
  <c r="L59" i="75"/>
  <c r="B59" i="75"/>
  <c r="Z58" i="75"/>
  <c r="X58" i="75"/>
  <c r="L58" i="75"/>
  <c r="N58" i="75" s="1"/>
  <c r="B58" i="75"/>
  <c r="Z57" i="75"/>
  <c r="X57" i="75"/>
  <c r="L57" i="75"/>
  <c r="N57" i="75" s="1"/>
  <c r="B57" i="75"/>
  <c r="X56" i="75"/>
  <c r="Z56" i="75" s="1"/>
  <c r="N56" i="75"/>
  <c r="L56" i="75"/>
  <c r="B56" i="75"/>
  <c r="Z55" i="75"/>
  <c r="X55" i="75"/>
  <c r="N55" i="75"/>
  <c r="L55" i="75"/>
  <c r="B55" i="75"/>
  <c r="T54" i="75"/>
  <c r="P54" i="75"/>
  <c r="X54" i="75" s="1"/>
  <c r="Z54" i="75" s="1"/>
  <c r="H54" i="75"/>
  <c r="D54" i="75"/>
  <c r="B54" i="75"/>
  <c r="T53" i="75"/>
  <c r="P53" i="75"/>
  <c r="X53" i="75" s="1"/>
  <c r="Z53" i="75" s="1"/>
  <c r="H53" i="75"/>
  <c r="D53" i="75"/>
  <c r="L53" i="75" s="1"/>
  <c r="N53" i="75" s="1"/>
  <c r="X49" i="75"/>
  <c r="Z49" i="75" s="1"/>
  <c r="L49" i="75"/>
  <c r="N49" i="75" s="1"/>
  <c r="B49" i="75"/>
  <c r="Z48" i="75"/>
  <c r="X48" i="75"/>
  <c r="N48" i="75"/>
  <c r="L48" i="75"/>
  <c r="B48" i="75"/>
  <c r="Z47" i="75"/>
  <c r="X47" i="75"/>
  <c r="N47" i="75"/>
  <c r="L47" i="75"/>
  <c r="B47" i="75"/>
  <c r="X46" i="75"/>
  <c r="Z46" i="75" s="1"/>
  <c r="L46" i="75"/>
  <c r="N46" i="75" s="1"/>
  <c r="B46" i="75"/>
  <c r="X45" i="75"/>
  <c r="Z45" i="75" s="1"/>
  <c r="N45" i="75"/>
  <c r="L45" i="75"/>
  <c r="B45" i="75"/>
  <c r="Z44" i="75"/>
  <c r="X44" i="75"/>
  <c r="N44" i="75"/>
  <c r="L44" i="75"/>
  <c r="B44" i="75"/>
  <c r="Z43" i="75"/>
  <c r="X43" i="75"/>
  <c r="N43" i="75"/>
  <c r="L43" i="75"/>
  <c r="B43" i="75"/>
  <c r="X42" i="75"/>
  <c r="Z42" i="75" s="1"/>
  <c r="L42" i="75"/>
  <c r="N42" i="75" s="1"/>
  <c r="B42" i="75"/>
  <c r="X41" i="75"/>
  <c r="Z41" i="75" s="1"/>
  <c r="N41" i="75"/>
  <c r="L41" i="75"/>
  <c r="B41" i="75"/>
  <c r="Z40" i="75"/>
  <c r="X40" i="75"/>
  <c r="N40" i="75"/>
  <c r="L40" i="75"/>
  <c r="B40" i="75"/>
  <c r="Z39" i="75"/>
  <c r="X39" i="75"/>
  <c r="L39" i="75"/>
  <c r="N39" i="75" s="1"/>
  <c r="B39" i="75"/>
  <c r="X38" i="75"/>
  <c r="Z38" i="75" s="1"/>
  <c r="L38" i="75"/>
  <c r="N38" i="75" s="1"/>
  <c r="B38" i="75"/>
  <c r="X37" i="75"/>
  <c r="Z37" i="75" s="1"/>
  <c r="N37" i="75"/>
  <c r="L37" i="75"/>
  <c r="B37" i="75"/>
  <c r="Z36" i="75"/>
  <c r="X36" i="75"/>
  <c r="N36" i="75"/>
  <c r="L36" i="75"/>
  <c r="B36" i="75"/>
  <c r="Z35" i="75"/>
  <c r="X35" i="75"/>
  <c r="L35" i="75"/>
  <c r="N35" i="75" s="1"/>
  <c r="B35" i="75"/>
  <c r="T34" i="75"/>
  <c r="P34" i="75"/>
  <c r="X34" i="75" s="1"/>
  <c r="H34" i="75"/>
  <c r="D34" i="75"/>
  <c r="L34" i="75" s="1"/>
  <c r="T32" i="75"/>
  <c r="P32" i="75"/>
  <c r="L32" i="75"/>
  <c r="H32" i="75"/>
  <c r="D32" i="75"/>
  <c r="B32" i="75"/>
  <c r="X31" i="75"/>
  <c r="Z31" i="75" s="1"/>
  <c r="T31" i="75"/>
  <c r="P31" i="75"/>
  <c r="L31" i="75"/>
  <c r="N31" i="75" s="1"/>
  <c r="H31" i="75"/>
  <c r="D31" i="75"/>
  <c r="B31" i="75"/>
  <c r="T30" i="75"/>
  <c r="P30" i="75"/>
  <c r="N30" i="75"/>
  <c r="H30" i="75"/>
  <c r="D30" i="75"/>
  <c r="L30" i="75" s="1"/>
  <c r="B30" i="75"/>
  <c r="T29" i="75"/>
  <c r="P29" i="75"/>
  <c r="X29" i="75" s="1"/>
  <c r="Z29" i="75" s="1"/>
  <c r="H29" i="75"/>
  <c r="N29" i="75" s="1"/>
  <c r="D29" i="75"/>
  <c r="L29" i="75" s="1"/>
  <c r="B29" i="75"/>
  <c r="T28" i="75"/>
  <c r="P28" i="75"/>
  <c r="X28" i="75" s="1"/>
  <c r="L28" i="75"/>
  <c r="H28" i="75"/>
  <c r="N28" i="75" s="1"/>
  <c r="D28" i="75"/>
  <c r="B28" i="75"/>
  <c r="X27" i="75"/>
  <c r="Z27" i="75" s="1"/>
  <c r="T27" i="75"/>
  <c r="P27" i="75"/>
  <c r="L27" i="75"/>
  <c r="N27" i="75" s="1"/>
  <c r="H27" i="75"/>
  <c r="D27" i="75"/>
  <c r="B27" i="75"/>
  <c r="T26" i="75"/>
  <c r="P26" i="75"/>
  <c r="X26" i="75" s="1"/>
  <c r="H26" i="75"/>
  <c r="D26" i="75"/>
  <c r="L26" i="75" s="1"/>
  <c r="N26" i="75" s="1"/>
  <c r="B26" i="75"/>
  <c r="Z25" i="75"/>
  <c r="T25" i="75"/>
  <c r="P25" i="75"/>
  <c r="X25" i="75" s="1"/>
  <c r="H25" i="75"/>
  <c r="D25" i="75"/>
  <c r="L25" i="75" s="1"/>
  <c r="B25" i="75"/>
  <c r="T24" i="75"/>
  <c r="P24" i="75"/>
  <c r="L24" i="75"/>
  <c r="H24" i="75"/>
  <c r="D24" i="75"/>
  <c r="B24" i="75"/>
  <c r="X23" i="75"/>
  <c r="Z23" i="75" s="1"/>
  <c r="T23" i="75"/>
  <c r="P23" i="75"/>
  <c r="H23" i="75"/>
  <c r="L23" i="75" s="1"/>
  <c r="N23" i="75" s="1"/>
  <c r="D23" i="75"/>
  <c r="B23" i="75"/>
  <c r="T22" i="75"/>
  <c r="P22" i="75"/>
  <c r="N22" i="75"/>
  <c r="H22" i="75"/>
  <c r="D22" i="75"/>
  <c r="L22" i="75" s="1"/>
  <c r="B22" i="75"/>
  <c r="T21" i="75"/>
  <c r="P21" i="75"/>
  <c r="L21" i="75"/>
  <c r="H21" i="75"/>
  <c r="N21" i="75" s="1"/>
  <c r="D21" i="75"/>
  <c r="B21" i="75"/>
  <c r="T20" i="75"/>
  <c r="P20" i="75"/>
  <c r="L20" i="75"/>
  <c r="H20" i="75"/>
  <c r="D20" i="75"/>
  <c r="B20" i="75"/>
  <c r="X19" i="75"/>
  <c r="Z19" i="75" s="1"/>
  <c r="T19" i="75"/>
  <c r="P19" i="75"/>
  <c r="L19" i="75"/>
  <c r="N19" i="75" s="1"/>
  <c r="H19" i="75"/>
  <c r="D19" i="75"/>
  <c r="B19" i="75"/>
  <c r="T18" i="75"/>
  <c r="P18" i="75"/>
  <c r="N18" i="75"/>
  <c r="H18" i="75"/>
  <c r="D18" i="75"/>
  <c r="L18" i="75" s="1"/>
  <c r="B18" i="75"/>
  <c r="T17" i="75"/>
  <c r="P17" i="75"/>
  <c r="X17" i="75" s="1"/>
  <c r="Z17" i="75" s="1"/>
  <c r="H17" i="75"/>
  <c r="N17" i="75" s="1"/>
  <c r="D17" i="75"/>
  <c r="L17" i="75" s="1"/>
  <c r="B17" i="75"/>
  <c r="T16" i="75"/>
  <c r="P16" i="75"/>
  <c r="X16" i="75" s="1"/>
  <c r="L16" i="75"/>
  <c r="H16" i="75"/>
  <c r="N16" i="75" s="1"/>
  <c r="D16" i="75"/>
  <c r="B16" i="75"/>
  <c r="X15" i="75"/>
  <c r="Z15" i="75" s="1"/>
  <c r="T15" i="75"/>
  <c r="P15" i="75"/>
  <c r="L15" i="75"/>
  <c r="N15" i="75" s="1"/>
  <c r="H15" i="75"/>
  <c r="D15" i="75"/>
  <c r="B15" i="75"/>
  <c r="T14" i="75"/>
  <c r="P14" i="75"/>
  <c r="X14" i="75" s="1"/>
  <c r="H14" i="75"/>
  <c r="D14" i="75"/>
  <c r="L14" i="75" s="1"/>
  <c r="N14" i="75" s="1"/>
  <c r="B14" i="75"/>
  <c r="Z13" i="75"/>
  <c r="T13" i="75"/>
  <c r="P13" i="75"/>
  <c r="X13" i="75" s="1"/>
  <c r="H13" i="75"/>
  <c r="D13" i="75"/>
  <c r="B13" i="75"/>
  <c r="D6" i="75"/>
  <c r="D4" i="75"/>
  <c r="Z91" i="74"/>
  <c r="X91" i="74"/>
  <c r="L91" i="74"/>
  <c r="N91" i="74" s="1"/>
  <c r="T87" i="74"/>
  <c r="Z87" i="74" s="1"/>
  <c r="P87" i="74"/>
  <c r="X87" i="74" s="1"/>
  <c r="H87" i="74"/>
  <c r="N87" i="74" s="1"/>
  <c r="D87" i="74"/>
  <c r="L87" i="74" s="1"/>
  <c r="Z85" i="74"/>
  <c r="X85" i="74"/>
  <c r="N85" i="74"/>
  <c r="L85" i="74"/>
  <c r="B85" i="74"/>
  <c r="Z84" i="74"/>
  <c r="T84" i="74"/>
  <c r="P84" i="74"/>
  <c r="X84" i="74" s="1"/>
  <c r="N84" i="74"/>
  <c r="L84" i="74"/>
  <c r="H84" i="74"/>
  <c r="D84" i="74"/>
  <c r="B84" i="74"/>
  <c r="X83" i="74"/>
  <c r="Z83" i="74" s="1"/>
  <c r="L83" i="74"/>
  <c r="N83" i="74" s="1"/>
  <c r="B83" i="74"/>
  <c r="Z82" i="74"/>
  <c r="X82" i="74"/>
  <c r="T82" i="74"/>
  <c r="P82" i="74"/>
  <c r="H82" i="74"/>
  <c r="D82" i="74"/>
  <c r="B82" i="74"/>
  <c r="Z81" i="74"/>
  <c r="X81" i="74"/>
  <c r="N81" i="74"/>
  <c r="L81" i="74"/>
  <c r="B81" i="74"/>
  <c r="Z80" i="74"/>
  <c r="X80" i="74"/>
  <c r="N80" i="74"/>
  <c r="L80" i="74"/>
  <c r="B80" i="74"/>
  <c r="T79" i="74"/>
  <c r="P79" i="74"/>
  <c r="X79" i="74" s="1"/>
  <c r="L79" i="74"/>
  <c r="H79" i="74"/>
  <c r="N79" i="74" s="1"/>
  <c r="D79" i="74"/>
  <c r="B79" i="74"/>
  <c r="X78" i="74"/>
  <c r="Z78" i="74" s="1"/>
  <c r="N78" i="74"/>
  <c r="L78" i="74"/>
  <c r="B78" i="74"/>
  <c r="T77" i="74"/>
  <c r="P77" i="74"/>
  <c r="H77" i="74"/>
  <c r="N77" i="74" s="1"/>
  <c r="D77" i="74"/>
  <c r="B77" i="74"/>
  <c r="X76" i="74"/>
  <c r="Z76" i="74" s="1"/>
  <c r="N76" i="74"/>
  <c r="L76" i="74"/>
  <c r="B76" i="74"/>
  <c r="T75" i="74"/>
  <c r="P75" i="74"/>
  <c r="X75" i="74" s="1"/>
  <c r="H75" i="74"/>
  <c r="N75" i="74" s="1"/>
  <c r="D75" i="74"/>
  <c r="B75" i="74"/>
  <c r="Z74" i="74"/>
  <c r="X74" i="74"/>
  <c r="N74" i="74"/>
  <c r="L74" i="74"/>
  <c r="B74" i="74"/>
  <c r="X73" i="74"/>
  <c r="Z73" i="74" s="1"/>
  <c r="T73" i="74"/>
  <c r="P73" i="74"/>
  <c r="N73" i="74"/>
  <c r="L73" i="74"/>
  <c r="H73" i="74"/>
  <c r="D73" i="74"/>
  <c r="B73" i="74"/>
  <c r="Z72" i="74"/>
  <c r="X72" i="74"/>
  <c r="L72" i="74"/>
  <c r="N72" i="74" s="1"/>
  <c r="B72" i="74"/>
  <c r="X71" i="74"/>
  <c r="Z71" i="74" s="1"/>
  <c r="L71" i="74"/>
  <c r="N71" i="74" s="1"/>
  <c r="B71" i="74"/>
  <c r="T70" i="74"/>
  <c r="P70" i="74"/>
  <c r="X70" i="74" s="1"/>
  <c r="Z70" i="74" s="1"/>
  <c r="L70" i="74"/>
  <c r="N70" i="74" s="1"/>
  <c r="H70" i="74"/>
  <c r="D70" i="74"/>
  <c r="B70" i="74"/>
  <c r="Z69" i="74"/>
  <c r="X69" i="74"/>
  <c r="N69" i="74"/>
  <c r="L69" i="74"/>
  <c r="B69" i="74"/>
  <c r="T68" i="74"/>
  <c r="P68" i="74"/>
  <c r="X68" i="74" s="1"/>
  <c r="Z68" i="74" s="1"/>
  <c r="H68" i="74"/>
  <c r="D68" i="74"/>
  <c r="B68" i="74"/>
  <c r="X67" i="74"/>
  <c r="Z67" i="74" s="1"/>
  <c r="N67" i="74"/>
  <c r="L67" i="74"/>
  <c r="B67" i="74"/>
  <c r="Z66" i="74"/>
  <c r="X66" i="74"/>
  <c r="N66" i="74"/>
  <c r="L66" i="74"/>
  <c r="B66" i="74"/>
  <c r="Z65" i="74"/>
  <c r="X65" i="74"/>
  <c r="N65" i="74"/>
  <c r="L65" i="74"/>
  <c r="B65" i="74"/>
  <c r="X64" i="74"/>
  <c r="Z64" i="74" s="1"/>
  <c r="L64" i="74"/>
  <c r="N64" i="74" s="1"/>
  <c r="B64" i="74"/>
  <c r="X63" i="74"/>
  <c r="T63" i="74"/>
  <c r="Z63" i="74" s="1"/>
  <c r="P63" i="74"/>
  <c r="H63" i="74"/>
  <c r="D63" i="74"/>
  <c r="L63" i="74" s="1"/>
  <c r="N63" i="74" s="1"/>
  <c r="B63" i="74"/>
  <c r="X62" i="74"/>
  <c r="Z62" i="74" s="1"/>
  <c r="R62" i="74"/>
  <c r="L62" i="74"/>
  <c r="N62" i="74" s="1"/>
  <c r="B62" i="74"/>
  <c r="X61" i="74"/>
  <c r="Z61" i="74" s="1"/>
  <c r="N61" i="74"/>
  <c r="L61" i="74"/>
  <c r="B61" i="74"/>
  <c r="X60" i="74"/>
  <c r="Z60" i="74" s="1"/>
  <c r="N60" i="74"/>
  <c r="L60" i="74"/>
  <c r="B60" i="74"/>
  <c r="Z59" i="74"/>
  <c r="X59" i="74"/>
  <c r="N59" i="74"/>
  <c r="L59" i="74"/>
  <c r="B59" i="74"/>
  <c r="X58" i="74"/>
  <c r="Z58" i="74" s="1"/>
  <c r="L58" i="74"/>
  <c r="N58" i="74" s="1"/>
  <c r="B58" i="74"/>
  <c r="X57" i="74"/>
  <c r="Z57" i="74" s="1"/>
  <c r="N57" i="74"/>
  <c r="L57" i="74"/>
  <c r="B57" i="74"/>
  <c r="X56" i="74"/>
  <c r="Z56" i="74" s="1"/>
  <c r="N56" i="74"/>
  <c r="L56" i="74"/>
  <c r="B56" i="74"/>
  <c r="Z55" i="74"/>
  <c r="T55" i="74"/>
  <c r="R55" i="74"/>
  <c r="P55" i="74"/>
  <c r="X55" i="74" s="1"/>
  <c r="L55" i="74"/>
  <c r="H55" i="74"/>
  <c r="N55" i="74" s="1"/>
  <c r="D55" i="74"/>
  <c r="B55" i="74"/>
  <c r="T54" i="74"/>
  <c r="P54" i="74"/>
  <c r="H54" i="74"/>
  <c r="D54" i="74"/>
  <c r="L54" i="74" s="1"/>
  <c r="N54" i="74" s="1"/>
  <c r="X50" i="74"/>
  <c r="Z50" i="74" s="1"/>
  <c r="N50" i="74"/>
  <c r="L50" i="74"/>
  <c r="B50" i="74"/>
  <c r="Z49" i="74"/>
  <c r="X49" i="74"/>
  <c r="N49" i="74"/>
  <c r="L49" i="74"/>
  <c r="B49" i="74"/>
  <c r="Z48" i="74"/>
  <c r="X48" i="74"/>
  <c r="L48" i="74"/>
  <c r="N48" i="74" s="1"/>
  <c r="B48" i="74"/>
  <c r="Z47" i="74"/>
  <c r="X47" i="74"/>
  <c r="N47" i="74"/>
  <c r="L47" i="74"/>
  <c r="B47" i="74"/>
  <c r="Z46" i="74"/>
  <c r="X46" i="74"/>
  <c r="R46" i="74"/>
  <c r="N46" i="74"/>
  <c r="L46" i="74"/>
  <c r="B46" i="74"/>
  <c r="Z45" i="74"/>
  <c r="X45" i="74"/>
  <c r="N45" i="74"/>
  <c r="L45" i="74"/>
  <c r="B45" i="74"/>
  <c r="Z44" i="74"/>
  <c r="X44" i="74"/>
  <c r="L44" i="74"/>
  <c r="N44" i="74" s="1"/>
  <c r="B44" i="74"/>
  <c r="Z43" i="74"/>
  <c r="X43" i="74"/>
  <c r="N43" i="74"/>
  <c r="L43" i="74"/>
  <c r="B43" i="74"/>
  <c r="X42" i="74"/>
  <c r="Z42" i="74" s="1"/>
  <c r="R42" i="74"/>
  <c r="N42" i="74"/>
  <c r="L42" i="74"/>
  <c r="B42" i="74"/>
  <c r="Z41" i="74"/>
  <c r="X41" i="74"/>
  <c r="N41" i="74"/>
  <c r="L41" i="74"/>
  <c r="B41" i="74"/>
  <c r="Z40" i="74"/>
  <c r="X40" i="74"/>
  <c r="L40" i="74"/>
  <c r="N40" i="74" s="1"/>
  <c r="B40" i="74"/>
  <c r="Z39" i="74"/>
  <c r="X39" i="74"/>
  <c r="L39" i="74"/>
  <c r="N39" i="74" s="1"/>
  <c r="B39" i="74"/>
  <c r="X38" i="74"/>
  <c r="Z38" i="74" s="1"/>
  <c r="R38" i="74"/>
  <c r="N38" i="74"/>
  <c r="L38" i="74"/>
  <c r="B38" i="74"/>
  <c r="Z37" i="74"/>
  <c r="X37" i="74"/>
  <c r="N37" i="74"/>
  <c r="L37" i="74"/>
  <c r="B37" i="74"/>
  <c r="Z36" i="74"/>
  <c r="X36" i="74"/>
  <c r="N36" i="74"/>
  <c r="L36" i="74"/>
  <c r="B36" i="74"/>
  <c r="Z35" i="74"/>
  <c r="T35" i="74"/>
  <c r="P35" i="74"/>
  <c r="X35" i="74" s="1"/>
  <c r="H35" i="74"/>
  <c r="D35" i="74"/>
  <c r="L35" i="74" s="1"/>
  <c r="N35" i="74" s="1"/>
  <c r="Z33" i="74"/>
  <c r="T33" i="74"/>
  <c r="P33" i="74"/>
  <c r="X33" i="74" s="1"/>
  <c r="H33" i="74"/>
  <c r="N33" i="74" s="1"/>
  <c r="D33" i="74"/>
  <c r="B33" i="74"/>
  <c r="T32" i="74"/>
  <c r="P32" i="74"/>
  <c r="X32" i="74" s="1"/>
  <c r="H32" i="74"/>
  <c r="N32" i="74" s="1"/>
  <c r="D32" i="74"/>
  <c r="B32" i="74"/>
  <c r="T31" i="74"/>
  <c r="P31" i="74"/>
  <c r="H31" i="74"/>
  <c r="L31" i="74" s="1"/>
  <c r="D31" i="74"/>
  <c r="B31" i="74"/>
  <c r="T30" i="74"/>
  <c r="P30" i="74"/>
  <c r="X30" i="74" s="1"/>
  <c r="Z30" i="74" s="1"/>
  <c r="H30" i="74"/>
  <c r="D30" i="74"/>
  <c r="L30" i="74" s="1"/>
  <c r="N30" i="74" s="1"/>
  <c r="B30" i="74"/>
  <c r="Z29" i="74"/>
  <c r="T29" i="74"/>
  <c r="P29" i="74"/>
  <c r="X29" i="74" s="1"/>
  <c r="H29" i="74"/>
  <c r="D29" i="74"/>
  <c r="B29" i="74"/>
  <c r="T28" i="74"/>
  <c r="P28" i="74"/>
  <c r="X28" i="74" s="1"/>
  <c r="H28" i="74"/>
  <c r="N28" i="74" s="1"/>
  <c r="D28" i="74"/>
  <c r="B28" i="74"/>
  <c r="T27" i="74"/>
  <c r="P27" i="74"/>
  <c r="H27" i="74"/>
  <c r="L27" i="74" s="1"/>
  <c r="D27" i="74"/>
  <c r="B27" i="74"/>
  <c r="T26" i="74"/>
  <c r="P26" i="74"/>
  <c r="X26" i="74" s="1"/>
  <c r="Z26" i="74" s="1"/>
  <c r="H26" i="74"/>
  <c r="D26" i="74"/>
  <c r="L26" i="74" s="1"/>
  <c r="N26" i="74" s="1"/>
  <c r="B26" i="74"/>
  <c r="Z25" i="74"/>
  <c r="T25" i="74"/>
  <c r="P25" i="74"/>
  <c r="X25" i="74" s="1"/>
  <c r="H25" i="74"/>
  <c r="D25" i="74"/>
  <c r="B25" i="74"/>
  <c r="T24" i="74"/>
  <c r="P24" i="74"/>
  <c r="X24" i="74" s="1"/>
  <c r="H24" i="74"/>
  <c r="D24" i="74"/>
  <c r="B24" i="74"/>
  <c r="T23" i="74"/>
  <c r="P23" i="74"/>
  <c r="H23" i="74"/>
  <c r="L23" i="74" s="1"/>
  <c r="D23" i="74"/>
  <c r="B23" i="74"/>
  <c r="T22" i="74"/>
  <c r="P22" i="74"/>
  <c r="X22" i="74" s="1"/>
  <c r="Z22" i="74" s="1"/>
  <c r="H22" i="74"/>
  <c r="D22" i="74"/>
  <c r="L22" i="74" s="1"/>
  <c r="N22" i="74" s="1"/>
  <c r="B22" i="74"/>
  <c r="Z21" i="74"/>
  <c r="T21" i="74"/>
  <c r="P21" i="74"/>
  <c r="X21" i="74" s="1"/>
  <c r="H21" i="74"/>
  <c r="D21" i="74"/>
  <c r="B21" i="74"/>
  <c r="T20" i="74"/>
  <c r="P20" i="74"/>
  <c r="X20" i="74" s="1"/>
  <c r="H20" i="74"/>
  <c r="D20" i="74"/>
  <c r="B20" i="74"/>
  <c r="T19" i="74"/>
  <c r="P19" i="74"/>
  <c r="H19" i="74"/>
  <c r="L19" i="74" s="1"/>
  <c r="D19" i="74"/>
  <c r="B19" i="74"/>
  <c r="T18" i="74"/>
  <c r="P18" i="74"/>
  <c r="X18" i="74" s="1"/>
  <c r="Z18" i="74" s="1"/>
  <c r="H18" i="74"/>
  <c r="D18" i="74"/>
  <c r="L18" i="74" s="1"/>
  <c r="N18" i="74" s="1"/>
  <c r="B18" i="74"/>
  <c r="Z17" i="74"/>
  <c r="T17" i="74"/>
  <c r="P17" i="74"/>
  <c r="X17" i="74" s="1"/>
  <c r="H17" i="74"/>
  <c r="D17" i="74"/>
  <c r="B17" i="74"/>
  <c r="T16" i="74"/>
  <c r="P16" i="74"/>
  <c r="X16" i="74" s="1"/>
  <c r="H16" i="74"/>
  <c r="D16" i="74"/>
  <c r="B16" i="74"/>
  <c r="T15" i="74"/>
  <c r="P15" i="74"/>
  <c r="H15" i="74"/>
  <c r="D15" i="74"/>
  <c r="B15" i="74"/>
  <c r="T14" i="74"/>
  <c r="P14" i="74"/>
  <c r="X14" i="74" s="1"/>
  <c r="Z14" i="74" s="1"/>
  <c r="H14" i="74"/>
  <c r="D14" i="74"/>
  <c r="L14" i="74" s="1"/>
  <c r="N14" i="74" s="1"/>
  <c r="B14" i="74"/>
  <c r="Z13" i="74"/>
  <c r="T13" i="74"/>
  <c r="P13" i="74"/>
  <c r="X13" i="74" s="1"/>
  <c r="H13" i="74"/>
  <c r="D13" i="74"/>
  <c r="B13" i="74"/>
  <c r="P12" i="74"/>
  <c r="R58" i="74" s="1"/>
  <c r="D6" i="74"/>
  <c r="D4" i="74"/>
  <c r="X82" i="73"/>
  <c r="Z82" i="73" s="1"/>
  <c r="L82" i="73"/>
  <c r="N82" i="73" s="1"/>
  <c r="Z78" i="73"/>
  <c r="T78" i="73"/>
  <c r="P78" i="73"/>
  <c r="X78" i="73" s="1"/>
  <c r="L78" i="73"/>
  <c r="H78" i="73"/>
  <c r="N78" i="73" s="1"/>
  <c r="D78" i="73"/>
  <c r="Z76" i="73"/>
  <c r="X76" i="73"/>
  <c r="N76" i="73"/>
  <c r="L76" i="73"/>
  <c r="B76" i="73"/>
  <c r="T75" i="73"/>
  <c r="P75" i="73"/>
  <c r="X75" i="73" s="1"/>
  <c r="Z75" i="73" s="1"/>
  <c r="N75" i="73"/>
  <c r="H75" i="73"/>
  <c r="D75" i="73"/>
  <c r="L75" i="73" s="1"/>
  <c r="B75" i="73"/>
  <c r="X74" i="73"/>
  <c r="Z74" i="73" s="1"/>
  <c r="L74" i="73"/>
  <c r="N74" i="73" s="1"/>
  <c r="B74" i="73"/>
  <c r="T73" i="73"/>
  <c r="P73" i="73"/>
  <c r="X73" i="73" s="1"/>
  <c r="Z73" i="73" s="1"/>
  <c r="L73" i="73"/>
  <c r="H73" i="73"/>
  <c r="N73" i="73" s="1"/>
  <c r="D73" i="73"/>
  <c r="B73" i="73"/>
  <c r="X72" i="73"/>
  <c r="Z72" i="73" s="1"/>
  <c r="N72" i="73"/>
  <c r="L72" i="73"/>
  <c r="B72" i="73"/>
  <c r="Z71" i="73"/>
  <c r="X71" i="73"/>
  <c r="N71" i="73"/>
  <c r="L71" i="73"/>
  <c r="B71" i="73"/>
  <c r="Z70" i="73"/>
  <c r="X70" i="73"/>
  <c r="N70" i="73"/>
  <c r="L70" i="73"/>
  <c r="B70" i="73"/>
  <c r="X69" i="73"/>
  <c r="Z69" i="73" s="1"/>
  <c r="N69" i="73"/>
  <c r="L69" i="73"/>
  <c r="B69" i="73"/>
  <c r="X68" i="73"/>
  <c r="Z68" i="73" s="1"/>
  <c r="N68" i="73"/>
  <c r="L68" i="73"/>
  <c r="B68" i="73"/>
  <c r="Z67" i="73"/>
  <c r="X67" i="73"/>
  <c r="N67" i="73"/>
  <c r="L67" i="73"/>
  <c r="B67" i="73"/>
  <c r="T66" i="73"/>
  <c r="P66" i="73"/>
  <c r="X66" i="73" s="1"/>
  <c r="L66" i="73"/>
  <c r="N66" i="73" s="1"/>
  <c r="H66" i="73"/>
  <c r="D66" i="73"/>
  <c r="B66" i="73"/>
  <c r="Z65" i="73"/>
  <c r="X65" i="73"/>
  <c r="N65" i="73"/>
  <c r="L65" i="73"/>
  <c r="B65" i="73"/>
  <c r="Z64" i="73"/>
  <c r="X64" i="73"/>
  <c r="L64" i="73"/>
  <c r="N64" i="73" s="1"/>
  <c r="B64" i="73"/>
  <c r="T63" i="73"/>
  <c r="P63" i="73"/>
  <c r="X63" i="73" s="1"/>
  <c r="Z63" i="73" s="1"/>
  <c r="H63" i="73"/>
  <c r="D63" i="73"/>
  <c r="L63" i="73" s="1"/>
  <c r="N63" i="73" s="1"/>
  <c r="B63" i="73"/>
  <c r="X62" i="73"/>
  <c r="Z62" i="73" s="1"/>
  <c r="L62" i="73"/>
  <c r="N62" i="73" s="1"/>
  <c r="B62" i="73"/>
  <c r="Z61" i="73"/>
  <c r="T61" i="73"/>
  <c r="P61" i="73"/>
  <c r="X61" i="73" s="1"/>
  <c r="L61" i="73"/>
  <c r="H61" i="73"/>
  <c r="N61" i="73" s="1"/>
  <c r="D61" i="73"/>
  <c r="B61" i="73"/>
  <c r="X60" i="73"/>
  <c r="Z60" i="73" s="1"/>
  <c r="N60" i="73"/>
  <c r="L60" i="73"/>
  <c r="B60" i="73"/>
  <c r="Z59" i="73"/>
  <c r="X59" i="73"/>
  <c r="N59" i="73"/>
  <c r="L59" i="73"/>
  <c r="B59" i="73"/>
  <c r="Z58" i="73"/>
  <c r="X58" i="73"/>
  <c r="N58" i="73"/>
  <c r="L58" i="73"/>
  <c r="F58" i="73"/>
  <c r="B58" i="73"/>
  <c r="X57" i="73"/>
  <c r="T57" i="73"/>
  <c r="Z57" i="73" s="1"/>
  <c r="P57" i="73"/>
  <c r="N57" i="73"/>
  <c r="H57" i="73"/>
  <c r="D57" i="73"/>
  <c r="L57" i="73" s="1"/>
  <c r="B57" i="73"/>
  <c r="Z56" i="73"/>
  <c r="X56" i="73"/>
  <c r="L56" i="73"/>
  <c r="N56" i="73" s="1"/>
  <c r="F56" i="73"/>
  <c r="B56" i="73"/>
  <c r="Z55" i="73"/>
  <c r="T55" i="73"/>
  <c r="P55" i="73"/>
  <c r="X55" i="73" s="1"/>
  <c r="H55" i="73"/>
  <c r="D55" i="73"/>
  <c r="L55" i="73" s="1"/>
  <c r="N55" i="73" s="1"/>
  <c r="B55" i="73"/>
  <c r="Z54" i="73"/>
  <c r="X54" i="73"/>
  <c r="L54" i="73"/>
  <c r="N54" i="73" s="1"/>
  <c r="B54" i="73"/>
  <c r="Z53" i="73"/>
  <c r="T53" i="73"/>
  <c r="P53" i="73"/>
  <c r="X53" i="73" s="1"/>
  <c r="L53" i="73"/>
  <c r="H53" i="73"/>
  <c r="N53" i="73" s="1"/>
  <c r="D53" i="73"/>
  <c r="B53" i="73"/>
  <c r="X52" i="73"/>
  <c r="Z52" i="73" s="1"/>
  <c r="N52" i="73"/>
  <c r="L52" i="73"/>
  <c r="B52" i="73"/>
  <c r="T51" i="73"/>
  <c r="P51" i="73"/>
  <c r="X51" i="73" s="1"/>
  <c r="Z51" i="73" s="1"/>
  <c r="L51" i="73"/>
  <c r="H51" i="73"/>
  <c r="N51" i="73" s="1"/>
  <c r="D51" i="73"/>
  <c r="B51" i="73"/>
  <c r="X50" i="73"/>
  <c r="Z50" i="73" s="1"/>
  <c r="N50" i="73"/>
  <c r="L50" i="73"/>
  <c r="B50" i="73"/>
  <c r="T49" i="73"/>
  <c r="P49" i="73"/>
  <c r="X49" i="73" s="1"/>
  <c r="Z49" i="73" s="1"/>
  <c r="H49" i="73"/>
  <c r="D49" i="73"/>
  <c r="L49" i="73" s="1"/>
  <c r="N49" i="73" s="1"/>
  <c r="B49" i="73"/>
  <c r="X48" i="73"/>
  <c r="Z48" i="73" s="1"/>
  <c r="L48" i="73"/>
  <c r="N48" i="73" s="1"/>
  <c r="B48" i="73"/>
  <c r="X47" i="73"/>
  <c r="T47" i="73"/>
  <c r="Z47" i="73" s="1"/>
  <c r="P47" i="73"/>
  <c r="N47" i="73"/>
  <c r="H47" i="73"/>
  <c r="D47" i="73"/>
  <c r="L47" i="73" s="1"/>
  <c r="B47" i="73"/>
  <c r="X46" i="73"/>
  <c r="Z46" i="73" s="1"/>
  <c r="L46" i="73"/>
  <c r="N46" i="73" s="1"/>
  <c r="B46" i="73"/>
  <c r="X45" i="73"/>
  <c r="T45" i="73"/>
  <c r="Z45" i="73" s="1"/>
  <c r="P45" i="73"/>
  <c r="H45" i="73"/>
  <c r="D45" i="73"/>
  <c r="L45" i="73" s="1"/>
  <c r="N45" i="73" s="1"/>
  <c r="B45" i="73"/>
  <c r="Z44" i="73"/>
  <c r="X44" i="73"/>
  <c r="L44" i="73"/>
  <c r="N44" i="73" s="1"/>
  <c r="B44" i="73"/>
  <c r="T43" i="73"/>
  <c r="P43" i="73"/>
  <c r="X43" i="73" s="1"/>
  <c r="Z43" i="73" s="1"/>
  <c r="H43" i="73"/>
  <c r="D43" i="73"/>
  <c r="L43" i="73" s="1"/>
  <c r="N43" i="73" s="1"/>
  <c r="B43" i="73"/>
  <c r="Z42" i="73"/>
  <c r="X42" i="73"/>
  <c r="L42" i="73"/>
  <c r="N42" i="73" s="1"/>
  <c r="B42" i="73"/>
  <c r="Z41" i="73"/>
  <c r="X41" i="73"/>
  <c r="L41" i="73"/>
  <c r="N41" i="73" s="1"/>
  <c r="B41" i="73"/>
  <c r="Z40" i="73"/>
  <c r="X40" i="73"/>
  <c r="N40" i="73"/>
  <c r="L40" i="73"/>
  <c r="B40" i="73"/>
  <c r="X39" i="73"/>
  <c r="Z39" i="73" s="1"/>
  <c r="N39" i="73"/>
  <c r="L39" i="73"/>
  <c r="B39" i="73"/>
  <c r="Z38" i="73"/>
  <c r="X38" i="73"/>
  <c r="L38" i="73"/>
  <c r="N38" i="73" s="1"/>
  <c r="B38" i="73"/>
  <c r="Z37" i="73"/>
  <c r="T37" i="73"/>
  <c r="P37" i="73"/>
  <c r="X37" i="73" s="1"/>
  <c r="L37" i="73"/>
  <c r="H37" i="73"/>
  <c r="N37" i="73" s="1"/>
  <c r="D37" i="73"/>
  <c r="B37" i="73"/>
  <c r="X36" i="73"/>
  <c r="Z36" i="73" s="1"/>
  <c r="N36" i="73"/>
  <c r="L36" i="73"/>
  <c r="B36" i="73"/>
  <c r="Z35" i="73"/>
  <c r="X35" i="73"/>
  <c r="N35" i="73"/>
  <c r="L35" i="73"/>
  <c r="B35" i="73"/>
  <c r="X34" i="73"/>
  <c r="Z34" i="73" s="1"/>
  <c r="L34" i="73"/>
  <c r="N34" i="73" s="1"/>
  <c r="B34" i="73"/>
  <c r="X33" i="73"/>
  <c r="Z33" i="73" s="1"/>
  <c r="N33" i="73"/>
  <c r="L33" i="73"/>
  <c r="B33" i="73"/>
  <c r="X32" i="73"/>
  <c r="Z32" i="73" s="1"/>
  <c r="N32" i="73"/>
  <c r="L32" i="73"/>
  <c r="B32" i="73"/>
  <c r="Z31" i="73"/>
  <c r="X31" i="73"/>
  <c r="N31" i="73"/>
  <c r="L31" i="73"/>
  <c r="B31" i="73"/>
  <c r="X30" i="73"/>
  <c r="Z30" i="73" s="1"/>
  <c r="R30" i="73"/>
  <c r="L30" i="73"/>
  <c r="N30" i="73" s="1"/>
  <c r="B30" i="73"/>
  <c r="X29" i="73"/>
  <c r="Z29" i="73" s="1"/>
  <c r="N29" i="73"/>
  <c r="L29" i="73"/>
  <c r="B29" i="73"/>
  <c r="X28" i="73"/>
  <c r="Z28" i="73" s="1"/>
  <c r="T28" i="73"/>
  <c r="P28" i="73"/>
  <c r="H28" i="73"/>
  <c r="D28" i="73"/>
  <c r="B28" i="73"/>
  <c r="T27" i="73"/>
  <c r="P27" i="73"/>
  <c r="X27" i="73" s="1"/>
  <c r="Z27" i="73" s="1"/>
  <c r="H27" i="73"/>
  <c r="D27" i="73"/>
  <c r="L27" i="73" s="1"/>
  <c r="N27" i="73" s="1"/>
  <c r="Z23" i="73"/>
  <c r="X23" i="73"/>
  <c r="L23" i="73"/>
  <c r="N23" i="73" s="1"/>
  <c r="B23" i="73"/>
  <c r="X22" i="73"/>
  <c r="Z22" i="73" s="1"/>
  <c r="N22" i="73"/>
  <c r="L22" i="73"/>
  <c r="B22" i="73"/>
  <c r="T21" i="73"/>
  <c r="R21" i="73"/>
  <c r="P21" i="73"/>
  <c r="X21" i="73" s="1"/>
  <c r="Z21" i="73" s="1"/>
  <c r="N21" i="73"/>
  <c r="H21" i="73"/>
  <c r="D21" i="73"/>
  <c r="L21" i="73" s="1"/>
  <c r="T19" i="73"/>
  <c r="P19" i="73"/>
  <c r="N19" i="73"/>
  <c r="H19" i="73"/>
  <c r="L19" i="73" s="1"/>
  <c r="D19" i="73"/>
  <c r="B19" i="73"/>
  <c r="T18" i="73"/>
  <c r="P18" i="73"/>
  <c r="X18" i="73" s="1"/>
  <c r="Z18" i="73" s="1"/>
  <c r="H18" i="73"/>
  <c r="D18" i="73"/>
  <c r="L18" i="73" s="1"/>
  <c r="N18" i="73" s="1"/>
  <c r="B18" i="73"/>
  <c r="Z17" i="73"/>
  <c r="T17" i="73"/>
  <c r="P17" i="73"/>
  <c r="X17" i="73" s="1"/>
  <c r="L17" i="73"/>
  <c r="H17" i="73"/>
  <c r="N17" i="73" s="1"/>
  <c r="D17" i="73"/>
  <c r="B17" i="73"/>
  <c r="X16" i="73"/>
  <c r="T16" i="73"/>
  <c r="P16" i="73"/>
  <c r="H16" i="73"/>
  <c r="D16" i="73"/>
  <c r="B16" i="73"/>
  <c r="T15" i="73"/>
  <c r="P15" i="73"/>
  <c r="H15" i="73"/>
  <c r="D15" i="73"/>
  <c r="B15" i="73"/>
  <c r="T14" i="73"/>
  <c r="P14" i="73"/>
  <c r="X14" i="73" s="1"/>
  <c r="Z14" i="73" s="1"/>
  <c r="N14" i="73"/>
  <c r="H14" i="73"/>
  <c r="D14" i="73"/>
  <c r="L14" i="73" s="1"/>
  <c r="B14" i="73"/>
  <c r="Z13" i="73"/>
  <c r="T13" i="73"/>
  <c r="P13" i="73"/>
  <c r="X13" i="73" s="1"/>
  <c r="L13" i="73"/>
  <c r="H13" i="73"/>
  <c r="N13" i="73" s="1"/>
  <c r="D13" i="73"/>
  <c r="D12" i="73" s="1"/>
  <c r="B13" i="73"/>
  <c r="P12" i="73"/>
  <c r="R46" i="73" s="1"/>
  <c r="D6" i="73"/>
  <c r="D4" i="73"/>
  <c r="Z119" i="71"/>
  <c r="X119" i="71"/>
  <c r="N119" i="71"/>
  <c r="L119" i="71"/>
  <c r="T115" i="71"/>
  <c r="P115" i="71"/>
  <c r="H115" i="71"/>
  <c r="D115" i="71"/>
  <c r="L115" i="71" s="1"/>
  <c r="N115" i="71" s="1"/>
  <c r="B115" i="71"/>
  <c r="Z114" i="71"/>
  <c r="T114" i="71"/>
  <c r="P114" i="71"/>
  <c r="X114" i="71" s="1"/>
  <c r="L114" i="71"/>
  <c r="H114" i="71"/>
  <c r="N114" i="71" s="1"/>
  <c r="D114" i="71"/>
  <c r="B114" i="71"/>
  <c r="X113" i="71"/>
  <c r="Z113" i="71" s="1"/>
  <c r="T113" i="71"/>
  <c r="P113" i="71"/>
  <c r="H113" i="71"/>
  <c r="D113" i="71"/>
  <c r="B113" i="71"/>
  <c r="Z110" i="71"/>
  <c r="X110" i="71"/>
  <c r="N110" i="71"/>
  <c r="L110" i="71"/>
  <c r="B110" i="71"/>
  <c r="X109" i="71"/>
  <c r="T109" i="71"/>
  <c r="P109" i="71"/>
  <c r="N109" i="71"/>
  <c r="H109" i="71"/>
  <c r="D109" i="71"/>
  <c r="L109" i="71" s="1"/>
  <c r="B109" i="71"/>
  <c r="Z108" i="71"/>
  <c r="X108" i="71"/>
  <c r="L108" i="71"/>
  <c r="N108" i="71" s="1"/>
  <c r="B108" i="71"/>
  <c r="X107" i="71"/>
  <c r="T107" i="71"/>
  <c r="P107" i="71"/>
  <c r="H107" i="71"/>
  <c r="D107" i="71"/>
  <c r="L107" i="71" s="1"/>
  <c r="N107" i="71" s="1"/>
  <c r="B107" i="71"/>
  <c r="Z106" i="71"/>
  <c r="X106" i="71"/>
  <c r="N106" i="71"/>
  <c r="L106" i="71"/>
  <c r="B106" i="71"/>
  <c r="Z105" i="71"/>
  <c r="X105" i="71"/>
  <c r="N105" i="71"/>
  <c r="L105" i="71"/>
  <c r="B105" i="71"/>
  <c r="X104" i="71"/>
  <c r="T104" i="71"/>
  <c r="Z104" i="71" s="1"/>
  <c r="P104" i="71"/>
  <c r="N104" i="71"/>
  <c r="H104" i="71"/>
  <c r="D104" i="71"/>
  <c r="L104" i="71" s="1"/>
  <c r="B104" i="71"/>
  <c r="Z103" i="71"/>
  <c r="X103" i="71"/>
  <c r="N103" i="71"/>
  <c r="L103" i="71"/>
  <c r="B103" i="71"/>
  <c r="Z102" i="71"/>
  <c r="X102" i="71"/>
  <c r="L102" i="71"/>
  <c r="N102" i="71" s="1"/>
  <c r="B102" i="71"/>
  <c r="X101" i="71"/>
  <c r="Z101" i="71" s="1"/>
  <c r="N101" i="71"/>
  <c r="L101" i="71"/>
  <c r="B101" i="71"/>
  <c r="Z100" i="71"/>
  <c r="X100" i="71"/>
  <c r="N100" i="71"/>
  <c r="L100" i="71"/>
  <c r="B100" i="71"/>
  <c r="T99" i="71"/>
  <c r="P99" i="71"/>
  <c r="X99" i="71" s="1"/>
  <c r="Z99" i="71" s="1"/>
  <c r="H99" i="71"/>
  <c r="D99" i="71"/>
  <c r="B99" i="71"/>
  <c r="X98" i="71"/>
  <c r="Z98" i="71" s="1"/>
  <c r="N98" i="71"/>
  <c r="L98" i="71"/>
  <c r="B98" i="71"/>
  <c r="T97" i="71"/>
  <c r="P97" i="71"/>
  <c r="X97" i="71" s="1"/>
  <c r="Z97" i="71" s="1"/>
  <c r="L97" i="71"/>
  <c r="H97" i="71"/>
  <c r="D97" i="71"/>
  <c r="B97" i="71"/>
  <c r="X96" i="71"/>
  <c r="Z96" i="71" s="1"/>
  <c r="N96" i="71"/>
  <c r="L96" i="71"/>
  <c r="B96" i="71"/>
  <c r="X95" i="71"/>
  <c r="Z95" i="71" s="1"/>
  <c r="N95" i="71"/>
  <c r="L95" i="71"/>
  <c r="B95" i="71"/>
  <c r="T94" i="71"/>
  <c r="P94" i="71"/>
  <c r="X94" i="71" s="1"/>
  <c r="Z94" i="71" s="1"/>
  <c r="L94" i="71"/>
  <c r="H94" i="71"/>
  <c r="N94" i="71" s="1"/>
  <c r="D94" i="71"/>
  <c r="B94" i="71"/>
  <c r="X93" i="71"/>
  <c r="Z93" i="71" s="1"/>
  <c r="N93" i="71"/>
  <c r="L93" i="71"/>
  <c r="B93" i="71"/>
  <c r="T92" i="71"/>
  <c r="P92" i="71"/>
  <c r="X92" i="71" s="1"/>
  <c r="Z92" i="71" s="1"/>
  <c r="H92" i="71"/>
  <c r="D92" i="71"/>
  <c r="B92" i="71"/>
  <c r="X91" i="71"/>
  <c r="Z91" i="71" s="1"/>
  <c r="L91" i="71"/>
  <c r="N91" i="71" s="1"/>
  <c r="B91" i="71"/>
  <c r="X90" i="71"/>
  <c r="T90" i="71"/>
  <c r="Z90" i="71" s="1"/>
  <c r="P90" i="71"/>
  <c r="H90" i="71"/>
  <c r="D90" i="71"/>
  <c r="L90" i="71" s="1"/>
  <c r="N90" i="71" s="1"/>
  <c r="B90" i="71"/>
  <c r="Z89" i="71"/>
  <c r="X89" i="71"/>
  <c r="L89" i="71"/>
  <c r="N89" i="71" s="1"/>
  <c r="B89" i="71"/>
  <c r="X88" i="71"/>
  <c r="Z88" i="71" s="1"/>
  <c r="N88" i="71"/>
  <c r="L88" i="71"/>
  <c r="B88" i="71"/>
  <c r="X87" i="71"/>
  <c r="Z87" i="71" s="1"/>
  <c r="T87" i="71"/>
  <c r="P87" i="71"/>
  <c r="H87" i="71"/>
  <c r="D87" i="71"/>
  <c r="L87" i="71" s="1"/>
  <c r="B87" i="71"/>
  <c r="Z86" i="71"/>
  <c r="X86" i="71"/>
  <c r="L86" i="71"/>
  <c r="N86" i="71" s="1"/>
  <c r="B86" i="71"/>
  <c r="X85" i="71"/>
  <c r="T85" i="71"/>
  <c r="P85" i="71"/>
  <c r="H85" i="71"/>
  <c r="D85" i="71"/>
  <c r="L85" i="71" s="1"/>
  <c r="N85" i="71" s="1"/>
  <c r="B85" i="71"/>
  <c r="Z84" i="71"/>
  <c r="X84" i="71"/>
  <c r="N84" i="71"/>
  <c r="L84" i="71"/>
  <c r="B84" i="71"/>
  <c r="T83" i="71"/>
  <c r="P83" i="71"/>
  <c r="N83" i="71"/>
  <c r="H83" i="71"/>
  <c r="D83" i="71"/>
  <c r="L83" i="71" s="1"/>
  <c r="B83" i="71"/>
  <c r="Z82" i="71"/>
  <c r="X82" i="71"/>
  <c r="N82" i="71"/>
  <c r="L82" i="71"/>
  <c r="B82" i="71"/>
  <c r="Z81" i="71"/>
  <c r="X81" i="71"/>
  <c r="L81" i="71"/>
  <c r="N81" i="71" s="1"/>
  <c r="B81" i="71"/>
  <c r="X80" i="71"/>
  <c r="T80" i="71"/>
  <c r="P80" i="71"/>
  <c r="H80" i="71"/>
  <c r="D80" i="71"/>
  <c r="L80" i="71" s="1"/>
  <c r="N80" i="71" s="1"/>
  <c r="B80" i="71"/>
  <c r="Z79" i="71"/>
  <c r="X79" i="71"/>
  <c r="L79" i="71"/>
  <c r="N79" i="71" s="1"/>
  <c r="B79" i="71"/>
  <c r="Z78" i="71"/>
  <c r="T78" i="71"/>
  <c r="P78" i="71"/>
  <c r="X78" i="71" s="1"/>
  <c r="H78" i="71"/>
  <c r="D78" i="71"/>
  <c r="L78" i="71" s="1"/>
  <c r="N78" i="71" s="1"/>
  <c r="B78" i="71"/>
  <c r="Z77" i="71"/>
  <c r="X77" i="71"/>
  <c r="N77" i="71"/>
  <c r="L77" i="71"/>
  <c r="B77" i="71"/>
  <c r="Z76" i="71"/>
  <c r="X76" i="71"/>
  <c r="N76" i="71"/>
  <c r="L76" i="71"/>
  <c r="B76" i="71"/>
  <c r="X75" i="71"/>
  <c r="Z75" i="71" s="1"/>
  <c r="L75" i="71"/>
  <c r="N75" i="71" s="1"/>
  <c r="B75" i="71"/>
  <c r="X74" i="71"/>
  <c r="Z74" i="71" s="1"/>
  <c r="N74" i="71"/>
  <c r="L74" i="71"/>
  <c r="B74" i="71"/>
  <c r="Z73" i="71"/>
  <c r="X73" i="71"/>
  <c r="N73" i="71"/>
  <c r="L73" i="71"/>
  <c r="B73" i="71"/>
  <c r="T72" i="71"/>
  <c r="P72" i="71"/>
  <c r="X72" i="71" s="1"/>
  <c r="Z72" i="71" s="1"/>
  <c r="L72" i="71"/>
  <c r="H72" i="71"/>
  <c r="N72" i="71" s="1"/>
  <c r="D72" i="71"/>
  <c r="B72" i="71"/>
  <c r="X71" i="71"/>
  <c r="Z71" i="71" s="1"/>
  <c r="N71" i="71"/>
  <c r="L71" i="71"/>
  <c r="B71" i="71"/>
  <c r="Z70" i="71"/>
  <c r="X70" i="71"/>
  <c r="N70" i="71"/>
  <c r="L70" i="71"/>
  <c r="B70" i="71"/>
  <c r="Z69" i="71"/>
  <c r="X69" i="71"/>
  <c r="L69" i="71"/>
  <c r="N69" i="71" s="1"/>
  <c r="B69" i="71"/>
  <c r="X68" i="71"/>
  <c r="Z68" i="71" s="1"/>
  <c r="N68" i="71"/>
  <c r="L68" i="71"/>
  <c r="B68" i="71"/>
  <c r="X67" i="71"/>
  <c r="Z67" i="71" s="1"/>
  <c r="N67" i="71"/>
  <c r="L67" i="71"/>
  <c r="B67" i="71"/>
  <c r="Z66" i="71"/>
  <c r="X66" i="71"/>
  <c r="N66" i="71"/>
  <c r="L66" i="71"/>
  <c r="B66" i="71"/>
  <c r="Z65" i="71"/>
  <c r="X65" i="71"/>
  <c r="L65" i="71"/>
  <c r="N65" i="71" s="1"/>
  <c r="B65" i="71"/>
  <c r="X64" i="71"/>
  <c r="Z64" i="71" s="1"/>
  <c r="N64" i="71"/>
  <c r="L64" i="71"/>
  <c r="B64" i="71"/>
  <c r="Z63" i="71"/>
  <c r="X63" i="71"/>
  <c r="N63" i="71"/>
  <c r="L63" i="71"/>
  <c r="B63" i="71"/>
  <c r="T62" i="71"/>
  <c r="P62" i="71"/>
  <c r="X62" i="71" s="1"/>
  <c r="H62" i="71"/>
  <c r="D62" i="71"/>
  <c r="B62" i="71"/>
  <c r="T61" i="71"/>
  <c r="P61" i="71"/>
  <c r="H61" i="71"/>
  <c r="D61" i="71"/>
  <c r="L61" i="71" s="1"/>
  <c r="N61" i="71" s="1"/>
  <c r="Z57" i="71"/>
  <c r="X57" i="71"/>
  <c r="N57" i="71"/>
  <c r="L57" i="71"/>
  <c r="B57" i="71"/>
  <c r="Z56" i="71"/>
  <c r="X56" i="71"/>
  <c r="N56" i="71"/>
  <c r="L56" i="71"/>
  <c r="B56" i="71"/>
  <c r="Z55" i="71"/>
  <c r="X55" i="71"/>
  <c r="N55" i="71"/>
  <c r="L55" i="71"/>
  <c r="B55" i="71"/>
  <c r="Z54" i="71"/>
  <c r="X54" i="71"/>
  <c r="L54" i="71"/>
  <c r="N54" i="71" s="1"/>
  <c r="B54" i="71"/>
  <c r="X53" i="71"/>
  <c r="Z53" i="71" s="1"/>
  <c r="N53" i="71"/>
  <c r="L53" i="71"/>
  <c r="B53" i="71"/>
  <c r="Z52" i="71"/>
  <c r="X52" i="71"/>
  <c r="N52" i="71"/>
  <c r="L52" i="71"/>
  <c r="B52" i="71"/>
  <c r="Z51" i="71"/>
  <c r="X51" i="71"/>
  <c r="L51" i="71"/>
  <c r="N51" i="71" s="1"/>
  <c r="B51" i="71"/>
  <c r="Z50" i="71"/>
  <c r="X50" i="71"/>
  <c r="L50" i="71"/>
  <c r="N50" i="71" s="1"/>
  <c r="B50" i="71"/>
  <c r="X49" i="71"/>
  <c r="Z49" i="71" s="1"/>
  <c r="N49" i="71"/>
  <c r="L49" i="71"/>
  <c r="B49" i="71"/>
  <c r="Z48" i="71"/>
  <c r="X48" i="71"/>
  <c r="N48" i="71"/>
  <c r="L48" i="71"/>
  <c r="B48" i="71"/>
  <c r="Z47" i="71"/>
  <c r="X47" i="71"/>
  <c r="N47" i="71"/>
  <c r="L47" i="71"/>
  <c r="B47" i="71"/>
  <c r="Z46" i="71"/>
  <c r="X46" i="71"/>
  <c r="L46" i="71"/>
  <c r="N46" i="71" s="1"/>
  <c r="B46" i="71"/>
  <c r="X45" i="71"/>
  <c r="Z45" i="71" s="1"/>
  <c r="N45" i="71"/>
  <c r="L45" i="71"/>
  <c r="B45" i="71"/>
  <c r="Z44" i="71"/>
  <c r="X44" i="71"/>
  <c r="L44" i="71"/>
  <c r="N44" i="71" s="1"/>
  <c r="B44" i="71"/>
  <c r="Z43" i="71"/>
  <c r="X43" i="71"/>
  <c r="L43" i="71"/>
  <c r="N43" i="71" s="1"/>
  <c r="B43" i="71"/>
  <c r="Z42" i="71"/>
  <c r="X42" i="71"/>
  <c r="L42" i="71"/>
  <c r="N42" i="71" s="1"/>
  <c r="B42" i="71"/>
  <c r="X41" i="71"/>
  <c r="T41" i="71"/>
  <c r="P41" i="71"/>
  <c r="H41" i="71"/>
  <c r="D41" i="71"/>
  <c r="T39" i="71"/>
  <c r="P39" i="71"/>
  <c r="X39" i="71" s="1"/>
  <c r="H39" i="71"/>
  <c r="D39" i="71"/>
  <c r="B39" i="71"/>
  <c r="T38" i="71"/>
  <c r="P38" i="71"/>
  <c r="N38" i="71"/>
  <c r="L38" i="71"/>
  <c r="H38" i="71"/>
  <c r="D38" i="71"/>
  <c r="B38" i="71"/>
  <c r="Z37" i="71"/>
  <c r="T37" i="71"/>
  <c r="P37" i="71"/>
  <c r="X37" i="71" s="1"/>
  <c r="N37" i="71"/>
  <c r="L37" i="71"/>
  <c r="H37" i="71"/>
  <c r="D37" i="71"/>
  <c r="B37" i="71"/>
  <c r="T36" i="71"/>
  <c r="P36" i="71"/>
  <c r="X36" i="71" s="1"/>
  <c r="Z36" i="71" s="1"/>
  <c r="H36" i="71"/>
  <c r="D36" i="71"/>
  <c r="B36" i="71"/>
  <c r="T35" i="71"/>
  <c r="P35" i="71"/>
  <c r="X35" i="71" s="1"/>
  <c r="L35" i="71"/>
  <c r="H35" i="71"/>
  <c r="N35" i="71" s="1"/>
  <c r="D35" i="71"/>
  <c r="B35" i="71"/>
  <c r="T34" i="71"/>
  <c r="X34" i="71" s="1"/>
  <c r="P34" i="71"/>
  <c r="H34" i="71"/>
  <c r="D34" i="71"/>
  <c r="L34" i="71" s="1"/>
  <c r="N34" i="71" s="1"/>
  <c r="B34" i="71"/>
  <c r="T33" i="71"/>
  <c r="P33" i="71"/>
  <c r="N33" i="71"/>
  <c r="L33" i="71"/>
  <c r="H33" i="71"/>
  <c r="D33" i="71"/>
  <c r="B33" i="71"/>
  <c r="T32" i="71"/>
  <c r="P32" i="71"/>
  <c r="L32" i="71"/>
  <c r="H32" i="71"/>
  <c r="N32" i="71" s="1"/>
  <c r="D32" i="71"/>
  <c r="B32" i="71"/>
  <c r="T31" i="71"/>
  <c r="P31" i="71"/>
  <c r="N31" i="71"/>
  <c r="L31" i="71"/>
  <c r="H31" i="71"/>
  <c r="D31" i="71"/>
  <c r="B31" i="71"/>
  <c r="Z30" i="71"/>
  <c r="T30" i="71"/>
  <c r="X30" i="71" s="1"/>
  <c r="P30" i="71"/>
  <c r="H30" i="71"/>
  <c r="N30" i="71" s="1"/>
  <c r="D30" i="71"/>
  <c r="B30" i="71"/>
  <c r="T29" i="71"/>
  <c r="P29" i="71"/>
  <c r="X29" i="71" s="1"/>
  <c r="Z29" i="71" s="1"/>
  <c r="H29" i="71"/>
  <c r="D29" i="71"/>
  <c r="L29" i="71" s="1"/>
  <c r="N29" i="71" s="1"/>
  <c r="B29" i="71"/>
  <c r="T28" i="71"/>
  <c r="P28" i="71"/>
  <c r="L28" i="71"/>
  <c r="H28" i="71"/>
  <c r="D28" i="71"/>
  <c r="B28" i="71"/>
  <c r="T27" i="71"/>
  <c r="P27" i="71"/>
  <c r="X27" i="71" s="1"/>
  <c r="L27" i="71"/>
  <c r="N27" i="71" s="1"/>
  <c r="H27" i="71"/>
  <c r="D27" i="71"/>
  <c r="B27" i="71"/>
  <c r="Z26" i="71"/>
  <c r="T26" i="71"/>
  <c r="X26" i="71" s="1"/>
  <c r="P26" i="71"/>
  <c r="H26" i="71"/>
  <c r="N26" i="71" s="1"/>
  <c r="D26" i="71"/>
  <c r="L26" i="71" s="1"/>
  <c r="B26" i="71"/>
  <c r="T25" i="71"/>
  <c r="P25" i="71"/>
  <c r="X25" i="71" s="1"/>
  <c r="Z25" i="71" s="1"/>
  <c r="H25" i="71"/>
  <c r="D25" i="71"/>
  <c r="L25" i="71" s="1"/>
  <c r="N25" i="71" s="1"/>
  <c r="B25" i="71"/>
  <c r="T24" i="71"/>
  <c r="P24" i="71"/>
  <c r="H24" i="71"/>
  <c r="D24" i="71"/>
  <c r="B24" i="71"/>
  <c r="T23" i="71"/>
  <c r="P23" i="71"/>
  <c r="X23" i="71" s="1"/>
  <c r="N23" i="71"/>
  <c r="L23" i="71"/>
  <c r="H23" i="71"/>
  <c r="D23" i="71"/>
  <c r="B23" i="71"/>
  <c r="T22" i="71"/>
  <c r="X22" i="71" s="1"/>
  <c r="P22" i="71"/>
  <c r="H22" i="71"/>
  <c r="D22" i="71"/>
  <c r="L22" i="71" s="1"/>
  <c r="N22" i="71" s="1"/>
  <c r="B22" i="71"/>
  <c r="T21" i="71"/>
  <c r="P21" i="71"/>
  <c r="X21" i="71" s="1"/>
  <c r="Z21" i="71" s="1"/>
  <c r="H21" i="71"/>
  <c r="D21" i="71"/>
  <c r="L21" i="71" s="1"/>
  <c r="N21" i="71" s="1"/>
  <c r="B21" i="71"/>
  <c r="T20" i="71"/>
  <c r="P20" i="71"/>
  <c r="X20" i="71" s="1"/>
  <c r="Z20" i="71" s="1"/>
  <c r="H20" i="71"/>
  <c r="D20" i="71"/>
  <c r="B20" i="71"/>
  <c r="T19" i="71"/>
  <c r="P19" i="71"/>
  <c r="X19" i="71" s="1"/>
  <c r="L19" i="71"/>
  <c r="N19" i="71" s="1"/>
  <c r="H19" i="71"/>
  <c r="D19" i="71"/>
  <c r="B19" i="71"/>
  <c r="T18" i="71"/>
  <c r="P18" i="71"/>
  <c r="N18" i="71"/>
  <c r="H18" i="71"/>
  <c r="D18" i="71"/>
  <c r="L18" i="71" s="1"/>
  <c r="B18" i="71"/>
  <c r="Z17" i="71"/>
  <c r="T17" i="71"/>
  <c r="P17" i="71"/>
  <c r="X17" i="71" s="1"/>
  <c r="H17" i="71"/>
  <c r="D17" i="71"/>
  <c r="L17" i="71" s="1"/>
  <c r="N17" i="71" s="1"/>
  <c r="B17" i="71"/>
  <c r="T16" i="71"/>
  <c r="P16" i="71"/>
  <c r="X16" i="71" s="1"/>
  <c r="Z16" i="71" s="1"/>
  <c r="H16" i="71"/>
  <c r="D16" i="71"/>
  <c r="B16" i="71"/>
  <c r="T15" i="71"/>
  <c r="P15" i="71"/>
  <c r="X15" i="71" s="1"/>
  <c r="L15" i="71"/>
  <c r="H15" i="71"/>
  <c r="N15" i="71" s="1"/>
  <c r="D15" i="71"/>
  <c r="B15" i="71"/>
  <c r="T14" i="71"/>
  <c r="X14" i="71" s="1"/>
  <c r="P14" i="71"/>
  <c r="H14" i="71"/>
  <c r="D14" i="71"/>
  <c r="B14" i="71"/>
  <c r="Z13" i="71"/>
  <c r="T13" i="71"/>
  <c r="P13" i="71"/>
  <c r="X13" i="71" s="1"/>
  <c r="N13" i="71"/>
  <c r="L13" i="71"/>
  <c r="H13" i="71"/>
  <c r="D13" i="71"/>
  <c r="B13" i="71"/>
  <c r="T12" i="71"/>
  <c r="D6" i="71"/>
  <c r="D4" i="71"/>
  <c r="X75" i="70"/>
  <c r="Z75" i="70" s="1"/>
  <c r="N75" i="70"/>
  <c r="L75" i="70"/>
  <c r="Z71" i="70"/>
  <c r="X71" i="70"/>
  <c r="T71" i="70"/>
  <c r="R71" i="70"/>
  <c r="P71" i="70"/>
  <c r="N71" i="70"/>
  <c r="H71" i="70"/>
  <c r="L71" i="70" s="1"/>
  <c r="D71" i="70"/>
  <c r="Z69" i="70"/>
  <c r="X69" i="70"/>
  <c r="N69" i="70"/>
  <c r="L69" i="70"/>
  <c r="B69" i="70"/>
  <c r="T68" i="70"/>
  <c r="Z68" i="70" s="1"/>
  <c r="P68" i="70"/>
  <c r="X68" i="70" s="1"/>
  <c r="H68" i="70"/>
  <c r="D68" i="70"/>
  <c r="L68" i="70" s="1"/>
  <c r="B68" i="70"/>
  <c r="X67" i="70"/>
  <c r="Z67" i="70" s="1"/>
  <c r="N67" i="70"/>
  <c r="L67" i="70"/>
  <c r="B67" i="70"/>
  <c r="Z66" i="70"/>
  <c r="X66" i="70"/>
  <c r="L66" i="70"/>
  <c r="N66" i="70" s="1"/>
  <c r="B66" i="70"/>
  <c r="X65" i="70"/>
  <c r="Z65" i="70" s="1"/>
  <c r="N65" i="70"/>
  <c r="L65" i="70"/>
  <c r="F65" i="70"/>
  <c r="B65" i="70"/>
  <c r="Z64" i="70"/>
  <c r="X64" i="70"/>
  <c r="N64" i="70"/>
  <c r="L64" i="70"/>
  <c r="B64" i="70"/>
  <c r="X63" i="70"/>
  <c r="Z63" i="70" s="1"/>
  <c r="N63" i="70"/>
  <c r="L63" i="70"/>
  <c r="B63" i="70"/>
  <c r="Z62" i="70"/>
  <c r="X62" i="70"/>
  <c r="N62" i="70"/>
  <c r="L62" i="70"/>
  <c r="J62" i="70"/>
  <c r="B62" i="70"/>
  <c r="X61" i="70"/>
  <c r="Z61" i="70" s="1"/>
  <c r="T61" i="70"/>
  <c r="P61" i="70"/>
  <c r="H61" i="70"/>
  <c r="D61" i="70"/>
  <c r="B61" i="70"/>
  <c r="X60" i="70"/>
  <c r="Z60" i="70" s="1"/>
  <c r="N60" i="70"/>
  <c r="L60" i="70"/>
  <c r="B60" i="70"/>
  <c r="X59" i="70"/>
  <c r="T59" i="70"/>
  <c r="P59" i="70"/>
  <c r="N59" i="70"/>
  <c r="H59" i="70"/>
  <c r="D59" i="70"/>
  <c r="L59" i="70" s="1"/>
  <c r="B59" i="70"/>
  <c r="Z58" i="70"/>
  <c r="X58" i="70"/>
  <c r="N58" i="70"/>
  <c r="L58" i="70"/>
  <c r="B58" i="70"/>
  <c r="X57" i="70"/>
  <c r="Z57" i="70" s="1"/>
  <c r="R57" i="70"/>
  <c r="N57" i="70"/>
  <c r="L57" i="70"/>
  <c r="B57" i="70"/>
  <c r="X56" i="70"/>
  <c r="Z56" i="70" s="1"/>
  <c r="N56" i="70"/>
  <c r="L56" i="70"/>
  <c r="J56" i="70"/>
  <c r="B56" i="70"/>
  <c r="T55" i="70"/>
  <c r="P55" i="70"/>
  <c r="X55" i="70" s="1"/>
  <c r="Z55" i="70" s="1"/>
  <c r="L55" i="70"/>
  <c r="H55" i="70"/>
  <c r="N55" i="70" s="1"/>
  <c r="D55" i="70"/>
  <c r="B55" i="70"/>
  <c r="X54" i="70"/>
  <c r="Z54" i="70" s="1"/>
  <c r="N54" i="70"/>
  <c r="L54" i="70"/>
  <c r="B54" i="70"/>
  <c r="X53" i="70"/>
  <c r="Z53" i="70" s="1"/>
  <c r="N53" i="70"/>
  <c r="L53" i="70"/>
  <c r="B53" i="70"/>
  <c r="Z52" i="70"/>
  <c r="T52" i="70"/>
  <c r="P52" i="70"/>
  <c r="X52" i="70" s="1"/>
  <c r="L52" i="70"/>
  <c r="H52" i="70"/>
  <c r="N52" i="70" s="1"/>
  <c r="D52" i="70"/>
  <c r="B52" i="70"/>
  <c r="X51" i="70"/>
  <c r="Z51" i="70" s="1"/>
  <c r="N51" i="70"/>
  <c r="L51" i="70"/>
  <c r="B51" i="70"/>
  <c r="T50" i="70"/>
  <c r="P50" i="70"/>
  <c r="X50" i="70" s="1"/>
  <c r="Z50" i="70" s="1"/>
  <c r="H50" i="70"/>
  <c r="D50" i="70"/>
  <c r="B50" i="70"/>
  <c r="Z49" i="70"/>
  <c r="X49" i="70"/>
  <c r="R49" i="70"/>
  <c r="N49" i="70"/>
  <c r="L49" i="70"/>
  <c r="B49" i="70"/>
  <c r="X48" i="70"/>
  <c r="T48" i="70"/>
  <c r="Z48" i="70" s="1"/>
  <c r="R48" i="70"/>
  <c r="P48" i="70"/>
  <c r="N48" i="70"/>
  <c r="H48" i="70"/>
  <c r="D48" i="70"/>
  <c r="L48" i="70" s="1"/>
  <c r="B48" i="70"/>
  <c r="Z47" i="70"/>
  <c r="X47" i="70"/>
  <c r="R47" i="70"/>
  <c r="N47" i="70"/>
  <c r="L47" i="70"/>
  <c r="B47" i="70"/>
  <c r="X46" i="70"/>
  <c r="T46" i="70"/>
  <c r="Z46" i="70" s="1"/>
  <c r="P46" i="70"/>
  <c r="N46" i="70"/>
  <c r="J46" i="70"/>
  <c r="H46" i="70"/>
  <c r="D46" i="70"/>
  <c r="L46" i="70" s="1"/>
  <c r="B46" i="70"/>
  <c r="Z45" i="70"/>
  <c r="X45" i="70"/>
  <c r="N45" i="70"/>
  <c r="L45" i="70"/>
  <c r="F45" i="70"/>
  <c r="B45" i="70"/>
  <c r="T44" i="70"/>
  <c r="Z44" i="70" s="1"/>
  <c r="P44" i="70"/>
  <c r="N44" i="70"/>
  <c r="J44" i="70"/>
  <c r="H44" i="70"/>
  <c r="F44" i="70"/>
  <c r="D44" i="70"/>
  <c r="L44" i="70" s="1"/>
  <c r="B44" i="70"/>
  <c r="Z43" i="70"/>
  <c r="X43" i="70"/>
  <c r="L43" i="70"/>
  <c r="N43" i="70" s="1"/>
  <c r="F43" i="70"/>
  <c r="B43" i="70"/>
  <c r="T42" i="70"/>
  <c r="P42" i="70"/>
  <c r="X42" i="70" s="1"/>
  <c r="Z42" i="70" s="1"/>
  <c r="L42" i="70"/>
  <c r="H42" i="70"/>
  <c r="N42" i="70" s="1"/>
  <c r="F42" i="70"/>
  <c r="D42" i="70"/>
  <c r="B42" i="70"/>
  <c r="X41" i="70"/>
  <c r="Z41" i="70" s="1"/>
  <c r="N41" i="70"/>
  <c r="L41" i="70"/>
  <c r="B41" i="70"/>
  <c r="T40" i="70"/>
  <c r="P40" i="70"/>
  <c r="X40" i="70" s="1"/>
  <c r="Z40" i="70" s="1"/>
  <c r="L40" i="70"/>
  <c r="H40" i="70"/>
  <c r="N40" i="70" s="1"/>
  <c r="D40" i="70"/>
  <c r="B40" i="70"/>
  <c r="X39" i="70"/>
  <c r="Z39" i="70" s="1"/>
  <c r="N39" i="70"/>
  <c r="L39" i="70"/>
  <c r="B39" i="70"/>
  <c r="T38" i="70"/>
  <c r="R38" i="70"/>
  <c r="P38" i="70"/>
  <c r="X38" i="70" s="1"/>
  <c r="Z38" i="70" s="1"/>
  <c r="H38" i="70"/>
  <c r="D38" i="70"/>
  <c r="B38" i="70"/>
  <c r="X37" i="70"/>
  <c r="Z37" i="70" s="1"/>
  <c r="R37" i="70"/>
  <c r="N37" i="70"/>
  <c r="L37" i="70"/>
  <c r="B37" i="70"/>
  <c r="X36" i="70"/>
  <c r="Z36" i="70" s="1"/>
  <c r="N36" i="70"/>
  <c r="L36" i="70"/>
  <c r="J36" i="70"/>
  <c r="B36" i="70"/>
  <c r="Z35" i="70"/>
  <c r="X35" i="70"/>
  <c r="N35" i="70"/>
  <c r="L35" i="70"/>
  <c r="F35" i="70"/>
  <c r="B35" i="70"/>
  <c r="Z34" i="70"/>
  <c r="X34" i="70"/>
  <c r="L34" i="70"/>
  <c r="N34" i="70" s="1"/>
  <c r="B34" i="70"/>
  <c r="X33" i="70"/>
  <c r="Z33" i="70" s="1"/>
  <c r="L33" i="70"/>
  <c r="N33" i="70" s="1"/>
  <c r="B33" i="70"/>
  <c r="X32" i="70"/>
  <c r="T32" i="70"/>
  <c r="Z32" i="70" s="1"/>
  <c r="R32" i="70"/>
  <c r="P32" i="70"/>
  <c r="H32" i="70"/>
  <c r="D32" i="70"/>
  <c r="L32" i="70" s="1"/>
  <c r="N32" i="70" s="1"/>
  <c r="B32" i="70"/>
  <c r="Z31" i="70"/>
  <c r="X31" i="70"/>
  <c r="R31" i="70"/>
  <c r="L31" i="70"/>
  <c r="N31" i="70" s="1"/>
  <c r="B31" i="70"/>
  <c r="X30" i="70"/>
  <c r="Z30" i="70" s="1"/>
  <c r="N30" i="70"/>
  <c r="L30" i="70"/>
  <c r="B30" i="70"/>
  <c r="X29" i="70"/>
  <c r="Z29" i="70" s="1"/>
  <c r="N29" i="70"/>
  <c r="L29" i="70"/>
  <c r="B29" i="70"/>
  <c r="Z28" i="70"/>
  <c r="X28" i="70"/>
  <c r="L28" i="70"/>
  <c r="N28" i="70" s="1"/>
  <c r="F28" i="70"/>
  <c r="B28" i="70"/>
  <c r="Z27" i="70"/>
  <c r="X27" i="70"/>
  <c r="R27" i="70"/>
  <c r="L27" i="70"/>
  <c r="N27" i="70" s="1"/>
  <c r="B27" i="70"/>
  <c r="X26" i="70"/>
  <c r="Z26" i="70" s="1"/>
  <c r="N26" i="70"/>
  <c r="L26" i="70"/>
  <c r="J26" i="70"/>
  <c r="B26" i="70"/>
  <c r="X25" i="70"/>
  <c r="Z25" i="70" s="1"/>
  <c r="N25" i="70"/>
  <c r="L25" i="70"/>
  <c r="B25" i="70"/>
  <c r="Z24" i="70"/>
  <c r="X24" i="70"/>
  <c r="V24" i="70"/>
  <c r="L24" i="70"/>
  <c r="N24" i="70" s="1"/>
  <c r="F24" i="70"/>
  <c r="B24" i="70"/>
  <c r="T23" i="70"/>
  <c r="P23" i="70"/>
  <c r="L23" i="70"/>
  <c r="N23" i="70" s="1"/>
  <c r="H23" i="70"/>
  <c r="F23" i="70"/>
  <c r="D23" i="70"/>
  <c r="B23" i="70"/>
  <c r="T22" i="70"/>
  <c r="P22" i="70"/>
  <c r="X22" i="70" s="1"/>
  <c r="Z22" i="70" s="1"/>
  <c r="H22" i="70"/>
  <c r="D22" i="70"/>
  <c r="Z18" i="70"/>
  <c r="X18" i="70"/>
  <c r="N18" i="70"/>
  <c r="L18" i="70"/>
  <c r="B18" i="70"/>
  <c r="Z17" i="70"/>
  <c r="X17" i="70"/>
  <c r="L17" i="70"/>
  <c r="N17" i="70" s="1"/>
  <c r="F17" i="70"/>
  <c r="B17" i="70"/>
  <c r="T16" i="70"/>
  <c r="P16" i="70"/>
  <c r="H16" i="70"/>
  <c r="F16" i="70"/>
  <c r="D16" i="70"/>
  <c r="L16" i="70" s="1"/>
  <c r="N16" i="70" s="1"/>
  <c r="T14" i="70"/>
  <c r="P14" i="70"/>
  <c r="X14" i="70" s="1"/>
  <c r="Z14" i="70" s="1"/>
  <c r="L14" i="70"/>
  <c r="H14" i="70"/>
  <c r="N14" i="70" s="1"/>
  <c r="D14" i="70"/>
  <c r="B14" i="70"/>
  <c r="X13" i="70"/>
  <c r="T13" i="70"/>
  <c r="Z13" i="70" s="1"/>
  <c r="P13" i="70"/>
  <c r="P12" i="70" s="1"/>
  <c r="R33" i="70" s="1"/>
  <c r="H13" i="70"/>
  <c r="H12" i="70" s="1"/>
  <c r="D13" i="70"/>
  <c r="L13" i="70" s="1"/>
  <c r="B13" i="70"/>
  <c r="T12" i="70"/>
  <c r="D12" i="70"/>
  <c r="F57" i="70" s="1"/>
  <c r="D6" i="70"/>
  <c r="D4" i="70"/>
  <c r="X121" i="69"/>
  <c r="Z121" i="69" s="1"/>
  <c r="N121" i="69"/>
  <c r="L121" i="69"/>
  <c r="T117" i="69"/>
  <c r="Z117" i="69" s="1"/>
  <c r="P117" i="69"/>
  <c r="P116" i="69" s="1"/>
  <c r="N117" i="69"/>
  <c r="H117" i="69"/>
  <c r="D117" i="69"/>
  <c r="D116" i="69" s="1"/>
  <c r="B117" i="69"/>
  <c r="H116" i="69"/>
  <c r="Z114" i="69"/>
  <c r="X114" i="69"/>
  <c r="N114" i="69"/>
  <c r="L114" i="69"/>
  <c r="B114" i="69"/>
  <c r="Z113" i="69"/>
  <c r="T113" i="69"/>
  <c r="P113" i="69"/>
  <c r="X113" i="69" s="1"/>
  <c r="L113" i="69"/>
  <c r="H113" i="69"/>
  <c r="N113" i="69" s="1"/>
  <c r="D113" i="69"/>
  <c r="B113" i="69"/>
  <c r="Z112" i="69"/>
  <c r="X112" i="69"/>
  <c r="N112" i="69"/>
  <c r="L112" i="69"/>
  <c r="B112" i="69"/>
  <c r="T111" i="69"/>
  <c r="P111" i="69"/>
  <c r="X111" i="69" s="1"/>
  <c r="Z111" i="69" s="1"/>
  <c r="L111" i="69"/>
  <c r="H111" i="69"/>
  <c r="N111" i="69" s="1"/>
  <c r="D111" i="69"/>
  <c r="B111" i="69"/>
  <c r="X110" i="69"/>
  <c r="Z110" i="69" s="1"/>
  <c r="N110" i="69"/>
  <c r="L110" i="69"/>
  <c r="B110" i="69"/>
  <c r="Z109" i="69"/>
  <c r="X109" i="69"/>
  <c r="N109" i="69"/>
  <c r="L109" i="69"/>
  <c r="B109" i="69"/>
  <c r="T108" i="69"/>
  <c r="P108" i="69"/>
  <c r="X108" i="69" s="1"/>
  <c r="Z108" i="69" s="1"/>
  <c r="L108" i="69"/>
  <c r="H108" i="69"/>
  <c r="D108" i="69"/>
  <c r="B108" i="69"/>
  <c r="X107" i="69"/>
  <c r="Z107" i="69" s="1"/>
  <c r="N107" i="69"/>
  <c r="L107" i="69"/>
  <c r="B107" i="69"/>
  <c r="Z106" i="69"/>
  <c r="X106" i="69"/>
  <c r="N106" i="69"/>
  <c r="L106" i="69"/>
  <c r="B106" i="69"/>
  <c r="Z105" i="69"/>
  <c r="T105" i="69"/>
  <c r="P105" i="69"/>
  <c r="X105" i="69" s="1"/>
  <c r="L105" i="69"/>
  <c r="H105" i="69"/>
  <c r="N105" i="69" s="1"/>
  <c r="D105" i="69"/>
  <c r="B105" i="69"/>
  <c r="Z104" i="69"/>
  <c r="X104" i="69"/>
  <c r="N104" i="69"/>
  <c r="L104" i="69"/>
  <c r="B104" i="69"/>
  <c r="Z103" i="69"/>
  <c r="X103" i="69"/>
  <c r="L103" i="69"/>
  <c r="N103" i="69" s="1"/>
  <c r="B103" i="69"/>
  <c r="T102" i="69"/>
  <c r="P102" i="69"/>
  <c r="X102" i="69" s="1"/>
  <c r="N102" i="69"/>
  <c r="L102" i="69"/>
  <c r="H102" i="69"/>
  <c r="D102" i="69"/>
  <c r="B102" i="69"/>
  <c r="Z101" i="69"/>
  <c r="X101" i="69"/>
  <c r="N101" i="69"/>
  <c r="L101" i="69"/>
  <c r="B101" i="69"/>
  <c r="T100" i="69"/>
  <c r="P100" i="69"/>
  <c r="X100" i="69" s="1"/>
  <c r="Z100" i="69" s="1"/>
  <c r="L100" i="69"/>
  <c r="H100" i="69"/>
  <c r="N100" i="69" s="1"/>
  <c r="D100" i="69"/>
  <c r="B100" i="69"/>
  <c r="X99" i="69"/>
  <c r="Z99" i="69" s="1"/>
  <c r="N99" i="69"/>
  <c r="L99" i="69"/>
  <c r="B99" i="69"/>
  <c r="T98" i="69"/>
  <c r="P98" i="69"/>
  <c r="X98" i="69" s="1"/>
  <c r="Z98" i="69" s="1"/>
  <c r="L98" i="69"/>
  <c r="H98" i="69"/>
  <c r="N98" i="69" s="1"/>
  <c r="D98" i="69"/>
  <c r="B98" i="69"/>
  <c r="X97" i="69"/>
  <c r="Z97" i="69" s="1"/>
  <c r="N97" i="69"/>
  <c r="L97" i="69"/>
  <c r="B97" i="69"/>
  <c r="Z96" i="69"/>
  <c r="X96" i="69"/>
  <c r="T96" i="69"/>
  <c r="P96" i="69"/>
  <c r="H96" i="69"/>
  <c r="D96" i="69"/>
  <c r="B96" i="69"/>
  <c r="X95" i="69"/>
  <c r="Z95" i="69" s="1"/>
  <c r="L95" i="69"/>
  <c r="N95" i="69" s="1"/>
  <c r="B95" i="69"/>
  <c r="X94" i="69"/>
  <c r="T94" i="69"/>
  <c r="Z94" i="69" s="1"/>
  <c r="P94" i="69"/>
  <c r="H94" i="69"/>
  <c r="D94" i="69"/>
  <c r="L94" i="69" s="1"/>
  <c r="N94" i="69" s="1"/>
  <c r="B94" i="69"/>
  <c r="Z93" i="69"/>
  <c r="X93" i="69"/>
  <c r="L93" i="69"/>
  <c r="N93" i="69" s="1"/>
  <c r="B93" i="69"/>
  <c r="X92" i="69"/>
  <c r="Z92" i="69" s="1"/>
  <c r="N92" i="69"/>
  <c r="L92" i="69"/>
  <c r="B92" i="69"/>
  <c r="X91" i="69"/>
  <c r="T91" i="69"/>
  <c r="Z91" i="69" s="1"/>
  <c r="P91" i="69"/>
  <c r="H91" i="69"/>
  <c r="D91" i="69"/>
  <c r="L91" i="69" s="1"/>
  <c r="N91" i="69" s="1"/>
  <c r="B91" i="69"/>
  <c r="Z90" i="69"/>
  <c r="X90" i="69"/>
  <c r="L90" i="69"/>
  <c r="N90" i="69" s="1"/>
  <c r="B90" i="69"/>
  <c r="X89" i="69"/>
  <c r="T89" i="69"/>
  <c r="Z89" i="69" s="1"/>
  <c r="P89" i="69"/>
  <c r="N89" i="69"/>
  <c r="H89" i="69"/>
  <c r="D89" i="69"/>
  <c r="L89" i="69" s="1"/>
  <c r="B89" i="69"/>
  <c r="Z88" i="69"/>
  <c r="X88" i="69"/>
  <c r="N88" i="69"/>
  <c r="L88" i="69"/>
  <c r="B88" i="69"/>
  <c r="T87" i="69"/>
  <c r="Z87" i="69" s="1"/>
  <c r="P87" i="69"/>
  <c r="N87" i="69"/>
  <c r="H87" i="69"/>
  <c r="D87" i="69"/>
  <c r="L87" i="69" s="1"/>
  <c r="B87" i="69"/>
  <c r="Z86" i="69"/>
  <c r="X86" i="69"/>
  <c r="N86" i="69"/>
  <c r="L86" i="69"/>
  <c r="B86" i="69"/>
  <c r="Z85" i="69"/>
  <c r="X85" i="69"/>
  <c r="L85" i="69"/>
  <c r="N85" i="69" s="1"/>
  <c r="B85" i="69"/>
  <c r="Z84" i="69"/>
  <c r="X84" i="69"/>
  <c r="N84" i="69"/>
  <c r="L84" i="69"/>
  <c r="B84" i="69"/>
  <c r="X83" i="69"/>
  <c r="Z83" i="69" s="1"/>
  <c r="N83" i="69"/>
  <c r="L83" i="69"/>
  <c r="B83" i="69"/>
  <c r="T82" i="69"/>
  <c r="P82" i="69"/>
  <c r="X82" i="69" s="1"/>
  <c r="Z82" i="69" s="1"/>
  <c r="H82" i="69"/>
  <c r="D82" i="69"/>
  <c r="B82" i="69"/>
  <c r="X81" i="69"/>
  <c r="Z81" i="69" s="1"/>
  <c r="N81" i="69"/>
  <c r="L81" i="69"/>
  <c r="B81" i="69"/>
  <c r="Z80" i="69"/>
  <c r="X80" i="69"/>
  <c r="N80" i="69"/>
  <c r="L80" i="69"/>
  <c r="B80" i="69"/>
  <c r="Z79" i="69"/>
  <c r="X79" i="69"/>
  <c r="L79" i="69"/>
  <c r="N79" i="69" s="1"/>
  <c r="B79" i="69"/>
  <c r="Z78" i="69"/>
  <c r="X78" i="69"/>
  <c r="L78" i="69"/>
  <c r="N78" i="69" s="1"/>
  <c r="B78" i="69"/>
  <c r="X77" i="69"/>
  <c r="Z77" i="69" s="1"/>
  <c r="N77" i="69"/>
  <c r="L77" i="69"/>
  <c r="B77" i="69"/>
  <c r="Z76" i="69"/>
  <c r="X76" i="69"/>
  <c r="N76" i="69"/>
  <c r="L76" i="69"/>
  <c r="B76" i="69"/>
  <c r="Z75" i="69"/>
  <c r="X75" i="69"/>
  <c r="L75" i="69"/>
  <c r="N75" i="69" s="1"/>
  <c r="B75" i="69"/>
  <c r="Z74" i="69"/>
  <c r="X74" i="69"/>
  <c r="L74" i="69"/>
  <c r="N74" i="69" s="1"/>
  <c r="B74" i="69"/>
  <c r="X73" i="69"/>
  <c r="T73" i="69"/>
  <c r="Z73" i="69" s="1"/>
  <c r="P73" i="69"/>
  <c r="N73" i="69"/>
  <c r="H73" i="69"/>
  <c r="D73" i="69"/>
  <c r="L73" i="69" s="1"/>
  <c r="B73" i="69"/>
  <c r="T72" i="69"/>
  <c r="P72" i="69"/>
  <c r="X72" i="69" s="1"/>
  <c r="Z72" i="69" s="1"/>
  <c r="L72" i="69"/>
  <c r="H72" i="69"/>
  <c r="D72" i="69"/>
  <c r="Z68" i="69"/>
  <c r="X68" i="69"/>
  <c r="L68" i="69"/>
  <c r="N68" i="69" s="1"/>
  <c r="B68" i="69"/>
  <c r="X67" i="69"/>
  <c r="Z67" i="69" s="1"/>
  <c r="N67" i="69"/>
  <c r="L67" i="69"/>
  <c r="B67" i="69"/>
  <c r="Z66" i="69"/>
  <c r="X66" i="69"/>
  <c r="N66" i="69"/>
  <c r="L66" i="69"/>
  <c r="B66" i="69"/>
  <c r="Z65" i="69"/>
  <c r="X65" i="69"/>
  <c r="N65" i="69"/>
  <c r="L65" i="69"/>
  <c r="B65" i="69"/>
  <c r="Z64" i="69"/>
  <c r="X64" i="69"/>
  <c r="L64" i="69"/>
  <c r="N64" i="69" s="1"/>
  <c r="B64" i="69"/>
  <c r="X63" i="69"/>
  <c r="Z63" i="69" s="1"/>
  <c r="L63" i="69"/>
  <c r="N63" i="69" s="1"/>
  <c r="B63" i="69"/>
  <c r="X62" i="69"/>
  <c r="Z62" i="69" s="1"/>
  <c r="N62" i="69"/>
  <c r="L62" i="69"/>
  <c r="B62" i="69"/>
  <c r="Z61" i="69"/>
  <c r="X61" i="69"/>
  <c r="N61" i="69"/>
  <c r="L61" i="69"/>
  <c r="B61" i="69"/>
  <c r="Z60" i="69"/>
  <c r="X60" i="69"/>
  <c r="L60" i="69"/>
  <c r="N60" i="69" s="1"/>
  <c r="B60" i="69"/>
  <c r="X59" i="69"/>
  <c r="Z59" i="69" s="1"/>
  <c r="L59" i="69"/>
  <c r="N59" i="69" s="1"/>
  <c r="B59" i="69"/>
  <c r="X58" i="69"/>
  <c r="Z58" i="69" s="1"/>
  <c r="N58" i="69"/>
  <c r="L58" i="69"/>
  <c r="B58" i="69"/>
  <c r="Z57" i="69"/>
  <c r="X57" i="69"/>
  <c r="N57" i="69"/>
  <c r="L57" i="69"/>
  <c r="B57" i="69"/>
  <c r="Z56" i="69"/>
  <c r="X56" i="69"/>
  <c r="L56" i="69"/>
  <c r="N56" i="69" s="1"/>
  <c r="B56" i="69"/>
  <c r="X55" i="69"/>
  <c r="Z55" i="69" s="1"/>
  <c r="L55" i="69"/>
  <c r="N55" i="69" s="1"/>
  <c r="B55" i="69"/>
  <c r="X54" i="69"/>
  <c r="Z54" i="69" s="1"/>
  <c r="N54" i="69"/>
  <c r="L54" i="69"/>
  <c r="B54" i="69"/>
  <c r="Z53" i="69"/>
  <c r="X53" i="69"/>
  <c r="N53" i="69"/>
  <c r="L53" i="69"/>
  <c r="B53" i="69"/>
  <c r="Z52" i="69"/>
  <c r="X52" i="69"/>
  <c r="L52" i="69"/>
  <c r="N52" i="69" s="1"/>
  <c r="B52" i="69"/>
  <c r="X51" i="69"/>
  <c r="Z51" i="69" s="1"/>
  <c r="L51" i="69"/>
  <c r="N51" i="69" s="1"/>
  <c r="B51" i="69"/>
  <c r="X50" i="69"/>
  <c r="Z50" i="69" s="1"/>
  <c r="N50" i="69"/>
  <c r="L50" i="69"/>
  <c r="B50" i="69"/>
  <c r="Z49" i="69"/>
  <c r="X49" i="69"/>
  <c r="N49" i="69"/>
  <c r="L49" i="69"/>
  <c r="B49" i="69"/>
  <c r="T48" i="69"/>
  <c r="P48" i="69"/>
  <c r="X48" i="69" s="1"/>
  <c r="Z48" i="69" s="1"/>
  <c r="L48" i="69"/>
  <c r="H48" i="69"/>
  <c r="N48" i="69" s="1"/>
  <c r="D48" i="69"/>
  <c r="Z46" i="69"/>
  <c r="T46" i="69"/>
  <c r="P46" i="69"/>
  <c r="X46" i="69" s="1"/>
  <c r="N46" i="69"/>
  <c r="H46" i="69"/>
  <c r="D46" i="69"/>
  <c r="L46" i="69" s="1"/>
  <c r="B46" i="69"/>
  <c r="T45" i="69"/>
  <c r="P45" i="69"/>
  <c r="X45" i="69" s="1"/>
  <c r="Z45" i="69" s="1"/>
  <c r="L45" i="69"/>
  <c r="H45" i="69"/>
  <c r="N45" i="69" s="1"/>
  <c r="D45" i="69"/>
  <c r="B45" i="69"/>
  <c r="X44" i="69"/>
  <c r="T44" i="69"/>
  <c r="Z44" i="69" s="1"/>
  <c r="P44" i="69"/>
  <c r="H44" i="69"/>
  <c r="D44" i="69"/>
  <c r="B44" i="69"/>
  <c r="T43" i="69"/>
  <c r="P43" i="69"/>
  <c r="H43" i="69"/>
  <c r="D43" i="69"/>
  <c r="L43" i="69" s="1"/>
  <c r="N43" i="69" s="1"/>
  <c r="B43" i="69"/>
  <c r="T42" i="69"/>
  <c r="P42" i="69"/>
  <c r="X42" i="69" s="1"/>
  <c r="Z42" i="69" s="1"/>
  <c r="L42" i="69"/>
  <c r="N42" i="69" s="1"/>
  <c r="H42" i="69"/>
  <c r="D42" i="69"/>
  <c r="B42" i="69"/>
  <c r="Z41" i="69"/>
  <c r="T41" i="69"/>
  <c r="P41" i="69"/>
  <c r="X41" i="69" s="1"/>
  <c r="L41" i="69"/>
  <c r="H41" i="69"/>
  <c r="N41" i="69" s="1"/>
  <c r="D41" i="69"/>
  <c r="B41" i="69"/>
  <c r="X40" i="69"/>
  <c r="T40" i="69"/>
  <c r="Z40" i="69" s="1"/>
  <c r="P40" i="69"/>
  <c r="H40" i="69"/>
  <c r="D40" i="69"/>
  <c r="B40" i="69"/>
  <c r="T39" i="69"/>
  <c r="P39" i="69"/>
  <c r="N39" i="69"/>
  <c r="H39" i="69"/>
  <c r="D39" i="69"/>
  <c r="L39" i="69" s="1"/>
  <c r="B39" i="69"/>
  <c r="T38" i="69"/>
  <c r="P38" i="69"/>
  <c r="X38" i="69" s="1"/>
  <c r="Z38" i="69" s="1"/>
  <c r="L38" i="69"/>
  <c r="N38" i="69" s="1"/>
  <c r="H38" i="69"/>
  <c r="D38" i="69"/>
  <c r="B38" i="69"/>
  <c r="T37" i="69"/>
  <c r="P37" i="69"/>
  <c r="X37" i="69" s="1"/>
  <c r="Z37" i="69" s="1"/>
  <c r="L37" i="69"/>
  <c r="H37" i="69"/>
  <c r="N37" i="69" s="1"/>
  <c r="D37" i="69"/>
  <c r="B37" i="69"/>
  <c r="X36" i="69"/>
  <c r="T36" i="69"/>
  <c r="P36" i="69"/>
  <c r="H36" i="69"/>
  <c r="D36" i="69"/>
  <c r="B36" i="69"/>
  <c r="T35" i="69"/>
  <c r="P35" i="69"/>
  <c r="H35" i="69"/>
  <c r="D35" i="69"/>
  <c r="L35" i="69" s="1"/>
  <c r="N35" i="69" s="1"/>
  <c r="B35" i="69"/>
  <c r="Z34" i="69"/>
  <c r="T34" i="69"/>
  <c r="P34" i="69"/>
  <c r="X34" i="69" s="1"/>
  <c r="L34" i="69"/>
  <c r="N34" i="69" s="1"/>
  <c r="H34" i="69"/>
  <c r="D34" i="69"/>
  <c r="B34" i="69"/>
  <c r="T33" i="69"/>
  <c r="P33" i="69"/>
  <c r="X33" i="69" s="1"/>
  <c r="Z33" i="69" s="1"/>
  <c r="L33" i="69"/>
  <c r="H33" i="69"/>
  <c r="N33" i="69" s="1"/>
  <c r="D33" i="69"/>
  <c r="B33" i="69"/>
  <c r="X32" i="69"/>
  <c r="T32" i="69"/>
  <c r="P32" i="69"/>
  <c r="H32" i="69"/>
  <c r="D32" i="69"/>
  <c r="B32" i="69"/>
  <c r="T31" i="69"/>
  <c r="P31" i="69"/>
  <c r="N31" i="69"/>
  <c r="H31" i="69"/>
  <c r="D31" i="69"/>
  <c r="L31" i="69" s="1"/>
  <c r="B31" i="69"/>
  <c r="T30" i="69"/>
  <c r="P30" i="69"/>
  <c r="X30" i="69" s="1"/>
  <c r="Z30" i="69" s="1"/>
  <c r="H30" i="69"/>
  <c r="D30" i="69"/>
  <c r="L30" i="69" s="1"/>
  <c r="N30" i="69" s="1"/>
  <c r="B30" i="69"/>
  <c r="T29" i="69"/>
  <c r="P29" i="69"/>
  <c r="X29" i="69" s="1"/>
  <c r="Z29" i="69" s="1"/>
  <c r="L29" i="69"/>
  <c r="H29" i="69"/>
  <c r="N29" i="69" s="1"/>
  <c r="D29" i="69"/>
  <c r="B29" i="69"/>
  <c r="X28" i="69"/>
  <c r="T28" i="69"/>
  <c r="Z28" i="69" s="1"/>
  <c r="P28" i="69"/>
  <c r="H28" i="69"/>
  <c r="D28" i="69"/>
  <c r="B28" i="69"/>
  <c r="T27" i="69"/>
  <c r="P27" i="69"/>
  <c r="N27" i="69"/>
  <c r="H27" i="69"/>
  <c r="D27" i="69"/>
  <c r="L27" i="69" s="1"/>
  <c r="B27" i="69"/>
  <c r="Z26" i="69"/>
  <c r="T26" i="69"/>
  <c r="P26" i="69"/>
  <c r="X26" i="69" s="1"/>
  <c r="H26" i="69"/>
  <c r="D26" i="69"/>
  <c r="L26" i="69" s="1"/>
  <c r="N26" i="69" s="1"/>
  <c r="B26" i="69"/>
  <c r="T25" i="69"/>
  <c r="P25" i="69"/>
  <c r="X25" i="69" s="1"/>
  <c r="Z25" i="69" s="1"/>
  <c r="L25" i="69"/>
  <c r="H25" i="69"/>
  <c r="N25" i="69" s="1"/>
  <c r="D25" i="69"/>
  <c r="B25" i="69"/>
  <c r="X24" i="69"/>
  <c r="T24" i="69"/>
  <c r="P24" i="69"/>
  <c r="H24" i="69"/>
  <c r="D24" i="69"/>
  <c r="B24" i="69"/>
  <c r="T23" i="69"/>
  <c r="P23" i="69"/>
  <c r="H23" i="69"/>
  <c r="D23" i="69"/>
  <c r="L23" i="69" s="1"/>
  <c r="N23" i="69" s="1"/>
  <c r="B23" i="69"/>
  <c r="Z22" i="69"/>
  <c r="T22" i="69"/>
  <c r="P22" i="69"/>
  <c r="X22" i="69" s="1"/>
  <c r="H22" i="69"/>
  <c r="D22" i="69"/>
  <c r="L22" i="69" s="1"/>
  <c r="N22" i="69" s="1"/>
  <c r="B22" i="69"/>
  <c r="T21" i="69"/>
  <c r="P21" i="69"/>
  <c r="X21" i="69" s="1"/>
  <c r="Z21" i="69" s="1"/>
  <c r="L21" i="69"/>
  <c r="H21" i="69"/>
  <c r="N21" i="69" s="1"/>
  <c r="D21" i="69"/>
  <c r="B21" i="69"/>
  <c r="X20" i="69"/>
  <c r="T20" i="69"/>
  <c r="Z20" i="69" s="1"/>
  <c r="P20" i="69"/>
  <c r="H20" i="69"/>
  <c r="D20" i="69"/>
  <c r="B20" i="69"/>
  <c r="T19" i="69"/>
  <c r="P19" i="69"/>
  <c r="N19" i="69"/>
  <c r="H19" i="69"/>
  <c r="D19" i="69"/>
  <c r="L19" i="69" s="1"/>
  <c r="B19" i="69"/>
  <c r="T18" i="69"/>
  <c r="P18" i="69"/>
  <c r="X18" i="69" s="1"/>
  <c r="Z18" i="69" s="1"/>
  <c r="L18" i="69"/>
  <c r="N18" i="69" s="1"/>
  <c r="H18" i="69"/>
  <c r="D18" i="69"/>
  <c r="B18" i="69"/>
  <c r="T17" i="69"/>
  <c r="P17" i="69"/>
  <c r="X17" i="69" s="1"/>
  <c r="Z17" i="69" s="1"/>
  <c r="L17" i="69"/>
  <c r="H17" i="69"/>
  <c r="N17" i="69" s="1"/>
  <c r="D17" i="69"/>
  <c r="B17" i="69"/>
  <c r="X16" i="69"/>
  <c r="T16" i="69"/>
  <c r="Z16" i="69" s="1"/>
  <c r="P16" i="69"/>
  <c r="H16" i="69"/>
  <c r="D16" i="69"/>
  <c r="B16" i="69"/>
  <c r="T15" i="69"/>
  <c r="P15" i="69"/>
  <c r="N15" i="69"/>
  <c r="H15" i="69"/>
  <c r="D15" i="69"/>
  <c r="L15" i="69" s="1"/>
  <c r="B15" i="69"/>
  <c r="Z14" i="69"/>
  <c r="T14" i="69"/>
  <c r="P14" i="69"/>
  <c r="X14" i="69" s="1"/>
  <c r="N14" i="69"/>
  <c r="H14" i="69"/>
  <c r="D14" i="69"/>
  <c r="L14" i="69" s="1"/>
  <c r="B14" i="69"/>
  <c r="T13" i="69"/>
  <c r="P13" i="69"/>
  <c r="L13" i="69"/>
  <c r="H13" i="69"/>
  <c r="N13" i="69" s="1"/>
  <c r="D13" i="69"/>
  <c r="B13" i="69"/>
  <c r="H12" i="69"/>
  <c r="D6" i="69"/>
  <c r="D4" i="69"/>
  <c r="F68" i="68"/>
  <c r="F65" i="68"/>
  <c r="Z63" i="68"/>
  <c r="X63" i="68"/>
  <c r="N63" i="68"/>
  <c r="L63" i="68"/>
  <c r="V61" i="68"/>
  <c r="F61" i="68"/>
  <c r="Z59" i="68"/>
  <c r="V59" i="68"/>
  <c r="T59" i="68"/>
  <c r="P59" i="68"/>
  <c r="X59" i="68" s="1"/>
  <c r="L59" i="68"/>
  <c r="H59" i="68"/>
  <c r="N59" i="68" s="1"/>
  <c r="F59" i="68"/>
  <c r="D59" i="68"/>
  <c r="Z57" i="68"/>
  <c r="X57" i="68"/>
  <c r="V57" i="68"/>
  <c r="L57" i="68"/>
  <c r="N57" i="68" s="1"/>
  <c r="F57" i="68"/>
  <c r="B57" i="68"/>
  <c r="V56" i="68"/>
  <c r="T56" i="68"/>
  <c r="P56" i="68"/>
  <c r="J56" i="68"/>
  <c r="H56" i="68"/>
  <c r="F56" i="68"/>
  <c r="D56" i="68"/>
  <c r="L56" i="68" s="1"/>
  <c r="N56" i="68" s="1"/>
  <c r="B56" i="68"/>
  <c r="Z55" i="68"/>
  <c r="X55" i="68"/>
  <c r="V55" i="68"/>
  <c r="N55" i="68"/>
  <c r="L55" i="68"/>
  <c r="F55" i="68"/>
  <c r="B55" i="68"/>
  <c r="Z54" i="68"/>
  <c r="V54" i="68"/>
  <c r="T54" i="68"/>
  <c r="P54" i="68"/>
  <c r="X54" i="68" s="1"/>
  <c r="L54" i="68"/>
  <c r="H54" i="68"/>
  <c r="N54" i="68" s="1"/>
  <c r="F54" i="68"/>
  <c r="D54" i="68"/>
  <c r="B54" i="68"/>
  <c r="Z53" i="68"/>
  <c r="X53" i="68"/>
  <c r="V53" i="68"/>
  <c r="N53" i="68"/>
  <c r="L53" i="68"/>
  <c r="F53" i="68"/>
  <c r="B53" i="68"/>
  <c r="Z52" i="68"/>
  <c r="X52" i="68"/>
  <c r="V52" i="68"/>
  <c r="L52" i="68"/>
  <c r="N52" i="68" s="1"/>
  <c r="F52" i="68"/>
  <c r="B52" i="68"/>
  <c r="Z51" i="68"/>
  <c r="X51" i="68"/>
  <c r="L51" i="68"/>
  <c r="N51" i="68" s="1"/>
  <c r="F51" i="68"/>
  <c r="B51" i="68"/>
  <c r="Z50" i="68"/>
  <c r="X50" i="68"/>
  <c r="N50" i="68"/>
  <c r="L50" i="68"/>
  <c r="J50" i="68"/>
  <c r="B50" i="68"/>
  <c r="Z49" i="68"/>
  <c r="X49" i="68"/>
  <c r="V49" i="68"/>
  <c r="N49" i="68"/>
  <c r="L49" i="68"/>
  <c r="F49" i="68"/>
  <c r="B49" i="68"/>
  <c r="Z48" i="68"/>
  <c r="V48" i="68"/>
  <c r="T48" i="68"/>
  <c r="P48" i="68"/>
  <c r="X48" i="68" s="1"/>
  <c r="L48" i="68"/>
  <c r="H48" i="68"/>
  <c r="F48" i="68"/>
  <c r="D48" i="68"/>
  <c r="B48" i="68"/>
  <c r="Z47" i="68"/>
  <c r="X47" i="68"/>
  <c r="V47" i="68"/>
  <c r="N47" i="68"/>
  <c r="L47" i="68"/>
  <c r="J47" i="68"/>
  <c r="B47" i="68"/>
  <c r="Z46" i="68"/>
  <c r="X46" i="68"/>
  <c r="V46" i="68"/>
  <c r="N46" i="68"/>
  <c r="L46" i="68"/>
  <c r="F46" i="68"/>
  <c r="B46" i="68"/>
  <c r="V45" i="68"/>
  <c r="T45" i="68"/>
  <c r="P45" i="68"/>
  <c r="X45" i="68" s="1"/>
  <c r="Z45" i="68" s="1"/>
  <c r="L45" i="68"/>
  <c r="H45" i="68"/>
  <c r="N45" i="68" s="1"/>
  <c r="F45" i="68"/>
  <c r="D45" i="68"/>
  <c r="B45" i="68"/>
  <c r="Z44" i="68"/>
  <c r="X44" i="68"/>
  <c r="V44" i="68"/>
  <c r="N44" i="68"/>
  <c r="L44" i="68"/>
  <c r="F44" i="68"/>
  <c r="B44" i="68"/>
  <c r="Z43" i="68"/>
  <c r="V43" i="68"/>
  <c r="T43" i="68"/>
  <c r="P43" i="68"/>
  <c r="X43" i="68" s="1"/>
  <c r="L43" i="68"/>
  <c r="H43" i="68"/>
  <c r="N43" i="68" s="1"/>
  <c r="F43" i="68"/>
  <c r="D43" i="68"/>
  <c r="B43" i="68"/>
  <c r="Z42" i="68"/>
  <c r="X42" i="68"/>
  <c r="R42" i="68"/>
  <c r="N42" i="68"/>
  <c r="L42" i="68"/>
  <c r="B42" i="68"/>
  <c r="Z41" i="68"/>
  <c r="X41" i="68"/>
  <c r="V41" i="68"/>
  <c r="T41" i="68"/>
  <c r="R41" i="68"/>
  <c r="P41" i="68"/>
  <c r="H41" i="68"/>
  <c r="N41" i="68" s="1"/>
  <c r="D41" i="68"/>
  <c r="B41" i="68"/>
  <c r="X40" i="68"/>
  <c r="Z40" i="68" s="1"/>
  <c r="V40" i="68"/>
  <c r="R40" i="68"/>
  <c r="N40" i="68"/>
  <c r="L40" i="68"/>
  <c r="B40" i="68"/>
  <c r="X39" i="68"/>
  <c r="V39" i="68"/>
  <c r="T39" i="68"/>
  <c r="R39" i="68"/>
  <c r="P39" i="68"/>
  <c r="N39" i="68"/>
  <c r="H39" i="68"/>
  <c r="D39" i="68"/>
  <c r="L39" i="68" s="1"/>
  <c r="B39" i="68"/>
  <c r="X38" i="68"/>
  <c r="Z38" i="68" s="1"/>
  <c r="V38" i="68"/>
  <c r="R38" i="68"/>
  <c r="N38" i="68"/>
  <c r="L38" i="68"/>
  <c r="F38" i="68"/>
  <c r="B38" i="68"/>
  <c r="X37" i="68"/>
  <c r="T37" i="68"/>
  <c r="R37" i="68"/>
  <c r="P37" i="68"/>
  <c r="N37" i="68"/>
  <c r="H37" i="68"/>
  <c r="F37" i="68"/>
  <c r="D37" i="68"/>
  <c r="L37" i="68" s="1"/>
  <c r="B37" i="68"/>
  <c r="Z36" i="68"/>
  <c r="X36" i="68"/>
  <c r="V36" i="68"/>
  <c r="L36" i="68"/>
  <c r="N36" i="68" s="1"/>
  <c r="F36" i="68"/>
  <c r="B36" i="68"/>
  <c r="T35" i="68"/>
  <c r="P35" i="68"/>
  <c r="X35" i="68" s="1"/>
  <c r="N35" i="68"/>
  <c r="L35" i="68"/>
  <c r="H35" i="68"/>
  <c r="F35" i="68"/>
  <c r="D35" i="68"/>
  <c r="B35" i="68"/>
  <c r="Z34" i="68"/>
  <c r="X34" i="68"/>
  <c r="V34" i="68"/>
  <c r="L34" i="68"/>
  <c r="N34" i="68" s="1"/>
  <c r="F34" i="68"/>
  <c r="B34" i="68"/>
  <c r="Z33" i="68"/>
  <c r="X33" i="68"/>
  <c r="V33" i="68"/>
  <c r="L33" i="68"/>
  <c r="N33" i="68" s="1"/>
  <c r="F33" i="68"/>
  <c r="B33" i="68"/>
  <c r="X32" i="68"/>
  <c r="Z32" i="68" s="1"/>
  <c r="V32" i="68"/>
  <c r="R32" i="68"/>
  <c r="N32" i="68"/>
  <c r="L32" i="68"/>
  <c r="B32" i="68"/>
  <c r="X31" i="68"/>
  <c r="Z31" i="68" s="1"/>
  <c r="V31" i="68"/>
  <c r="N31" i="68"/>
  <c r="L31" i="68"/>
  <c r="B31" i="68"/>
  <c r="Z30" i="68"/>
  <c r="X30" i="68"/>
  <c r="V30" i="68"/>
  <c r="N30" i="68"/>
  <c r="L30" i="68"/>
  <c r="F30" i="68"/>
  <c r="B30" i="68"/>
  <c r="V29" i="68"/>
  <c r="T29" i="68"/>
  <c r="P29" i="68"/>
  <c r="X29" i="68" s="1"/>
  <c r="Z29" i="68" s="1"/>
  <c r="L29" i="68"/>
  <c r="H29" i="68"/>
  <c r="N29" i="68" s="1"/>
  <c r="F29" i="68"/>
  <c r="D29" i="68"/>
  <c r="B29" i="68"/>
  <c r="X28" i="68"/>
  <c r="Z28" i="68" s="1"/>
  <c r="V28" i="68"/>
  <c r="N28" i="68"/>
  <c r="L28" i="68"/>
  <c r="F28" i="68"/>
  <c r="B28" i="68"/>
  <c r="Z27" i="68"/>
  <c r="X27" i="68"/>
  <c r="V27" i="68"/>
  <c r="N27" i="68"/>
  <c r="L27" i="68"/>
  <c r="F27" i="68"/>
  <c r="B27" i="68"/>
  <c r="Z26" i="68"/>
  <c r="X26" i="68"/>
  <c r="V26" i="68"/>
  <c r="R26" i="68"/>
  <c r="L26" i="68"/>
  <c r="N26" i="68" s="1"/>
  <c r="F26" i="68"/>
  <c r="B26" i="68"/>
  <c r="X25" i="68"/>
  <c r="Z25" i="68" s="1"/>
  <c r="R25" i="68"/>
  <c r="N25" i="68"/>
  <c r="L25" i="68"/>
  <c r="F25" i="68"/>
  <c r="B25" i="68"/>
  <c r="X24" i="68"/>
  <c r="Z24" i="68" s="1"/>
  <c r="V24" i="68"/>
  <c r="N24" i="68"/>
  <c r="L24" i="68"/>
  <c r="F24" i="68"/>
  <c r="B24" i="68"/>
  <c r="Z23" i="68"/>
  <c r="X23" i="68"/>
  <c r="V23" i="68"/>
  <c r="N23" i="68"/>
  <c r="L23" i="68"/>
  <c r="F23" i="68"/>
  <c r="B23" i="68"/>
  <c r="X22" i="68"/>
  <c r="Z22" i="68" s="1"/>
  <c r="V22" i="68"/>
  <c r="R22" i="68"/>
  <c r="L22" i="68"/>
  <c r="N22" i="68" s="1"/>
  <c r="F22" i="68"/>
  <c r="B22" i="68"/>
  <c r="X21" i="68"/>
  <c r="Z21" i="68" s="1"/>
  <c r="V21" i="68"/>
  <c r="R21" i="68"/>
  <c r="L21" i="68"/>
  <c r="N21" i="68" s="1"/>
  <c r="F21" i="68"/>
  <c r="B21" i="68"/>
  <c r="X20" i="68"/>
  <c r="Z20" i="68" s="1"/>
  <c r="V20" i="68"/>
  <c r="N20" i="68"/>
  <c r="L20" i="68"/>
  <c r="F20" i="68"/>
  <c r="B20" i="68"/>
  <c r="V19" i="68"/>
  <c r="T19" i="68"/>
  <c r="P19" i="68"/>
  <c r="X19" i="68" s="1"/>
  <c r="Z19" i="68" s="1"/>
  <c r="H19" i="68"/>
  <c r="F19" i="68"/>
  <c r="D19" i="68"/>
  <c r="B19" i="68"/>
  <c r="T18" i="68"/>
  <c r="R18" i="68"/>
  <c r="P18" i="68"/>
  <c r="H18" i="68"/>
  <c r="N18" i="68" s="1"/>
  <c r="F18" i="68"/>
  <c r="D18" i="68"/>
  <c r="L18" i="68" s="1"/>
  <c r="T16" i="68"/>
  <c r="R16" i="68"/>
  <c r="F16" i="68"/>
  <c r="T14" i="68"/>
  <c r="Z14" i="68" s="1"/>
  <c r="R14" i="68"/>
  <c r="P14" i="68"/>
  <c r="J14" i="68"/>
  <c r="H14" i="68"/>
  <c r="N14" i="68" s="1"/>
  <c r="F14" i="68"/>
  <c r="D14" i="68"/>
  <c r="L14" i="68" s="1"/>
  <c r="Z12" i="68"/>
  <c r="X12" i="68"/>
  <c r="T12" i="68"/>
  <c r="V50" i="68" s="1"/>
  <c r="P12" i="68"/>
  <c r="R63" i="68" s="1"/>
  <c r="H12" i="68"/>
  <c r="D12" i="68"/>
  <c r="F63" i="68" s="1"/>
  <c r="D6" i="68"/>
  <c r="D4" i="68"/>
  <c r="J102" i="64"/>
  <c r="J99" i="64"/>
  <c r="Z97" i="64"/>
  <c r="X97" i="64"/>
  <c r="N97" i="64"/>
  <c r="L97" i="64"/>
  <c r="J97" i="64"/>
  <c r="Z93" i="64"/>
  <c r="T93" i="64"/>
  <c r="P93" i="64"/>
  <c r="X93" i="64" s="1"/>
  <c r="H93" i="64"/>
  <c r="H90" i="64" s="1"/>
  <c r="D93" i="64"/>
  <c r="B93" i="64"/>
  <c r="T92" i="64"/>
  <c r="P92" i="64"/>
  <c r="X92" i="64" s="1"/>
  <c r="Z92" i="64" s="1"/>
  <c r="L92" i="64"/>
  <c r="J92" i="64"/>
  <c r="H92" i="64"/>
  <c r="N92" i="64" s="1"/>
  <c r="F92" i="64"/>
  <c r="D92" i="64"/>
  <c r="B92" i="64"/>
  <c r="T91" i="64"/>
  <c r="T90" i="64" s="1"/>
  <c r="P91" i="64"/>
  <c r="L91" i="64"/>
  <c r="N91" i="64" s="1"/>
  <c r="J91" i="64"/>
  <c r="H91" i="64"/>
  <c r="F91" i="64"/>
  <c r="D91" i="64"/>
  <c r="B91" i="64"/>
  <c r="J90" i="64"/>
  <c r="F90" i="64"/>
  <c r="X88" i="64"/>
  <c r="Z88" i="64" s="1"/>
  <c r="L88" i="64"/>
  <c r="N88" i="64" s="1"/>
  <c r="B88" i="64"/>
  <c r="X87" i="64"/>
  <c r="Z87" i="64" s="1"/>
  <c r="T87" i="64"/>
  <c r="P87" i="64"/>
  <c r="H87" i="64"/>
  <c r="D87" i="64"/>
  <c r="B87" i="64"/>
  <c r="Z86" i="64"/>
  <c r="X86" i="64"/>
  <c r="V86" i="64"/>
  <c r="N86" i="64"/>
  <c r="L86" i="64"/>
  <c r="B86" i="64"/>
  <c r="Z85" i="64"/>
  <c r="X85" i="64"/>
  <c r="N85" i="64"/>
  <c r="L85" i="64"/>
  <c r="J85" i="64"/>
  <c r="B85" i="64"/>
  <c r="X84" i="64"/>
  <c r="Z84" i="64" s="1"/>
  <c r="L84" i="64"/>
  <c r="N84" i="64" s="1"/>
  <c r="B84" i="64"/>
  <c r="X83" i="64"/>
  <c r="Z83" i="64" s="1"/>
  <c r="V83" i="64"/>
  <c r="T83" i="64"/>
  <c r="P83" i="64"/>
  <c r="H83" i="64"/>
  <c r="D83" i="64"/>
  <c r="B83" i="64"/>
  <c r="X82" i="64"/>
  <c r="Z82" i="64" s="1"/>
  <c r="N82" i="64"/>
  <c r="L82" i="64"/>
  <c r="B82" i="64"/>
  <c r="X81" i="64"/>
  <c r="T81" i="64"/>
  <c r="P81" i="64"/>
  <c r="H81" i="64"/>
  <c r="N81" i="64" s="1"/>
  <c r="D81" i="64"/>
  <c r="B81" i="64"/>
  <c r="X80" i="64"/>
  <c r="Z80" i="64" s="1"/>
  <c r="L80" i="64"/>
  <c r="N80" i="64" s="1"/>
  <c r="J80" i="64"/>
  <c r="F80" i="64"/>
  <c r="B80" i="64"/>
  <c r="T79" i="64"/>
  <c r="X79" i="64" s="1"/>
  <c r="Z79" i="64" s="1"/>
  <c r="P79" i="64"/>
  <c r="H79" i="64"/>
  <c r="D79" i="64"/>
  <c r="L79" i="64" s="1"/>
  <c r="N79" i="64" s="1"/>
  <c r="B79" i="64"/>
  <c r="Z78" i="64"/>
  <c r="X78" i="64"/>
  <c r="N78" i="64"/>
  <c r="L78" i="64"/>
  <c r="B78" i="64"/>
  <c r="X77" i="64"/>
  <c r="Z77" i="64" s="1"/>
  <c r="L77" i="64"/>
  <c r="N77" i="64" s="1"/>
  <c r="J77" i="64"/>
  <c r="B77" i="64"/>
  <c r="X76" i="64"/>
  <c r="Z76" i="64" s="1"/>
  <c r="L76" i="64"/>
  <c r="N76" i="64" s="1"/>
  <c r="J76" i="64"/>
  <c r="F76" i="64"/>
  <c r="B76" i="64"/>
  <c r="X75" i="64"/>
  <c r="Z75" i="64" s="1"/>
  <c r="L75" i="64"/>
  <c r="N75" i="64" s="1"/>
  <c r="B75" i="64"/>
  <c r="X74" i="64"/>
  <c r="Z74" i="64" s="1"/>
  <c r="N74" i="64"/>
  <c r="L74" i="64"/>
  <c r="B74" i="64"/>
  <c r="T73" i="64"/>
  <c r="P73" i="64"/>
  <c r="X73" i="64" s="1"/>
  <c r="J73" i="64"/>
  <c r="H73" i="64"/>
  <c r="D73" i="64"/>
  <c r="L73" i="64" s="1"/>
  <c r="N73" i="64" s="1"/>
  <c r="B73" i="64"/>
  <c r="Z72" i="64"/>
  <c r="X72" i="64"/>
  <c r="L72" i="64"/>
  <c r="N72" i="64" s="1"/>
  <c r="F72" i="64"/>
  <c r="B72" i="64"/>
  <c r="T71" i="64"/>
  <c r="P71" i="64"/>
  <c r="L71" i="64"/>
  <c r="N71" i="64" s="1"/>
  <c r="J71" i="64"/>
  <c r="H71" i="64"/>
  <c r="F71" i="64"/>
  <c r="D71" i="64"/>
  <c r="B71" i="64"/>
  <c r="Z70" i="64"/>
  <c r="X70" i="64"/>
  <c r="L70" i="64"/>
  <c r="N70" i="64" s="1"/>
  <c r="J70" i="64"/>
  <c r="F70" i="64"/>
  <c r="B70" i="64"/>
  <c r="Z69" i="64"/>
  <c r="X69" i="64"/>
  <c r="L69" i="64"/>
  <c r="N69" i="64" s="1"/>
  <c r="B69" i="64"/>
  <c r="X68" i="64"/>
  <c r="Z68" i="64" s="1"/>
  <c r="L68" i="64"/>
  <c r="N68" i="64" s="1"/>
  <c r="B68" i="64"/>
  <c r="T67" i="64"/>
  <c r="P67" i="64"/>
  <c r="H67" i="64"/>
  <c r="D67" i="64"/>
  <c r="L67" i="64" s="1"/>
  <c r="N67" i="64" s="1"/>
  <c r="B67" i="64"/>
  <c r="X66" i="64"/>
  <c r="Z66" i="64" s="1"/>
  <c r="L66" i="64"/>
  <c r="N66" i="64" s="1"/>
  <c r="B66" i="64"/>
  <c r="X65" i="64"/>
  <c r="Z65" i="64" s="1"/>
  <c r="L65" i="64"/>
  <c r="N65" i="64" s="1"/>
  <c r="J65" i="64"/>
  <c r="B65" i="64"/>
  <c r="X64" i="64"/>
  <c r="Z64" i="64" s="1"/>
  <c r="N64" i="64"/>
  <c r="L64" i="64"/>
  <c r="F64" i="64"/>
  <c r="B64" i="64"/>
  <c r="Z63" i="64"/>
  <c r="V63" i="64"/>
  <c r="T63" i="64"/>
  <c r="P63" i="64"/>
  <c r="X63" i="64" s="1"/>
  <c r="H63" i="64"/>
  <c r="F63" i="64"/>
  <c r="D63" i="64"/>
  <c r="L63" i="64" s="1"/>
  <c r="B63" i="64"/>
  <c r="X62" i="64"/>
  <c r="Z62" i="64" s="1"/>
  <c r="N62" i="64"/>
  <c r="L62" i="64"/>
  <c r="J62" i="64"/>
  <c r="B62" i="64"/>
  <c r="X61" i="64"/>
  <c r="Z61" i="64" s="1"/>
  <c r="V61" i="64"/>
  <c r="T61" i="64"/>
  <c r="P61" i="64"/>
  <c r="H61" i="64"/>
  <c r="D61" i="64"/>
  <c r="B61" i="64"/>
  <c r="X60" i="64"/>
  <c r="Z60" i="64" s="1"/>
  <c r="N60" i="64"/>
  <c r="L60" i="64"/>
  <c r="J60" i="64"/>
  <c r="B60" i="64"/>
  <c r="T59" i="64"/>
  <c r="P59" i="64"/>
  <c r="N59" i="64"/>
  <c r="H59" i="64"/>
  <c r="D59" i="64"/>
  <c r="L59" i="64" s="1"/>
  <c r="B59" i="64"/>
  <c r="X58" i="64"/>
  <c r="Z58" i="64" s="1"/>
  <c r="L58" i="64"/>
  <c r="N58" i="64" s="1"/>
  <c r="B58" i="64"/>
  <c r="T57" i="64"/>
  <c r="Z57" i="64" s="1"/>
  <c r="P57" i="64"/>
  <c r="X57" i="64" s="1"/>
  <c r="J57" i="64"/>
  <c r="H57" i="64"/>
  <c r="D57" i="64"/>
  <c r="L57" i="64" s="1"/>
  <c r="N57" i="64" s="1"/>
  <c r="B57" i="64"/>
  <c r="Z56" i="64"/>
  <c r="X56" i="64"/>
  <c r="L56" i="64"/>
  <c r="N56" i="64" s="1"/>
  <c r="F56" i="64"/>
  <c r="B56" i="64"/>
  <c r="T55" i="64"/>
  <c r="P55" i="64"/>
  <c r="L55" i="64"/>
  <c r="N55" i="64" s="1"/>
  <c r="J55" i="64"/>
  <c r="H55" i="64"/>
  <c r="F55" i="64"/>
  <c r="D55" i="64"/>
  <c r="B55" i="64"/>
  <c r="Z54" i="64"/>
  <c r="X54" i="64"/>
  <c r="N54" i="64"/>
  <c r="L54" i="64"/>
  <c r="J54" i="64"/>
  <c r="F54" i="64"/>
  <c r="B54" i="64"/>
  <c r="T53" i="64"/>
  <c r="P53" i="64"/>
  <c r="X53" i="64" s="1"/>
  <c r="Z53" i="64" s="1"/>
  <c r="J53" i="64"/>
  <c r="H53" i="64"/>
  <c r="N53" i="64" s="1"/>
  <c r="F53" i="64"/>
  <c r="D53" i="64"/>
  <c r="B53" i="64"/>
  <c r="X52" i="64"/>
  <c r="Z52" i="64" s="1"/>
  <c r="N52" i="64"/>
  <c r="L52" i="64"/>
  <c r="F52" i="64"/>
  <c r="B52" i="64"/>
  <c r="V51" i="64"/>
  <c r="T51" i="64"/>
  <c r="P51" i="64"/>
  <c r="X51" i="64" s="1"/>
  <c r="Z51" i="64" s="1"/>
  <c r="H51" i="64"/>
  <c r="N51" i="64" s="1"/>
  <c r="F51" i="64"/>
  <c r="D51" i="64"/>
  <c r="L51" i="64" s="1"/>
  <c r="B51" i="64"/>
  <c r="X50" i="64"/>
  <c r="Z50" i="64" s="1"/>
  <c r="N50" i="64"/>
  <c r="L50" i="64"/>
  <c r="J50" i="64"/>
  <c r="B50" i="64"/>
  <c r="X49" i="64"/>
  <c r="Z49" i="64" s="1"/>
  <c r="V49" i="64"/>
  <c r="T49" i="64"/>
  <c r="P49" i="64"/>
  <c r="H49" i="64"/>
  <c r="D49" i="64"/>
  <c r="B49" i="64"/>
  <c r="X48" i="64"/>
  <c r="Z48" i="64" s="1"/>
  <c r="L48" i="64"/>
  <c r="N48" i="64" s="1"/>
  <c r="J48" i="64"/>
  <c r="B48" i="64"/>
  <c r="X47" i="64"/>
  <c r="Z47" i="64" s="1"/>
  <c r="N47" i="64"/>
  <c r="L47" i="64"/>
  <c r="J47" i="64"/>
  <c r="B47" i="64"/>
  <c r="T46" i="64"/>
  <c r="P46" i="64"/>
  <c r="X46" i="64" s="1"/>
  <c r="Z46" i="64" s="1"/>
  <c r="L46" i="64"/>
  <c r="H46" i="64"/>
  <c r="D46" i="64"/>
  <c r="B46" i="64"/>
  <c r="X45" i="64"/>
  <c r="Z45" i="64" s="1"/>
  <c r="L45" i="64"/>
  <c r="N45" i="64" s="1"/>
  <c r="J45" i="64"/>
  <c r="B45" i="64"/>
  <c r="X44" i="64"/>
  <c r="Z44" i="64" s="1"/>
  <c r="N44" i="64"/>
  <c r="L44" i="64"/>
  <c r="F44" i="64"/>
  <c r="B44" i="64"/>
  <c r="V43" i="64"/>
  <c r="T43" i="64"/>
  <c r="P43" i="64"/>
  <c r="X43" i="64" s="1"/>
  <c r="Z43" i="64" s="1"/>
  <c r="H43" i="64"/>
  <c r="F43" i="64"/>
  <c r="D43" i="64"/>
  <c r="L43" i="64" s="1"/>
  <c r="B43" i="64"/>
  <c r="X42" i="64"/>
  <c r="Z42" i="64" s="1"/>
  <c r="N42" i="64"/>
  <c r="L42" i="64"/>
  <c r="J42" i="64"/>
  <c r="B42" i="64"/>
  <c r="X41" i="64"/>
  <c r="Z41" i="64" s="1"/>
  <c r="V41" i="64"/>
  <c r="T41" i="64"/>
  <c r="P41" i="64"/>
  <c r="H41" i="64"/>
  <c r="D41" i="64"/>
  <c r="B41" i="64"/>
  <c r="Z40" i="64"/>
  <c r="X40" i="64"/>
  <c r="N40" i="64"/>
  <c r="L40" i="64"/>
  <c r="J40" i="64"/>
  <c r="B40" i="64"/>
  <c r="X39" i="64"/>
  <c r="Z39" i="64" s="1"/>
  <c r="N39" i="64"/>
  <c r="L39" i="64"/>
  <c r="J39" i="64"/>
  <c r="B39" i="64"/>
  <c r="T38" i="64"/>
  <c r="P38" i="64"/>
  <c r="X38" i="64" s="1"/>
  <c r="Z38" i="64" s="1"/>
  <c r="L38" i="64"/>
  <c r="H38" i="64"/>
  <c r="D38" i="64"/>
  <c r="B38" i="64"/>
  <c r="X37" i="64"/>
  <c r="Z37" i="64" s="1"/>
  <c r="L37" i="64"/>
  <c r="N37" i="64" s="1"/>
  <c r="J37" i="64"/>
  <c r="B37" i="64"/>
  <c r="X36" i="64"/>
  <c r="Z36" i="64" s="1"/>
  <c r="T36" i="64"/>
  <c r="P36" i="64"/>
  <c r="J36" i="64"/>
  <c r="H36" i="64"/>
  <c r="D36" i="64"/>
  <c r="B36" i="64"/>
  <c r="X35" i="64"/>
  <c r="Z35" i="64" s="1"/>
  <c r="L35" i="64"/>
  <c r="N35" i="64" s="1"/>
  <c r="J35" i="64"/>
  <c r="F35" i="64"/>
  <c r="B35" i="64"/>
  <c r="X34" i="64"/>
  <c r="Z34" i="64" s="1"/>
  <c r="N34" i="64"/>
  <c r="L34" i="64"/>
  <c r="J34" i="64"/>
  <c r="B34" i="64"/>
  <c r="X33" i="64"/>
  <c r="Z33" i="64" s="1"/>
  <c r="V33" i="64"/>
  <c r="N33" i="64"/>
  <c r="L33" i="64"/>
  <c r="J33" i="64"/>
  <c r="F33" i="64"/>
  <c r="B33" i="64"/>
  <c r="Z32" i="64"/>
  <c r="X32" i="64"/>
  <c r="L32" i="64"/>
  <c r="N32" i="64" s="1"/>
  <c r="F32" i="64"/>
  <c r="B32" i="64"/>
  <c r="X31" i="64"/>
  <c r="Z31" i="64" s="1"/>
  <c r="L31" i="64"/>
  <c r="N31" i="64" s="1"/>
  <c r="J31" i="64"/>
  <c r="F31" i="64"/>
  <c r="B31" i="64"/>
  <c r="X30" i="64"/>
  <c r="Z30" i="64" s="1"/>
  <c r="N30" i="64"/>
  <c r="L30" i="64"/>
  <c r="J30" i="64"/>
  <c r="B30" i="64"/>
  <c r="X29" i="64"/>
  <c r="Z29" i="64" s="1"/>
  <c r="V29" i="64"/>
  <c r="N29" i="64"/>
  <c r="L29" i="64"/>
  <c r="J29" i="64"/>
  <c r="F29" i="64"/>
  <c r="B29" i="64"/>
  <c r="T28" i="64"/>
  <c r="P28" i="64"/>
  <c r="X28" i="64" s="1"/>
  <c r="L28" i="64"/>
  <c r="H28" i="64"/>
  <c r="F28" i="64"/>
  <c r="D28" i="64"/>
  <c r="B28" i="64"/>
  <c r="X27" i="64"/>
  <c r="Z27" i="64" s="1"/>
  <c r="N27" i="64"/>
  <c r="L27" i="64"/>
  <c r="J27" i="64"/>
  <c r="B27" i="64"/>
  <c r="Z26" i="64"/>
  <c r="X26" i="64"/>
  <c r="L26" i="64"/>
  <c r="N26" i="64" s="1"/>
  <c r="J26" i="64"/>
  <c r="F26" i="64"/>
  <c r="B26" i="64"/>
  <c r="Z25" i="64"/>
  <c r="X25" i="64"/>
  <c r="L25" i="64"/>
  <c r="N25" i="64" s="1"/>
  <c r="B25" i="64"/>
  <c r="X24" i="64"/>
  <c r="Z24" i="64" s="1"/>
  <c r="L24" i="64"/>
  <c r="N24" i="64" s="1"/>
  <c r="J24" i="64"/>
  <c r="B24" i="64"/>
  <c r="X23" i="64"/>
  <c r="Z23" i="64" s="1"/>
  <c r="N23" i="64"/>
  <c r="L23" i="64"/>
  <c r="J23" i="64"/>
  <c r="B23" i="64"/>
  <c r="Z22" i="64"/>
  <c r="X22" i="64"/>
  <c r="L22" i="64"/>
  <c r="N22" i="64" s="1"/>
  <c r="J22" i="64"/>
  <c r="F22" i="64"/>
  <c r="B22" i="64"/>
  <c r="Z21" i="64"/>
  <c r="X21" i="64"/>
  <c r="L21" i="64"/>
  <c r="N21" i="64" s="1"/>
  <c r="B21" i="64"/>
  <c r="X20" i="64"/>
  <c r="Z20" i="64" s="1"/>
  <c r="L20" i="64"/>
  <c r="N20" i="64" s="1"/>
  <c r="J20" i="64"/>
  <c r="B20" i="64"/>
  <c r="T19" i="64"/>
  <c r="P19" i="64"/>
  <c r="N19" i="64"/>
  <c r="J19" i="64"/>
  <c r="H19" i="64"/>
  <c r="D19" i="64"/>
  <c r="L19" i="64" s="1"/>
  <c r="B19" i="64"/>
  <c r="T18" i="64"/>
  <c r="P18" i="64"/>
  <c r="X18" i="64" s="1"/>
  <c r="L18" i="64"/>
  <c r="J18" i="64"/>
  <c r="H18" i="64"/>
  <c r="N18" i="64" s="1"/>
  <c r="F18" i="64"/>
  <c r="D18" i="64"/>
  <c r="T16" i="64"/>
  <c r="J16" i="64"/>
  <c r="F16" i="64"/>
  <c r="T14" i="64"/>
  <c r="Z14" i="64" s="1"/>
  <c r="P14" i="64"/>
  <c r="J14" i="64"/>
  <c r="H14" i="64"/>
  <c r="N14" i="64" s="1"/>
  <c r="F14" i="64"/>
  <c r="D14" i="64"/>
  <c r="T12" i="64"/>
  <c r="V68" i="64" s="1"/>
  <c r="P12" i="64"/>
  <c r="L12" i="64"/>
  <c r="H12" i="64"/>
  <c r="J67" i="64" s="1"/>
  <c r="D12" i="64"/>
  <c r="F95" i="64" s="1"/>
  <c r="D6" i="64"/>
  <c r="D4" i="64"/>
  <c r="F58" i="61"/>
  <c r="F55" i="61"/>
  <c r="Z53" i="61"/>
  <c r="X53" i="61"/>
  <c r="N53" i="61"/>
  <c r="L53" i="61"/>
  <c r="F53" i="61"/>
  <c r="J51" i="61"/>
  <c r="T49" i="61"/>
  <c r="Z49" i="61" s="1"/>
  <c r="P49" i="61"/>
  <c r="J49" i="61"/>
  <c r="H49" i="61"/>
  <c r="N49" i="61" s="1"/>
  <c r="D49" i="61"/>
  <c r="X47" i="61"/>
  <c r="Z47" i="61" s="1"/>
  <c r="N47" i="61"/>
  <c r="L47" i="61"/>
  <c r="F47" i="61"/>
  <c r="B47" i="61"/>
  <c r="T46" i="61"/>
  <c r="P46" i="61"/>
  <c r="X46" i="61" s="1"/>
  <c r="Z46" i="61" s="1"/>
  <c r="H46" i="61"/>
  <c r="F46" i="61"/>
  <c r="D46" i="61"/>
  <c r="L46" i="61" s="1"/>
  <c r="N46" i="61" s="1"/>
  <c r="B46" i="61"/>
  <c r="X45" i="61"/>
  <c r="Z45" i="61" s="1"/>
  <c r="N45" i="61"/>
  <c r="L45" i="61"/>
  <c r="B45" i="61"/>
  <c r="X44" i="61"/>
  <c r="Z44" i="61" s="1"/>
  <c r="T44" i="61"/>
  <c r="P44" i="61"/>
  <c r="H44" i="61"/>
  <c r="D44" i="61"/>
  <c r="B44" i="61"/>
  <c r="Z43" i="61"/>
  <c r="X43" i="61"/>
  <c r="N43" i="61"/>
  <c r="L43" i="61"/>
  <c r="F43" i="61"/>
  <c r="B43" i="61"/>
  <c r="X42" i="61"/>
  <c r="Z42" i="61" s="1"/>
  <c r="R42" i="61"/>
  <c r="N42" i="61"/>
  <c r="L42" i="61"/>
  <c r="B42" i="61"/>
  <c r="T41" i="61"/>
  <c r="P41" i="61"/>
  <c r="X41" i="61" s="1"/>
  <c r="Z41" i="61" s="1"/>
  <c r="N41" i="61"/>
  <c r="H41" i="61"/>
  <c r="L41" i="61" s="1"/>
  <c r="D41" i="61"/>
  <c r="B41" i="61"/>
  <c r="Z40" i="61"/>
  <c r="X40" i="61"/>
  <c r="N40" i="61"/>
  <c r="L40" i="61"/>
  <c r="J40" i="61"/>
  <c r="B40" i="61"/>
  <c r="T39" i="61"/>
  <c r="Z39" i="61" s="1"/>
  <c r="P39" i="61"/>
  <c r="J39" i="61"/>
  <c r="H39" i="61"/>
  <c r="N39" i="61" s="1"/>
  <c r="D39" i="61"/>
  <c r="L39" i="61" s="1"/>
  <c r="B39" i="61"/>
  <c r="X38" i="61"/>
  <c r="Z38" i="61" s="1"/>
  <c r="L38" i="61"/>
  <c r="N38" i="61" s="1"/>
  <c r="F38" i="61"/>
  <c r="B38" i="61"/>
  <c r="X37" i="61"/>
  <c r="T37" i="61"/>
  <c r="Z37" i="61" s="1"/>
  <c r="P37" i="61"/>
  <c r="H37" i="61"/>
  <c r="F37" i="61"/>
  <c r="D37" i="61"/>
  <c r="L37" i="61" s="1"/>
  <c r="B37" i="61"/>
  <c r="Z36" i="61"/>
  <c r="X36" i="61"/>
  <c r="L36" i="61"/>
  <c r="N36" i="61" s="1"/>
  <c r="B36" i="61"/>
  <c r="T35" i="61"/>
  <c r="P35" i="61"/>
  <c r="H35" i="61"/>
  <c r="D35" i="61"/>
  <c r="L35" i="61" s="1"/>
  <c r="N35" i="61" s="1"/>
  <c r="B35" i="61"/>
  <c r="Z34" i="61"/>
  <c r="X34" i="61"/>
  <c r="N34" i="61"/>
  <c r="L34" i="61"/>
  <c r="F34" i="61"/>
  <c r="B34" i="61"/>
  <c r="X33" i="61"/>
  <c r="Z33" i="61" s="1"/>
  <c r="L33" i="61"/>
  <c r="N33" i="61" s="1"/>
  <c r="F33" i="61"/>
  <c r="B33" i="61"/>
  <c r="X32" i="61"/>
  <c r="Z32" i="61" s="1"/>
  <c r="N32" i="61"/>
  <c r="L32" i="61"/>
  <c r="J32" i="61"/>
  <c r="B32" i="61"/>
  <c r="X31" i="61"/>
  <c r="Z31" i="61" s="1"/>
  <c r="N31" i="61"/>
  <c r="L31" i="61"/>
  <c r="F31" i="61"/>
  <c r="B31" i="61"/>
  <c r="Z30" i="61"/>
  <c r="X30" i="61"/>
  <c r="N30" i="61"/>
  <c r="L30" i="61"/>
  <c r="F30" i="61"/>
  <c r="B30" i="61"/>
  <c r="X29" i="61"/>
  <c r="Z29" i="61" s="1"/>
  <c r="L29" i="61"/>
  <c r="N29" i="61" s="1"/>
  <c r="F29" i="61"/>
  <c r="B29" i="61"/>
  <c r="T28" i="61"/>
  <c r="P28" i="61"/>
  <c r="X28" i="61" s="1"/>
  <c r="Z28" i="61" s="1"/>
  <c r="J28" i="61"/>
  <c r="H28" i="61"/>
  <c r="F28" i="61"/>
  <c r="D28" i="61"/>
  <c r="L28" i="61" s="1"/>
  <c r="N28" i="61" s="1"/>
  <c r="B28" i="61"/>
  <c r="Z27" i="61"/>
  <c r="X27" i="61"/>
  <c r="N27" i="61"/>
  <c r="L27" i="61"/>
  <c r="F27" i="61"/>
  <c r="B27" i="61"/>
  <c r="X26" i="61"/>
  <c r="Z26" i="61" s="1"/>
  <c r="L26" i="61"/>
  <c r="N26" i="61" s="1"/>
  <c r="J26" i="61"/>
  <c r="F26" i="61"/>
  <c r="B26" i="61"/>
  <c r="X25" i="61"/>
  <c r="Z25" i="61" s="1"/>
  <c r="N25" i="61"/>
  <c r="L25" i="61"/>
  <c r="B25" i="61"/>
  <c r="X24" i="61"/>
  <c r="Z24" i="61" s="1"/>
  <c r="N24" i="61"/>
  <c r="L24" i="61"/>
  <c r="F24" i="61"/>
  <c r="B24" i="61"/>
  <c r="Z23" i="61"/>
  <c r="X23" i="61"/>
  <c r="L23" i="61"/>
  <c r="N23" i="61" s="1"/>
  <c r="F23" i="61"/>
  <c r="B23" i="61"/>
  <c r="X22" i="61"/>
  <c r="Z22" i="61" s="1"/>
  <c r="L22" i="61"/>
  <c r="N22" i="61" s="1"/>
  <c r="J22" i="61"/>
  <c r="F22" i="61"/>
  <c r="B22" i="61"/>
  <c r="X21" i="61"/>
  <c r="Z21" i="61" s="1"/>
  <c r="N21" i="61"/>
  <c r="L21" i="61"/>
  <c r="B21" i="61"/>
  <c r="X20" i="61"/>
  <c r="Z20" i="61" s="1"/>
  <c r="N20" i="61"/>
  <c r="L20" i="61"/>
  <c r="F20" i="61"/>
  <c r="B20" i="61"/>
  <c r="T19" i="61"/>
  <c r="P19" i="61"/>
  <c r="L19" i="61"/>
  <c r="H19" i="61"/>
  <c r="F19" i="61"/>
  <c r="D19" i="61"/>
  <c r="B19" i="61"/>
  <c r="T18" i="61"/>
  <c r="P18" i="61"/>
  <c r="H18" i="61"/>
  <c r="F18" i="61"/>
  <c r="D18" i="61"/>
  <c r="L18" i="61" s="1"/>
  <c r="N18" i="61" s="1"/>
  <c r="R16" i="61"/>
  <c r="F16" i="61"/>
  <c r="T14" i="61"/>
  <c r="P14" i="61"/>
  <c r="N14" i="61"/>
  <c r="H14" i="61"/>
  <c r="F14" i="61"/>
  <c r="D14" i="61"/>
  <c r="L14" i="61" s="1"/>
  <c r="T12" i="61"/>
  <c r="P12" i="61"/>
  <c r="N12" i="61"/>
  <c r="H12" i="61"/>
  <c r="D12" i="61"/>
  <c r="F42" i="61" s="1"/>
  <c r="D6" i="61"/>
  <c r="D4" i="61"/>
  <c r="R56" i="60"/>
  <c r="R53" i="60"/>
  <c r="Z51" i="60"/>
  <c r="X51" i="60"/>
  <c r="N51" i="60"/>
  <c r="L51" i="60"/>
  <c r="R49" i="60"/>
  <c r="F49" i="60"/>
  <c r="Z47" i="60"/>
  <c r="T47" i="60"/>
  <c r="R47" i="60"/>
  <c r="P47" i="60"/>
  <c r="X47" i="60" s="1"/>
  <c r="H47" i="60"/>
  <c r="F47" i="60"/>
  <c r="D47" i="60"/>
  <c r="Z45" i="60"/>
  <c r="X45" i="60"/>
  <c r="R45" i="60"/>
  <c r="N45" i="60"/>
  <c r="L45" i="60"/>
  <c r="B45" i="60"/>
  <c r="T44" i="60"/>
  <c r="P44" i="60"/>
  <c r="N44" i="60"/>
  <c r="H44" i="60"/>
  <c r="D44" i="60"/>
  <c r="L44" i="60" s="1"/>
  <c r="B44" i="60"/>
  <c r="Z43" i="60"/>
  <c r="X43" i="60"/>
  <c r="V43" i="60"/>
  <c r="L43" i="60"/>
  <c r="N43" i="60" s="1"/>
  <c r="F43" i="60"/>
  <c r="B43" i="60"/>
  <c r="T42" i="60"/>
  <c r="P42" i="60"/>
  <c r="X42" i="60" s="1"/>
  <c r="H42" i="60"/>
  <c r="F42" i="60"/>
  <c r="D42" i="60"/>
  <c r="B42" i="60"/>
  <c r="Z41" i="60"/>
  <c r="X41" i="60"/>
  <c r="N41" i="60"/>
  <c r="L41" i="60"/>
  <c r="B41" i="60"/>
  <c r="Z40" i="60"/>
  <c r="X40" i="60"/>
  <c r="R40" i="60"/>
  <c r="N40" i="60"/>
  <c r="L40" i="60"/>
  <c r="B40" i="60"/>
  <c r="T39" i="60"/>
  <c r="P39" i="60"/>
  <c r="N39" i="60"/>
  <c r="L39" i="60"/>
  <c r="H39" i="60"/>
  <c r="F39" i="60"/>
  <c r="D39" i="60"/>
  <c r="B39" i="60"/>
  <c r="Z38" i="60"/>
  <c r="X38" i="60"/>
  <c r="V38" i="60"/>
  <c r="L38" i="60"/>
  <c r="N38" i="60" s="1"/>
  <c r="F38" i="60"/>
  <c r="B38" i="60"/>
  <c r="T37" i="60"/>
  <c r="R37" i="60"/>
  <c r="P37" i="60"/>
  <c r="X37" i="60" s="1"/>
  <c r="Z37" i="60" s="1"/>
  <c r="H37" i="60"/>
  <c r="D37" i="60"/>
  <c r="B37" i="60"/>
  <c r="X36" i="60"/>
  <c r="Z36" i="60" s="1"/>
  <c r="R36" i="60"/>
  <c r="N36" i="60"/>
  <c r="L36" i="60"/>
  <c r="F36" i="60"/>
  <c r="B36" i="60"/>
  <c r="Z35" i="60"/>
  <c r="X35" i="60"/>
  <c r="V35" i="60"/>
  <c r="L35" i="60"/>
  <c r="N35" i="60" s="1"/>
  <c r="F35" i="60"/>
  <c r="B35" i="60"/>
  <c r="T34" i="60"/>
  <c r="P34" i="60"/>
  <c r="X34" i="60" s="1"/>
  <c r="H34" i="60"/>
  <c r="F34" i="60"/>
  <c r="D34" i="60"/>
  <c r="B34" i="60"/>
  <c r="Z33" i="60"/>
  <c r="X33" i="60"/>
  <c r="V33" i="60"/>
  <c r="N33" i="60"/>
  <c r="L33" i="60"/>
  <c r="B33" i="60"/>
  <c r="T32" i="60"/>
  <c r="Z32" i="60" s="1"/>
  <c r="R32" i="60"/>
  <c r="P32" i="60"/>
  <c r="X32" i="60" s="1"/>
  <c r="L32" i="60"/>
  <c r="H32" i="60"/>
  <c r="N32" i="60" s="1"/>
  <c r="D32" i="60"/>
  <c r="B32" i="60"/>
  <c r="X31" i="60"/>
  <c r="Z31" i="60" s="1"/>
  <c r="R31" i="60"/>
  <c r="N31" i="60"/>
  <c r="L31" i="60"/>
  <c r="B31" i="60"/>
  <c r="T30" i="60"/>
  <c r="P30" i="60"/>
  <c r="X30" i="60" s="1"/>
  <c r="Z30" i="60" s="1"/>
  <c r="N30" i="60"/>
  <c r="H30" i="60"/>
  <c r="L30" i="60" s="1"/>
  <c r="D30" i="60"/>
  <c r="B30" i="60"/>
  <c r="X29" i="60"/>
  <c r="Z29" i="60" s="1"/>
  <c r="L29" i="60"/>
  <c r="N29" i="60" s="1"/>
  <c r="B29" i="60"/>
  <c r="T28" i="60"/>
  <c r="R28" i="60"/>
  <c r="P28" i="60"/>
  <c r="H28" i="60"/>
  <c r="D28" i="60"/>
  <c r="L28" i="60" s="1"/>
  <c r="B28" i="60"/>
  <c r="X27" i="60"/>
  <c r="Z27" i="60" s="1"/>
  <c r="R27" i="60"/>
  <c r="L27" i="60"/>
  <c r="N27" i="60" s="1"/>
  <c r="F27" i="60"/>
  <c r="B27" i="60"/>
  <c r="X26" i="60"/>
  <c r="Z26" i="60" s="1"/>
  <c r="R26" i="60"/>
  <c r="N26" i="60"/>
  <c r="L26" i="60"/>
  <c r="B26" i="60"/>
  <c r="X25" i="60"/>
  <c r="Z25" i="60" s="1"/>
  <c r="V25" i="60"/>
  <c r="N25" i="60"/>
  <c r="L25" i="60"/>
  <c r="B25" i="60"/>
  <c r="Z24" i="60"/>
  <c r="X24" i="60"/>
  <c r="R24" i="60"/>
  <c r="N24" i="60"/>
  <c r="L24" i="60"/>
  <c r="F24" i="60"/>
  <c r="B24" i="60"/>
  <c r="X23" i="60"/>
  <c r="Z23" i="60" s="1"/>
  <c r="R23" i="60"/>
  <c r="L23" i="60"/>
  <c r="N23" i="60" s="1"/>
  <c r="F23" i="60"/>
  <c r="B23" i="60"/>
  <c r="X22" i="60"/>
  <c r="Z22" i="60" s="1"/>
  <c r="R22" i="60"/>
  <c r="N22" i="60"/>
  <c r="L22" i="60"/>
  <c r="B22" i="60"/>
  <c r="X21" i="60"/>
  <c r="Z21" i="60" s="1"/>
  <c r="N21" i="60"/>
  <c r="L21" i="60"/>
  <c r="F21" i="60"/>
  <c r="B21" i="60"/>
  <c r="Z20" i="60"/>
  <c r="X20" i="60"/>
  <c r="R20" i="60"/>
  <c r="N20" i="60"/>
  <c r="L20" i="60"/>
  <c r="F20" i="60"/>
  <c r="B20" i="60"/>
  <c r="T19" i="60"/>
  <c r="P19" i="60"/>
  <c r="N19" i="60"/>
  <c r="L19" i="60"/>
  <c r="H19" i="60"/>
  <c r="F19" i="60"/>
  <c r="D19" i="60"/>
  <c r="B19" i="60"/>
  <c r="V18" i="60"/>
  <c r="T18" i="60"/>
  <c r="R18" i="60"/>
  <c r="P18" i="60"/>
  <c r="X18" i="60" s="1"/>
  <c r="Z18" i="60" s="1"/>
  <c r="N18" i="60"/>
  <c r="H18" i="60"/>
  <c r="L18" i="60" s="1"/>
  <c r="D18" i="60"/>
  <c r="R16" i="60"/>
  <c r="P16" i="60"/>
  <c r="P49" i="60" s="1"/>
  <c r="P53" i="60" s="1"/>
  <c r="Z14" i="60"/>
  <c r="V14" i="60"/>
  <c r="T14" i="60"/>
  <c r="R14" i="60"/>
  <c r="P14" i="60"/>
  <c r="X14" i="60" s="1"/>
  <c r="L14" i="60"/>
  <c r="H14" i="60"/>
  <c r="N14" i="60" s="1"/>
  <c r="D14" i="60"/>
  <c r="Z12" i="60"/>
  <c r="T12" i="60"/>
  <c r="P12" i="60"/>
  <c r="R44" i="60" s="1"/>
  <c r="H12" i="60"/>
  <c r="J37" i="60" s="1"/>
  <c r="D12" i="60"/>
  <c r="D6" i="60"/>
  <c r="D4" i="60"/>
  <c r="V71" i="59"/>
  <c r="V68" i="59"/>
  <c r="R68" i="59"/>
  <c r="Z66" i="59"/>
  <c r="X66" i="59"/>
  <c r="V66" i="59"/>
  <c r="N66" i="59"/>
  <c r="L66" i="59"/>
  <c r="F66" i="59"/>
  <c r="T64" i="59"/>
  <c r="J64" i="59"/>
  <c r="X62" i="59"/>
  <c r="T62" i="59"/>
  <c r="Z62" i="59" s="1"/>
  <c r="P62" i="59"/>
  <c r="N62" i="59"/>
  <c r="H62" i="59"/>
  <c r="D62" i="59"/>
  <c r="L62" i="59" s="1"/>
  <c r="Z60" i="59"/>
  <c r="X60" i="59"/>
  <c r="R60" i="59"/>
  <c r="N60" i="59"/>
  <c r="L60" i="59"/>
  <c r="B60" i="59"/>
  <c r="X59" i="59"/>
  <c r="Z59" i="59" s="1"/>
  <c r="V59" i="59"/>
  <c r="N59" i="59"/>
  <c r="L59" i="59"/>
  <c r="J59" i="59"/>
  <c r="B59" i="59"/>
  <c r="Z58" i="59"/>
  <c r="V58" i="59"/>
  <c r="T58" i="59"/>
  <c r="P58" i="59"/>
  <c r="X58" i="59" s="1"/>
  <c r="H58" i="59"/>
  <c r="N58" i="59" s="1"/>
  <c r="D58" i="59"/>
  <c r="B58" i="59"/>
  <c r="X57" i="59"/>
  <c r="Z57" i="59" s="1"/>
  <c r="N57" i="59"/>
  <c r="L57" i="59"/>
  <c r="J57" i="59"/>
  <c r="B57" i="59"/>
  <c r="V56" i="59"/>
  <c r="T56" i="59"/>
  <c r="P56" i="59"/>
  <c r="H56" i="59"/>
  <c r="D56" i="59"/>
  <c r="L56" i="59" s="1"/>
  <c r="B56" i="59"/>
  <c r="X55" i="59"/>
  <c r="Z55" i="59" s="1"/>
  <c r="R55" i="59"/>
  <c r="L55" i="59"/>
  <c r="N55" i="59" s="1"/>
  <c r="F55" i="59"/>
  <c r="B55" i="59"/>
  <c r="X54" i="59"/>
  <c r="Z54" i="59" s="1"/>
  <c r="N54" i="59"/>
  <c r="L54" i="59"/>
  <c r="J54" i="59"/>
  <c r="B54" i="59"/>
  <c r="Z53" i="59"/>
  <c r="X53" i="59"/>
  <c r="V53" i="59"/>
  <c r="T53" i="59"/>
  <c r="P53" i="59"/>
  <c r="H53" i="59"/>
  <c r="D53" i="59"/>
  <c r="B53" i="59"/>
  <c r="Z52" i="59"/>
  <c r="X52" i="59"/>
  <c r="R52" i="59"/>
  <c r="L52" i="59"/>
  <c r="N52" i="59" s="1"/>
  <c r="J52" i="59"/>
  <c r="B52" i="59"/>
  <c r="X51" i="59"/>
  <c r="Z51" i="59" s="1"/>
  <c r="V51" i="59"/>
  <c r="N51" i="59"/>
  <c r="L51" i="59"/>
  <c r="B51" i="59"/>
  <c r="Z50" i="59"/>
  <c r="V50" i="59"/>
  <c r="T50" i="59"/>
  <c r="P50" i="59"/>
  <c r="X50" i="59" s="1"/>
  <c r="H50" i="59"/>
  <c r="L50" i="59" s="1"/>
  <c r="N50" i="59" s="1"/>
  <c r="D50" i="59"/>
  <c r="B50" i="59"/>
  <c r="X49" i="59"/>
  <c r="Z49" i="59" s="1"/>
  <c r="N49" i="59"/>
  <c r="L49" i="59"/>
  <c r="J49" i="59"/>
  <c r="B49" i="59"/>
  <c r="X48" i="59"/>
  <c r="Z48" i="59" s="1"/>
  <c r="V48" i="59"/>
  <c r="N48" i="59"/>
  <c r="L48" i="59"/>
  <c r="F48" i="59"/>
  <c r="B48" i="59"/>
  <c r="Z47" i="59"/>
  <c r="X47" i="59"/>
  <c r="V47" i="59"/>
  <c r="L47" i="59"/>
  <c r="N47" i="59" s="1"/>
  <c r="F47" i="59"/>
  <c r="B47" i="59"/>
  <c r="X46" i="59"/>
  <c r="Z46" i="59" s="1"/>
  <c r="V46" i="59"/>
  <c r="L46" i="59"/>
  <c r="N46" i="59" s="1"/>
  <c r="B46" i="59"/>
  <c r="T45" i="59"/>
  <c r="R45" i="59"/>
  <c r="P45" i="59"/>
  <c r="X45" i="59" s="1"/>
  <c r="Z45" i="59" s="1"/>
  <c r="N45" i="59"/>
  <c r="J45" i="59"/>
  <c r="H45" i="59"/>
  <c r="D45" i="59"/>
  <c r="L45" i="59" s="1"/>
  <c r="B45" i="59"/>
  <c r="Z44" i="59"/>
  <c r="X44" i="59"/>
  <c r="L44" i="59"/>
  <c r="N44" i="59" s="1"/>
  <c r="F44" i="59"/>
  <c r="B44" i="59"/>
  <c r="V43" i="59"/>
  <c r="T43" i="59"/>
  <c r="X43" i="59" s="1"/>
  <c r="P43" i="59"/>
  <c r="N43" i="59"/>
  <c r="L43" i="59"/>
  <c r="H43" i="59"/>
  <c r="F43" i="59"/>
  <c r="D43" i="59"/>
  <c r="B43" i="59"/>
  <c r="Z42" i="59"/>
  <c r="X42" i="59"/>
  <c r="V42" i="59"/>
  <c r="N42" i="59"/>
  <c r="L42" i="59"/>
  <c r="J42" i="59"/>
  <c r="F42" i="59"/>
  <c r="B42" i="59"/>
  <c r="T41" i="59"/>
  <c r="P41" i="59"/>
  <c r="X41" i="59" s="1"/>
  <c r="Z41" i="59" s="1"/>
  <c r="H41" i="59"/>
  <c r="F41" i="59"/>
  <c r="D41" i="59"/>
  <c r="B41" i="59"/>
  <c r="X40" i="59"/>
  <c r="Z40" i="59" s="1"/>
  <c r="V40" i="59"/>
  <c r="N40" i="59"/>
  <c r="L40" i="59"/>
  <c r="F40" i="59"/>
  <c r="B40" i="59"/>
  <c r="Z39" i="59"/>
  <c r="X39" i="59"/>
  <c r="V39" i="59"/>
  <c r="L39" i="59"/>
  <c r="N39" i="59" s="1"/>
  <c r="F39" i="59"/>
  <c r="B39" i="59"/>
  <c r="V38" i="59"/>
  <c r="T38" i="59"/>
  <c r="P38" i="59"/>
  <c r="X38" i="59" s="1"/>
  <c r="H38" i="59"/>
  <c r="F38" i="59"/>
  <c r="D38" i="59"/>
  <c r="B38" i="59"/>
  <c r="X37" i="59"/>
  <c r="Z37" i="59" s="1"/>
  <c r="V37" i="59"/>
  <c r="N37" i="59"/>
  <c r="L37" i="59"/>
  <c r="F37" i="59"/>
  <c r="B37" i="59"/>
  <c r="T36" i="59"/>
  <c r="R36" i="59"/>
  <c r="P36" i="59"/>
  <c r="X36" i="59" s="1"/>
  <c r="H36" i="59"/>
  <c r="F36" i="59"/>
  <c r="D36" i="59"/>
  <c r="L36" i="59" s="1"/>
  <c r="B36" i="59"/>
  <c r="Z35" i="59"/>
  <c r="X35" i="59"/>
  <c r="V35" i="59"/>
  <c r="R35" i="59"/>
  <c r="N35" i="59"/>
  <c r="L35" i="59"/>
  <c r="J35" i="59"/>
  <c r="B35" i="59"/>
  <c r="Z34" i="59"/>
  <c r="X34" i="59"/>
  <c r="V34" i="59"/>
  <c r="L34" i="59"/>
  <c r="N34" i="59" s="1"/>
  <c r="F34" i="59"/>
  <c r="B34" i="59"/>
  <c r="Z33" i="59"/>
  <c r="X33" i="59"/>
  <c r="V33" i="59"/>
  <c r="R33" i="59"/>
  <c r="L33" i="59"/>
  <c r="N33" i="59" s="1"/>
  <c r="B33" i="59"/>
  <c r="X32" i="59"/>
  <c r="Z32" i="59" s="1"/>
  <c r="L32" i="59"/>
  <c r="N32" i="59" s="1"/>
  <c r="F32" i="59"/>
  <c r="B32" i="59"/>
  <c r="X31" i="59"/>
  <c r="Z31" i="59" s="1"/>
  <c r="V31" i="59"/>
  <c r="N31" i="59"/>
  <c r="L31" i="59"/>
  <c r="B31" i="59"/>
  <c r="V30" i="59"/>
  <c r="T30" i="59"/>
  <c r="P30" i="59"/>
  <c r="X30" i="59" s="1"/>
  <c r="Z30" i="59" s="1"/>
  <c r="N30" i="59"/>
  <c r="L30" i="59"/>
  <c r="H30" i="59"/>
  <c r="D30" i="59"/>
  <c r="B30" i="59"/>
  <c r="X29" i="59"/>
  <c r="Z29" i="59" s="1"/>
  <c r="L29" i="59"/>
  <c r="N29" i="59" s="1"/>
  <c r="B29" i="59"/>
  <c r="X28" i="59"/>
  <c r="Z28" i="59" s="1"/>
  <c r="V28" i="59"/>
  <c r="R28" i="59"/>
  <c r="N28" i="59"/>
  <c r="L28" i="59"/>
  <c r="F28" i="59"/>
  <c r="B28" i="59"/>
  <c r="Z27" i="59"/>
  <c r="X27" i="59"/>
  <c r="V27" i="59"/>
  <c r="N27" i="59"/>
  <c r="L27" i="59"/>
  <c r="J27" i="59"/>
  <c r="F27" i="59"/>
  <c r="B27" i="59"/>
  <c r="Z26" i="59"/>
  <c r="X26" i="59"/>
  <c r="V26" i="59"/>
  <c r="N26" i="59"/>
  <c r="L26" i="59"/>
  <c r="F26" i="59"/>
  <c r="B26" i="59"/>
  <c r="Z25" i="59"/>
  <c r="X25" i="59"/>
  <c r="N25" i="59"/>
  <c r="L25" i="59"/>
  <c r="B25" i="59"/>
  <c r="X24" i="59"/>
  <c r="Z24" i="59" s="1"/>
  <c r="V24" i="59"/>
  <c r="R24" i="59"/>
  <c r="N24" i="59"/>
  <c r="L24" i="59"/>
  <c r="F24" i="59"/>
  <c r="B24" i="59"/>
  <c r="Z23" i="59"/>
  <c r="X23" i="59"/>
  <c r="V23" i="59"/>
  <c r="L23" i="59"/>
  <c r="N23" i="59" s="1"/>
  <c r="F23" i="59"/>
  <c r="B23" i="59"/>
  <c r="X22" i="59"/>
  <c r="Z22" i="59" s="1"/>
  <c r="V22" i="59"/>
  <c r="R22" i="59"/>
  <c r="L22" i="59"/>
  <c r="N22" i="59" s="1"/>
  <c r="F22" i="59"/>
  <c r="B22" i="59"/>
  <c r="Z21" i="59"/>
  <c r="X21" i="59"/>
  <c r="N21" i="59"/>
  <c r="L21" i="59"/>
  <c r="B21" i="59"/>
  <c r="X20" i="59"/>
  <c r="Z20" i="59" s="1"/>
  <c r="V20" i="59"/>
  <c r="R20" i="59"/>
  <c r="N20" i="59"/>
  <c r="L20" i="59"/>
  <c r="J20" i="59"/>
  <c r="F20" i="59"/>
  <c r="B20" i="59"/>
  <c r="Z19" i="59"/>
  <c r="V19" i="59"/>
  <c r="T19" i="59"/>
  <c r="R19" i="59"/>
  <c r="P19" i="59"/>
  <c r="X19" i="59" s="1"/>
  <c r="H19" i="59"/>
  <c r="N19" i="59" s="1"/>
  <c r="F19" i="59"/>
  <c r="D19" i="59"/>
  <c r="L19" i="59" s="1"/>
  <c r="B19" i="59"/>
  <c r="T18" i="59"/>
  <c r="R18" i="59"/>
  <c r="P18" i="59"/>
  <c r="X18" i="59" s="1"/>
  <c r="H18" i="59"/>
  <c r="N18" i="59" s="1"/>
  <c r="F18" i="59"/>
  <c r="D18" i="59"/>
  <c r="L18" i="59" s="1"/>
  <c r="T16" i="59"/>
  <c r="Z16" i="59" s="1"/>
  <c r="R16" i="59"/>
  <c r="F16" i="59"/>
  <c r="T14" i="59"/>
  <c r="Z14" i="59" s="1"/>
  <c r="R14" i="59"/>
  <c r="P14" i="59"/>
  <c r="X14" i="59" s="1"/>
  <c r="N14" i="59"/>
  <c r="J14" i="59"/>
  <c r="H14" i="59"/>
  <c r="F14" i="59"/>
  <c r="D14" i="59"/>
  <c r="L14" i="59" s="1"/>
  <c r="T12" i="59"/>
  <c r="V54" i="59" s="1"/>
  <c r="P12" i="59"/>
  <c r="R41" i="59" s="1"/>
  <c r="L12" i="59"/>
  <c r="H12" i="59"/>
  <c r="J68" i="59" s="1"/>
  <c r="D12" i="59"/>
  <c r="F59" i="59" s="1"/>
  <c r="D6" i="59"/>
  <c r="D4" i="59"/>
  <c r="Z73" i="58"/>
  <c r="X73" i="58"/>
  <c r="N73" i="58"/>
  <c r="L73" i="58"/>
  <c r="J73" i="58"/>
  <c r="J71" i="58"/>
  <c r="F71" i="58"/>
  <c r="Z69" i="58"/>
  <c r="T69" i="58"/>
  <c r="P69" i="58"/>
  <c r="H69" i="58"/>
  <c r="N69" i="58" s="1"/>
  <c r="D69" i="58"/>
  <c r="L69" i="58" s="1"/>
  <c r="Z67" i="58"/>
  <c r="X67" i="58"/>
  <c r="V67" i="58"/>
  <c r="N67" i="58"/>
  <c r="L67" i="58"/>
  <c r="B67" i="58"/>
  <c r="T66" i="58"/>
  <c r="P66" i="58"/>
  <c r="X66" i="58" s="1"/>
  <c r="J66" i="58"/>
  <c r="H66" i="58"/>
  <c r="D66" i="58"/>
  <c r="L66" i="58" s="1"/>
  <c r="N66" i="58" s="1"/>
  <c r="B66" i="58"/>
  <c r="X65" i="58"/>
  <c r="Z65" i="58" s="1"/>
  <c r="R65" i="58"/>
  <c r="L65" i="58"/>
  <c r="N65" i="58" s="1"/>
  <c r="B65" i="58"/>
  <c r="T64" i="58"/>
  <c r="Z64" i="58" s="1"/>
  <c r="P64" i="58"/>
  <c r="X64" i="58" s="1"/>
  <c r="N64" i="58"/>
  <c r="L64" i="58"/>
  <c r="J64" i="58"/>
  <c r="H64" i="58"/>
  <c r="D64" i="58"/>
  <c r="B64" i="58"/>
  <c r="Z63" i="58"/>
  <c r="X63" i="58"/>
  <c r="L63" i="58"/>
  <c r="N63" i="58" s="1"/>
  <c r="J63" i="58"/>
  <c r="F63" i="58"/>
  <c r="B63" i="58"/>
  <c r="Z62" i="58"/>
  <c r="T62" i="58"/>
  <c r="P62" i="58"/>
  <c r="X62" i="58" s="1"/>
  <c r="J62" i="58"/>
  <c r="H62" i="58"/>
  <c r="F62" i="58"/>
  <c r="D62" i="58"/>
  <c r="L62" i="58" s="1"/>
  <c r="B62" i="58"/>
  <c r="X61" i="58"/>
  <c r="Z61" i="58" s="1"/>
  <c r="N61" i="58"/>
  <c r="L61" i="58"/>
  <c r="B61" i="58"/>
  <c r="Z60" i="58"/>
  <c r="X60" i="58"/>
  <c r="V60" i="58"/>
  <c r="L60" i="58"/>
  <c r="N60" i="58" s="1"/>
  <c r="B60" i="58"/>
  <c r="X59" i="58"/>
  <c r="Z59" i="58" s="1"/>
  <c r="N59" i="58"/>
  <c r="L59" i="58"/>
  <c r="J59" i="58"/>
  <c r="B59" i="58"/>
  <c r="T58" i="58"/>
  <c r="P58" i="58"/>
  <c r="X58" i="58" s="1"/>
  <c r="Z58" i="58" s="1"/>
  <c r="J58" i="58"/>
  <c r="H58" i="58"/>
  <c r="D58" i="58"/>
  <c r="B58" i="58"/>
  <c r="X57" i="58"/>
  <c r="Z57" i="58" s="1"/>
  <c r="N57" i="58"/>
  <c r="L57" i="58"/>
  <c r="J57" i="58"/>
  <c r="F57" i="58"/>
  <c r="B57" i="58"/>
  <c r="X56" i="58"/>
  <c r="T56" i="58"/>
  <c r="Z56" i="58" s="1"/>
  <c r="P56" i="58"/>
  <c r="J56" i="58"/>
  <c r="H56" i="58"/>
  <c r="N56" i="58" s="1"/>
  <c r="F56" i="58"/>
  <c r="D56" i="58"/>
  <c r="L56" i="58" s="1"/>
  <c r="B56" i="58"/>
  <c r="Z55" i="58"/>
  <c r="X55" i="58"/>
  <c r="L55" i="58"/>
  <c r="N55" i="58" s="1"/>
  <c r="J55" i="58"/>
  <c r="B55" i="58"/>
  <c r="Z54" i="58"/>
  <c r="X54" i="58"/>
  <c r="N54" i="58"/>
  <c r="L54" i="58"/>
  <c r="B54" i="58"/>
  <c r="V53" i="58"/>
  <c r="T53" i="58"/>
  <c r="P53" i="58"/>
  <c r="H53" i="58"/>
  <c r="D53" i="58"/>
  <c r="L53" i="58" s="1"/>
  <c r="N53" i="58" s="1"/>
  <c r="B53" i="58"/>
  <c r="X52" i="58"/>
  <c r="Z52" i="58" s="1"/>
  <c r="V52" i="58"/>
  <c r="L52" i="58"/>
  <c r="N52" i="58" s="1"/>
  <c r="B52" i="58"/>
  <c r="X51" i="58"/>
  <c r="Z51" i="58" s="1"/>
  <c r="N51" i="58"/>
  <c r="L51" i="58"/>
  <c r="J51" i="58"/>
  <c r="B51" i="58"/>
  <c r="Z50" i="58"/>
  <c r="X50" i="58"/>
  <c r="N50" i="58"/>
  <c r="L50" i="58"/>
  <c r="J50" i="58"/>
  <c r="F50" i="58"/>
  <c r="B50" i="58"/>
  <c r="Z49" i="58"/>
  <c r="V49" i="58"/>
  <c r="T49" i="58"/>
  <c r="P49" i="58"/>
  <c r="X49" i="58" s="1"/>
  <c r="J49" i="58"/>
  <c r="H49" i="58"/>
  <c r="N49" i="58" s="1"/>
  <c r="F49" i="58"/>
  <c r="D49" i="58"/>
  <c r="L49" i="58" s="1"/>
  <c r="B49" i="58"/>
  <c r="X48" i="58"/>
  <c r="Z48" i="58" s="1"/>
  <c r="N48" i="58"/>
  <c r="L48" i="58"/>
  <c r="J48" i="58"/>
  <c r="B48" i="58"/>
  <c r="X47" i="58"/>
  <c r="Z47" i="58" s="1"/>
  <c r="V47" i="58"/>
  <c r="T47" i="58"/>
  <c r="P47" i="58"/>
  <c r="H47" i="58"/>
  <c r="N47" i="58" s="1"/>
  <c r="D47" i="58"/>
  <c r="L47" i="58" s="1"/>
  <c r="B47" i="58"/>
  <c r="X46" i="58"/>
  <c r="Z46" i="58" s="1"/>
  <c r="N46" i="58"/>
  <c r="L46" i="58"/>
  <c r="J46" i="58"/>
  <c r="B46" i="58"/>
  <c r="V45" i="58"/>
  <c r="T45" i="58"/>
  <c r="P45" i="58"/>
  <c r="N45" i="58"/>
  <c r="H45" i="58"/>
  <c r="D45" i="58"/>
  <c r="L45" i="58" s="1"/>
  <c r="B45" i="58"/>
  <c r="X44" i="58"/>
  <c r="Z44" i="58" s="1"/>
  <c r="V44" i="58"/>
  <c r="L44" i="58"/>
  <c r="N44" i="58" s="1"/>
  <c r="B44" i="58"/>
  <c r="T43" i="58"/>
  <c r="Z43" i="58" s="1"/>
  <c r="P43" i="58"/>
  <c r="X43" i="58" s="1"/>
  <c r="J43" i="58"/>
  <c r="H43" i="58"/>
  <c r="D43" i="58"/>
  <c r="L43" i="58" s="1"/>
  <c r="N43" i="58" s="1"/>
  <c r="B43" i="58"/>
  <c r="X42" i="58"/>
  <c r="Z42" i="58" s="1"/>
  <c r="L42" i="58"/>
  <c r="N42" i="58" s="1"/>
  <c r="B42" i="58"/>
  <c r="T41" i="58"/>
  <c r="Z41" i="58" s="1"/>
  <c r="P41" i="58"/>
  <c r="X41" i="58" s="1"/>
  <c r="L41" i="58"/>
  <c r="N41" i="58" s="1"/>
  <c r="J41" i="58"/>
  <c r="H41" i="58"/>
  <c r="D41" i="58"/>
  <c r="B41" i="58"/>
  <c r="Z40" i="58"/>
  <c r="X40" i="58"/>
  <c r="L40" i="58"/>
  <c r="N40" i="58" s="1"/>
  <c r="J40" i="58"/>
  <c r="F40" i="58"/>
  <c r="B40" i="58"/>
  <c r="T39" i="58"/>
  <c r="P39" i="58"/>
  <c r="X39" i="58" s="1"/>
  <c r="Z39" i="58" s="1"/>
  <c r="J39" i="58"/>
  <c r="H39" i="58"/>
  <c r="F39" i="58"/>
  <c r="D39" i="58"/>
  <c r="B39" i="58"/>
  <c r="Z38" i="58"/>
  <c r="X38" i="58"/>
  <c r="L38" i="58"/>
  <c r="N38" i="58" s="1"/>
  <c r="J38" i="58"/>
  <c r="F38" i="58"/>
  <c r="B38" i="58"/>
  <c r="Z37" i="58"/>
  <c r="V37" i="58"/>
  <c r="T37" i="58"/>
  <c r="P37" i="58"/>
  <c r="X37" i="58" s="1"/>
  <c r="J37" i="58"/>
  <c r="H37" i="58"/>
  <c r="F37" i="58"/>
  <c r="D37" i="58"/>
  <c r="L37" i="58" s="1"/>
  <c r="B37" i="58"/>
  <c r="X36" i="58"/>
  <c r="Z36" i="58" s="1"/>
  <c r="N36" i="58"/>
  <c r="L36" i="58"/>
  <c r="J36" i="58"/>
  <c r="B36" i="58"/>
  <c r="Z35" i="58"/>
  <c r="X35" i="58"/>
  <c r="V35" i="58"/>
  <c r="T35" i="58"/>
  <c r="P35" i="58"/>
  <c r="H35" i="58"/>
  <c r="D35" i="58"/>
  <c r="L35" i="58" s="1"/>
  <c r="B35" i="58"/>
  <c r="Z34" i="58"/>
  <c r="X34" i="58"/>
  <c r="N34" i="58"/>
  <c r="L34" i="58"/>
  <c r="J34" i="58"/>
  <c r="B34" i="58"/>
  <c r="Z33" i="58"/>
  <c r="X33" i="58"/>
  <c r="V33" i="58"/>
  <c r="N33" i="58"/>
  <c r="L33" i="58"/>
  <c r="J33" i="58"/>
  <c r="B33" i="58"/>
  <c r="Z32" i="58"/>
  <c r="X32" i="58"/>
  <c r="L32" i="58"/>
  <c r="N32" i="58" s="1"/>
  <c r="J32" i="58"/>
  <c r="F32" i="58"/>
  <c r="B32" i="58"/>
  <c r="Z31" i="58"/>
  <c r="X31" i="58"/>
  <c r="L31" i="58"/>
  <c r="N31" i="58" s="1"/>
  <c r="J31" i="58"/>
  <c r="B31" i="58"/>
  <c r="X30" i="58"/>
  <c r="Z30" i="58" s="1"/>
  <c r="T30" i="58"/>
  <c r="P30" i="58"/>
  <c r="J30" i="58"/>
  <c r="H30" i="58"/>
  <c r="N30" i="58" s="1"/>
  <c r="D30" i="58"/>
  <c r="L30" i="58" s="1"/>
  <c r="B30" i="58"/>
  <c r="Z29" i="58"/>
  <c r="X29" i="58"/>
  <c r="V29" i="58"/>
  <c r="L29" i="58"/>
  <c r="N29" i="58" s="1"/>
  <c r="J29" i="58"/>
  <c r="B29" i="58"/>
  <c r="X28" i="58"/>
  <c r="Z28" i="58" s="1"/>
  <c r="V28" i="58"/>
  <c r="L28" i="58"/>
  <c r="N28" i="58" s="1"/>
  <c r="J28" i="58"/>
  <c r="B28" i="58"/>
  <c r="X27" i="58"/>
  <c r="Z27" i="58" s="1"/>
  <c r="V27" i="58"/>
  <c r="N27" i="58"/>
  <c r="L27" i="58"/>
  <c r="J27" i="58"/>
  <c r="B27" i="58"/>
  <c r="Z26" i="58"/>
  <c r="X26" i="58"/>
  <c r="L26" i="58"/>
  <c r="N26" i="58" s="1"/>
  <c r="J26" i="58"/>
  <c r="F26" i="58"/>
  <c r="B26" i="58"/>
  <c r="Z25" i="58"/>
  <c r="X25" i="58"/>
  <c r="V25" i="58"/>
  <c r="N25" i="58"/>
  <c r="L25" i="58"/>
  <c r="J25" i="58"/>
  <c r="B25" i="58"/>
  <c r="X24" i="58"/>
  <c r="Z24" i="58" s="1"/>
  <c r="V24" i="58"/>
  <c r="R24" i="58"/>
  <c r="L24" i="58"/>
  <c r="N24" i="58" s="1"/>
  <c r="J24" i="58"/>
  <c r="B24" i="58"/>
  <c r="X23" i="58"/>
  <c r="Z23" i="58" s="1"/>
  <c r="V23" i="58"/>
  <c r="N23" i="58"/>
  <c r="L23" i="58"/>
  <c r="J23" i="58"/>
  <c r="B23" i="58"/>
  <c r="Z22" i="58"/>
  <c r="X22" i="58"/>
  <c r="L22" i="58"/>
  <c r="N22" i="58" s="1"/>
  <c r="J22" i="58"/>
  <c r="F22" i="58"/>
  <c r="B22" i="58"/>
  <c r="Z21" i="58"/>
  <c r="X21" i="58"/>
  <c r="V21" i="58"/>
  <c r="L21" i="58"/>
  <c r="N21" i="58" s="1"/>
  <c r="J21" i="58"/>
  <c r="B21" i="58"/>
  <c r="X20" i="58"/>
  <c r="Z20" i="58" s="1"/>
  <c r="V20" i="58"/>
  <c r="R20" i="58"/>
  <c r="L20" i="58"/>
  <c r="N20" i="58" s="1"/>
  <c r="J20" i="58"/>
  <c r="B20" i="58"/>
  <c r="V19" i="58"/>
  <c r="T19" i="58"/>
  <c r="Z19" i="58" s="1"/>
  <c r="P19" i="58"/>
  <c r="X19" i="58" s="1"/>
  <c r="N19" i="58"/>
  <c r="J19" i="58"/>
  <c r="H19" i="58"/>
  <c r="D19" i="58"/>
  <c r="L19" i="58" s="1"/>
  <c r="B19" i="58"/>
  <c r="T18" i="58"/>
  <c r="P18" i="58"/>
  <c r="X18" i="58" s="1"/>
  <c r="L18" i="58"/>
  <c r="J18" i="58"/>
  <c r="H18" i="58"/>
  <c r="N18" i="58" s="1"/>
  <c r="D18" i="58"/>
  <c r="P16" i="58"/>
  <c r="J16" i="58"/>
  <c r="T14" i="58"/>
  <c r="Z14" i="58" s="1"/>
  <c r="P14" i="58"/>
  <c r="L14" i="58"/>
  <c r="J14" i="58"/>
  <c r="H14" i="58"/>
  <c r="H16" i="58" s="1"/>
  <c r="D14" i="58"/>
  <c r="T12" i="58"/>
  <c r="V69" i="58" s="1"/>
  <c r="P12" i="58"/>
  <c r="N12" i="58"/>
  <c r="L12" i="58"/>
  <c r="H12" i="58"/>
  <c r="J67" i="58" s="1"/>
  <c r="D12" i="58"/>
  <c r="F65" i="58" s="1"/>
  <c r="D6" i="58"/>
  <c r="D4" i="58"/>
  <c r="Z70" i="57"/>
  <c r="X70" i="57"/>
  <c r="N70" i="57"/>
  <c r="L70" i="57"/>
  <c r="J70" i="57"/>
  <c r="F70" i="57"/>
  <c r="F68" i="57"/>
  <c r="X66" i="57"/>
  <c r="T66" i="57"/>
  <c r="Z66" i="57" s="1"/>
  <c r="P66" i="57"/>
  <c r="H66" i="57"/>
  <c r="N66" i="57" s="1"/>
  <c r="F66" i="57"/>
  <c r="D66" i="57"/>
  <c r="L66" i="57" s="1"/>
  <c r="X64" i="57"/>
  <c r="Z64" i="57" s="1"/>
  <c r="N64" i="57"/>
  <c r="L64" i="57"/>
  <c r="F64" i="57"/>
  <c r="B64" i="57"/>
  <c r="Z63" i="57"/>
  <c r="X63" i="57"/>
  <c r="V63" i="57"/>
  <c r="T63" i="57"/>
  <c r="P63" i="57"/>
  <c r="H63" i="57"/>
  <c r="N63" i="57" s="1"/>
  <c r="F63" i="57"/>
  <c r="D63" i="57"/>
  <c r="L63" i="57" s="1"/>
  <c r="B63" i="57"/>
  <c r="X62" i="57"/>
  <c r="Z62" i="57" s="1"/>
  <c r="N62" i="57"/>
  <c r="L62" i="57"/>
  <c r="B62" i="57"/>
  <c r="V61" i="57"/>
  <c r="T61" i="57"/>
  <c r="P61" i="57"/>
  <c r="H61" i="57"/>
  <c r="D61" i="57"/>
  <c r="L61" i="57" s="1"/>
  <c r="N61" i="57" s="1"/>
  <c r="B61" i="57"/>
  <c r="Z60" i="57"/>
  <c r="X60" i="57"/>
  <c r="V60" i="57"/>
  <c r="R60" i="57"/>
  <c r="N60" i="57"/>
  <c r="L60" i="57"/>
  <c r="B60" i="57"/>
  <c r="X59" i="57"/>
  <c r="Z59" i="57" s="1"/>
  <c r="V59" i="57"/>
  <c r="L59" i="57"/>
  <c r="N59" i="57" s="1"/>
  <c r="J59" i="57"/>
  <c r="B59" i="57"/>
  <c r="Z58" i="57"/>
  <c r="X58" i="57"/>
  <c r="N58" i="57"/>
  <c r="L58" i="57"/>
  <c r="F58" i="57"/>
  <c r="B58" i="57"/>
  <c r="V57" i="57"/>
  <c r="T57" i="57"/>
  <c r="P57" i="57"/>
  <c r="X57" i="57" s="1"/>
  <c r="Z57" i="57" s="1"/>
  <c r="J57" i="57"/>
  <c r="H57" i="57"/>
  <c r="F57" i="57"/>
  <c r="D57" i="57"/>
  <c r="L57" i="57" s="1"/>
  <c r="B57" i="57"/>
  <c r="Z56" i="57"/>
  <c r="X56" i="57"/>
  <c r="N56" i="57"/>
  <c r="L56" i="57"/>
  <c r="F56" i="57"/>
  <c r="B56" i="57"/>
  <c r="Z55" i="57"/>
  <c r="X55" i="57"/>
  <c r="V55" i="57"/>
  <c r="T55" i="57"/>
  <c r="P55" i="57"/>
  <c r="H55" i="57"/>
  <c r="N55" i="57" s="1"/>
  <c r="F55" i="57"/>
  <c r="D55" i="57"/>
  <c r="L55" i="57" s="1"/>
  <c r="B55" i="57"/>
  <c r="X54" i="57"/>
  <c r="Z54" i="57" s="1"/>
  <c r="N54" i="57"/>
  <c r="L54" i="57"/>
  <c r="B54" i="57"/>
  <c r="V53" i="57"/>
  <c r="T53" i="57"/>
  <c r="R53" i="57"/>
  <c r="P53" i="57"/>
  <c r="H53" i="57"/>
  <c r="D53" i="57"/>
  <c r="L53" i="57" s="1"/>
  <c r="N53" i="57" s="1"/>
  <c r="B53" i="57"/>
  <c r="Z52" i="57"/>
  <c r="X52" i="57"/>
  <c r="V52" i="57"/>
  <c r="R52" i="57"/>
  <c r="N52" i="57"/>
  <c r="L52" i="57"/>
  <c r="B52" i="57"/>
  <c r="X51" i="57"/>
  <c r="Z51" i="57" s="1"/>
  <c r="V51" i="57"/>
  <c r="N51" i="57"/>
  <c r="L51" i="57"/>
  <c r="J51" i="57"/>
  <c r="B51" i="57"/>
  <c r="Z50" i="57"/>
  <c r="X50" i="57"/>
  <c r="N50" i="57"/>
  <c r="L50" i="57"/>
  <c r="F50" i="57"/>
  <c r="B50" i="57"/>
  <c r="Z49" i="57"/>
  <c r="V49" i="57"/>
  <c r="T49" i="57"/>
  <c r="P49" i="57"/>
  <c r="X49" i="57" s="1"/>
  <c r="J49" i="57"/>
  <c r="H49" i="57"/>
  <c r="F49" i="57"/>
  <c r="D49" i="57"/>
  <c r="L49" i="57" s="1"/>
  <c r="B49" i="57"/>
  <c r="Z48" i="57"/>
  <c r="X48" i="57"/>
  <c r="N48" i="57"/>
  <c r="L48" i="57"/>
  <c r="F48" i="57"/>
  <c r="B48" i="57"/>
  <c r="Z47" i="57"/>
  <c r="X47" i="57"/>
  <c r="V47" i="57"/>
  <c r="T47" i="57"/>
  <c r="P47" i="57"/>
  <c r="H47" i="57"/>
  <c r="N47" i="57" s="1"/>
  <c r="F47" i="57"/>
  <c r="D47" i="57"/>
  <c r="L47" i="57" s="1"/>
  <c r="B47" i="57"/>
  <c r="Z46" i="57"/>
  <c r="X46" i="57"/>
  <c r="N46" i="57"/>
  <c r="L46" i="57"/>
  <c r="B46" i="57"/>
  <c r="V45" i="57"/>
  <c r="T45" i="57"/>
  <c r="P45" i="57"/>
  <c r="H45" i="57"/>
  <c r="D45" i="57"/>
  <c r="L45" i="57" s="1"/>
  <c r="N45" i="57" s="1"/>
  <c r="B45" i="57"/>
  <c r="X44" i="57"/>
  <c r="Z44" i="57" s="1"/>
  <c r="V44" i="57"/>
  <c r="N44" i="57"/>
  <c r="L44" i="57"/>
  <c r="B44" i="57"/>
  <c r="V43" i="57"/>
  <c r="T43" i="57"/>
  <c r="Z43" i="57" s="1"/>
  <c r="R43" i="57"/>
  <c r="P43" i="57"/>
  <c r="X43" i="57" s="1"/>
  <c r="N43" i="57"/>
  <c r="J43" i="57"/>
  <c r="H43" i="57"/>
  <c r="D43" i="57"/>
  <c r="L43" i="57" s="1"/>
  <c r="B43" i="57"/>
  <c r="X42" i="57"/>
  <c r="Z42" i="57" s="1"/>
  <c r="V42" i="57"/>
  <c r="N42" i="57"/>
  <c r="L42" i="57"/>
  <c r="F42" i="57"/>
  <c r="B42" i="57"/>
  <c r="T41" i="57"/>
  <c r="P41" i="57"/>
  <c r="X41" i="57" s="1"/>
  <c r="N41" i="57"/>
  <c r="L41" i="57"/>
  <c r="J41" i="57"/>
  <c r="H41" i="57"/>
  <c r="F41" i="57"/>
  <c r="D41" i="57"/>
  <c r="B41" i="57"/>
  <c r="Z40" i="57"/>
  <c r="X40" i="57"/>
  <c r="V40" i="57"/>
  <c r="L40" i="57"/>
  <c r="N40" i="57" s="1"/>
  <c r="J40" i="57"/>
  <c r="F40" i="57"/>
  <c r="B40" i="57"/>
  <c r="T39" i="57"/>
  <c r="P39" i="57"/>
  <c r="X39" i="57" s="1"/>
  <c r="Z39" i="57" s="1"/>
  <c r="J39" i="57"/>
  <c r="H39" i="57"/>
  <c r="F39" i="57"/>
  <c r="D39" i="57"/>
  <c r="B39" i="57"/>
  <c r="Z38" i="57"/>
  <c r="X38" i="57"/>
  <c r="V38" i="57"/>
  <c r="L38" i="57"/>
  <c r="N38" i="57" s="1"/>
  <c r="F38" i="57"/>
  <c r="B38" i="57"/>
  <c r="V37" i="57"/>
  <c r="T37" i="57"/>
  <c r="P37" i="57"/>
  <c r="X37" i="57" s="1"/>
  <c r="Z37" i="57" s="1"/>
  <c r="J37" i="57"/>
  <c r="H37" i="57"/>
  <c r="N37" i="57" s="1"/>
  <c r="F37" i="57"/>
  <c r="D37" i="57"/>
  <c r="L37" i="57" s="1"/>
  <c r="B37" i="57"/>
  <c r="X36" i="57"/>
  <c r="Z36" i="57" s="1"/>
  <c r="V36" i="57"/>
  <c r="N36" i="57"/>
  <c r="L36" i="57"/>
  <c r="F36" i="57"/>
  <c r="B36" i="57"/>
  <c r="Z35" i="57"/>
  <c r="X35" i="57"/>
  <c r="V35" i="57"/>
  <c r="T35" i="57"/>
  <c r="P35" i="57"/>
  <c r="H35" i="57"/>
  <c r="N35" i="57" s="1"/>
  <c r="F35" i="57"/>
  <c r="D35" i="57"/>
  <c r="L35" i="57" s="1"/>
  <c r="B35" i="57"/>
  <c r="X34" i="57"/>
  <c r="Z34" i="57" s="1"/>
  <c r="N34" i="57"/>
  <c r="L34" i="57"/>
  <c r="B34" i="57"/>
  <c r="V33" i="57"/>
  <c r="T33" i="57"/>
  <c r="P33" i="57"/>
  <c r="N33" i="57"/>
  <c r="H33" i="57"/>
  <c r="D33" i="57"/>
  <c r="L33" i="57" s="1"/>
  <c r="B33" i="57"/>
  <c r="Z32" i="57"/>
  <c r="X32" i="57"/>
  <c r="V32" i="57"/>
  <c r="N32" i="57"/>
  <c r="L32" i="57"/>
  <c r="B32" i="57"/>
  <c r="X31" i="57"/>
  <c r="Z31" i="57" s="1"/>
  <c r="V31" i="57"/>
  <c r="N31" i="57"/>
  <c r="L31" i="57"/>
  <c r="J31" i="57"/>
  <c r="B31" i="57"/>
  <c r="Z30" i="57"/>
  <c r="X30" i="57"/>
  <c r="V30" i="57"/>
  <c r="L30" i="57"/>
  <c r="N30" i="57" s="1"/>
  <c r="J30" i="57"/>
  <c r="F30" i="57"/>
  <c r="B30" i="57"/>
  <c r="Z29" i="57"/>
  <c r="X29" i="57"/>
  <c r="V29" i="57"/>
  <c r="L29" i="57"/>
  <c r="N29" i="57" s="1"/>
  <c r="F29" i="57"/>
  <c r="B29" i="57"/>
  <c r="X28" i="57"/>
  <c r="V28" i="57"/>
  <c r="T28" i="57"/>
  <c r="P28" i="57"/>
  <c r="H28" i="57"/>
  <c r="F28" i="57"/>
  <c r="D28" i="57"/>
  <c r="L28" i="57" s="1"/>
  <c r="N28" i="57" s="1"/>
  <c r="B28" i="57"/>
  <c r="Z27" i="57"/>
  <c r="X27" i="57"/>
  <c r="V27" i="57"/>
  <c r="N27" i="57"/>
  <c r="L27" i="57"/>
  <c r="F27" i="57"/>
  <c r="B27" i="57"/>
  <c r="X26" i="57"/>
  <c r="Z26" i="57" s="1"/>
  <c r="V26" i="57"/>
  <c r="R26" i="57"/>
  <c r="N26" i="57"/>
  <c r="L26" i="57"/>
  <c r="F26" i="57"/>
  <c r="B26" i="57"/>
  <c r="X25" i="57"/>
  <c r="Z25" i="57" s="1"/>
  <c r="V25" i="57"/>
  <c r="N25" i="57"/>
  <c r="L25" i="57"/>
  <c r="J25" i="57"/>
  <c r="F25" i="57"/>
  <c r="B25" i="57"/>
  <c r="X24" i="57"/>
  <c r="Z24" i="57" s="1"/>
  <c r="V24" i="57"/>
  <c r="N24" i="57"/>
  <c r="L24" i="57"/>
  <c r="J24" i="57"/>
  <c r="F24" i="57"/>
  <c r="B24" i="57"/>
  <c r="Z23" i="57"/>
  <c r="X23" i="57"/>
  <c r="V23" i="57"/>
  <c r="N23" i="57"/>
  <c r="L23" i="57"/>
  <c r="F23" i="57"/>
  <c r="B23" i="57"/>
  <c r="X22" i="57"/>
  <c r="Z22" i="57" s="1"/>
  <c r="V22" i="57"/>
  <c r="N22" i="57"/>
  <c r="L22" i="57"/>
  <c r="F22" i="57"/>
  <c r="B22" i="57"/>
  <c r="X21" i="57"/>
  <c r="Z21" i="57" s="1"/>
  <c r="V21" i="57"/>
  <c r="N21" i="57"/>
  <c r="L21" i="57"/>
  <c r="J21" i="57"/>
  <c r="F21" i="57"/>
  <c r="B21" i="57"/>
  <c r="X20" i="57"/>
  <c r="Z20" i="57" s="1"/>
  <c r="V20" i="57"/>
  <c r="N20" i="57"/>
  <c r="L20" i="57"/>
  <c r="J20" i="57"/>
  <c r="F20" i="57"/>
  <c r="B20" i="57"/>
  <c r="X19" i="57"/>
  <c r="Z19" i="57" s="1"/>
  <c r="V19" i="57"/>
  <c r="T19" i="57"/>
  <c r="P19" i="57"/>
  <c r="H19" i="57"/>
  <c r="N19" i="57" s="1"/>
  <c r="F19" i="57"/>
  <c r="D19" i="57"/>
  <c r="L19" i="57" s="1"/>
  <c r="B19" i="57"/>
  <c r="T18" i="57"/>
  <c r="X18" i="57" s="1"/>
  <c r="Z18" i="57" s="1"/>
  <c r="P18" i="57"/>
  <c r="J18" i="57"/>
  <c r="H18" i="57"/>
  <c r="N18" i="57" s="1"/>
  <c r="F18" i="57"/>
  <c r="D18" i="57"/>
  <c r="L18" i="57" s="1"/>
  <c r="T16" i="57"/>
  <c r="T68" i="57" s="1"/>
  <c r="J16" i="57"/>
  <c r="F16" i="57"/>
  <c r="Z14" i="57"/>
  <c r="X14" i="57"/>
  <c r="T14" i="57"/>
  <c r="P14" i="57"/>
  <c r="J14" i="57"/>
  <c r="H14" i="57"/>
  <c r="F14" i="57"/>
  <c r="D14" i="57"/>
  <c r="Z12" i="57"/>
  <c r="X12" i="57"/>
  <c r="T12" i="57"/>
  <c r="V68" i="57" s="1"/>
  <c r="P12" i="57"/>
  <c r="R44" i="57" s="1"/>
  <c r="H12" i="57"/>
  <c r="J60" i="57" s="1"/>
  <c r="D12" i="57"/>
  <c r="F75" i="57" s="1"/>
  <c r="D6" i="57"/>
  <c r="D4" i="57"/>
  <c r="V80" i="56"/>
  <c r="V77" i="56"/>
  <c r="Z75" i="56"/>
  <c r="X75" i="56"/>
  <c r="V75" i="56"/>
  <c r="R75" i="56"/>
  <c r="N75" i="56"/>
  <c r="L75" i="56"/>
  <c r="T71" i="56"/>
  <c r="Z71" i="56" s="1"/>
  <c r="P71" i="56"/>
  <c r="H71" i="56"/>
  <c r="D71" i="56"/>
  <c r="Z69" i="56"/>
  <c r="X69" i="56"/>
  <c r="R69" i="56"/>
  <c r="N69" i="56"/>
  <c r="L69" i="56"/>
  <c r="J69" i="56"/>
  <c r="B69" i="56"/>
  <c r="Z68" i="56"/>
  <c r="X68" i="56"/>
  <c r="L68" i="56"/>
  <c r="N68" i="56" s="1"/>
  <c r="B68" i="56"/>
  <c r="X67" i="56"/>
  <c r="Z67" i="56" s="1"/>
  <c r="T67" i="56"/>
  <c r="P67" i="56"/>
  <c r="H67" i="56"/>
  <c r="D67" i="56"/>
  <c r="B67" i="56"/>
  <c r="Z66" i="56"/>
  <c r="X66" i="56"/>
  <c r="V66" i="56"/>
  <c r="N66" i="56"/>
  <c r="L66" i="56"/>
  <c r="B66" i="56"/>
  <c r="X65" i="56"/>
  <c r="V65" i="56"/>
  <c r="T65" i="56"/>
  <c r="P65" i="56"/>
  <c r="N65" i="56"/>
  <c r="H65" i="56"/>
  <c r="D65" i="56"/>
  <c r="L65" i="56" s="1"/>
  <c r="B65" i="56"/>
  <c r="Z64" i="56"/>
  <c r="X64" i="56"/>
  <c r="V64" i="56"/>
  <c r="N64" i="56"/>
  <c r="L64" i="56"/>
  <c r="B64" i="56"/>
  <c r="T63" i="56"/>
  <c r="R63" i="56"/>
  <c r="P63" i="56"/>
  <c r="X63" i="56" s="1"/>
  <c r="L63" i="56"/>
  <c r="H63" i="56"/>
  <c r="D63" i="56"/>
  <c r="B63" i="56"/>
  <c r="Z62" i="56"/>
  <c r="X62" i="56"/>
  <c r="V62" i="56"/>
  <c r="N62" i="56"/>
  <c r="L62" i="56"/>
  <c r="J62" i="56"/>
  <c r="B62" i="56"/>
  <c r="Z61" i="56"/>
  <c r="X61" i="56"/>
  <c r="R61" i="56"/>
  <c r="L61" i="56"/>
  <c r="N61" i="56" s="1"/>
  <c r="J61" i="56"/>
  <c r="B61" i="56"/>
  <c r="Z60" i="56"/>
  <c r="X60" i="56"/>
  <c r="N60" i="56"/>
  <c r="L60" i="56"/>
  <c r="J60" i="56"/>
  <c r="B60" i="56"/>
  <c r="X59" i="56"/>
  <c r="T59" i="56"/>
  <c r="Z59" i="56" s="1"/>
  <c r="P59" i="56"/>
  <c r="H59" i="56"/>
  <c r="D59" i="56"/>
  <c r="L59" i="56" s="1"/>
  <c r="B59" i="56"/>
  <c r="Z58" i="56"/>
  <c r="X58" i="56"/>
  <c r="V58" i="56"/>
  <c r="N58" i="56"/>
  <c r="L58" i="56"/>
  <c r="B58" i="56"/>
  <c r="V57" i="56"/>
  <c r="T57" i="56"/>
  <c r="P57" i="56"/>
  <c r="H57" i="56"/>
  <c r="N57" i="56" s="1"/>
  <c r="D57" i="56"/>
  <c r="L57" i="56" s="1"/>
  <c r="B57" i="56"/>
  <c r="Z56" i="56"/>
  <c r="X56" i="56"/>
  <c r="V56" i="56"/>
  <c r="N56" i="56"/>
  <c r="L56" i="56"/>
  <c r="B56" i="56"/>
  <c r="X55" i="56"/>
  <c r="Z55" i="56" s="1"/>
  <c r="R55" i="56"/>
  <c r="L55" i="56"/>
  <c r="N55" i="56" s="1"/>
  <c r="B55" i="56"/>
  <c r="Z54" i="56"/>
  <c r="X54" i="56"/>
  <c r="N54" i="56"/>
  <c r="L54" i="56"/>
  <c r="B54" i="56"/>
  <c r="X53" i="56"/>
  <c r="T53" i="56"/>
  <c r="P53" i="56"/>
  <c r="H53" i="56"/>
  <c r="D53" i="56"/>
  <c r="L53" i="56" s="1"/>
  <c r="B53" i="56"/>
  <c r="Z52" i="56"/>
  <c r="X52" i="56"/>
  <c r="N52" i="56"/>
  <c r="L52" i="56"/>
  <c r="J52" i="56"/>
  <c r="B52" i="56"/>
  <c r="Z51" i="56"/>
  <c r="X51" i="56"/>
  <c r="R51" i="56"/>
  <c r="N51" i="56"/>
  <c r="L51" i="56"/>
  <c r="B51" i="56"/>
  <c r="Z50" i="56"/>
  <c r="X50" i="56"/>
  <c r="V50" i="56"/>
  <c r="N50" i="56"/>
  <c r="L50" i="56"/>
  <c r="J50" i="56"/>
  <c r="B50" i="56"/>
  <c r="V49" i="56"/>
  <c r="T49" i="56"/>
  <c r="P49" i="56"/>
  <c r="N49" i="56"/>
  <c r="L49" i="56"/>
  <c r="H49" i="56"/>
  <c r="D49" i="56"/>
  <c r="B49" i="56"/>
  <c r="X48" i="56"/>
  <c r="Z48" i="56" s="1"/>
  <c r="V48" i="56"/>
  <c r="N48" i="56"/>
  <c r="L48" i="56"/>
  <c r="J48" i="56"/>
  <c r="B48" i="56"/>
  <c r="T47" i="56"/>
  <c r="Z47" i="56" s="1"/>
  <c r="P47" i="56"/>
  <c r="X47" i="56" s="1"/>
  <c r="H47" i="56"/>
  <c r="D47" i="56"/>
  <c r="B47" i="56"/>
  <c r="X46" i="56"/>
  <c r="Z46" i="56" s="1"/>
  <c r="N46" i="56"/>
  <c r="L46" i="56"/>
  <c r="J46" i="56"/>
  <c r="B46" i="56"/>
  <c r="X45" i="56"/>
  <c r="T45" i="56"/>
  <c r="P45" i="56"/>
  <c r="L45" i="56"/>
  <c r="H45" i="56"/>
  <c r="N45" i="56" s="1"/>
  <c r="F45" i="56"/>
  <c r="D45" i="56"/>
  <c r="B45" i="56"/>
  <c r="Z44" i="56"/>
  <c r="X44" i="56"/>
  <c r="N44" i="56"/>
  <c r="L44" i="56"/>
  <c r="J44" i="56"/>
  <c r="B44" i="56"/>
  <c r="X43" i="56"/>
  <c r="T43" i="56"/>
  <c r="Z43" i="56" s="1"/>
  <c r="P43" i="56"/>
  <c r="H43" i="56"/>
  <c r="N43" i="56" s="1"/>
  <c r="D43" i="56"/>
  <c r="L43" i="56" s="1"/>
  <c r="B43" i="56"/>
  <c r="Z42" i="56"/>
  <c r="X42" i="56"/>
  <c r="V42" i="56"/>
  <c r="L42" i="56"/>
  <c r="N42" i="56" s="1"/>
  <c r="B42" i="56"/>
  <c r="V41" i="56"/>
  <c r="T41" i="56"/>
  <c r="P41" i="56"/>
  <c r="X41" i="56" s="1"/>
  <c r="H41" i="56"/>
  <c r="D41" i="56"/>
  <c r="L41" i="56" s="1"/>
  <c r="B41" i="56"/>
  <c r="X40" i="56"/>
  <c r="Z40" i="56" s="1"/>
  <c r="V40" i="56"/>
  <c r="N40" i="56"/>
  <c r="L40" i="56"/>
  <c r="B40" i="56"/>
  <c r="X39" i="56"/>
  <c r="T39" i="56"/>
  <c r="R39" i="56"/>
  <c r="P39" i="56"/>
  <c r="L39" i="56"/>
  <c r="H39" i="56"/>
  <c r="D39" i="56"/>
  <c r="B39" i="56"/>
  <c r="Z38" i="56"/>
  <c r="X38" i="56"/>
  <c r="V38" i="56"/>
  <c r="N38" i="56"/>
  <c r="L38" i="56"/>
  <c r="J38" i="56"/>
  <c r="B38" i="56"/>
  <c r="V37" i="56"/>
  <c r="T37" i="56"/>
  <c r="P37" i="56"/>
  <c r="X37" i="56" s="1"/>
  <c r="N37" i="56"/>
  <c r="L37" i="56"/>
  <c r="H37" i="56"/>
  <c r="D37" i="56"/>
  <c r="B37" i="56"/>
  <c r="X36" i="56"/>
  <c r="Z36" i="56" s="1"/>
  <c r="V36" i="56"/>
  <c r="N36" i="56"/>
  <c r="L36" i="56"/>
  <c r="J36" i="56"/>
  <c r="B36" i="56"/>
  <c r="T35" i="56"/>
  <c r="P35" i="56"/>
  <c r="X35" i="56" s="1"/>
  <c r="L35" i="56"/>
  <c r="J35" i="56"/>
  <c r="H35" i="56"/>
  <c r="D35" i="56"/>
  <c r="B35" i="56"/>
  <c r="X34" i="56"/>
  <c r="Z34" i="56" s="1"/>
  <c r="N34" i="56"/>
  <c r="L34" i="56"/>
  <c r="J34" i="56"/>
  <c r="B34" i="56"/>
  <c r="X33" i="56"/>
  <c r="T33" i="56"/>
  <c r="P33" i="56"/>
  <c r="L33" i="56"/>
  <c r="H33" i="56"/>
  <c r="F33" i="56"/>
  <c r="D33" i="56"/>
  <c r="B33" i="56"/>
  <c r="Z32" i="56"/>
  <c r="X32" i="56"/>
  <c r="N32" i="56"/>
  <c r="L32" i="56"/>
  <c r="J32" i="56"/>
  <c r="B32" i="56"/>
  <c r="Z31" i="56"/>
  <c r="X31" i="56"/>
  <c r="N31" i="56"/>
  <c r="L31" i="56"/>
  <c r="B31" i="56"/>
  <c r="Z30" i="56"/>
  <c r="X30" i="56"/>
  <c r="V30" i="56"/>
  <c r="R30" i="56"/>
  <c r="N30" i="56"/>
  <c r="L30" i="56"/>
  <c r="J30" i="56"/>
  <c r="B30" i="56"/>
  <c r="V29" i="56"/>
  <c r="T29" i="56"/>
  <c r="P29" i="56"/>
  <c r="N29" i="56"/>
  <c r="H29" i="56"/>
  <c r="L29" i="56" s="1"/>
  <c r="D29" i="56"/>
  <c r="B29" i="56"/>
  <c r="X28" i="56"/>
  <c r="Z28" i="56" s="1"/>
  <c r="V28" i="56"/>
  <c r="N28" i="56"/>
  <c r="L28" i="56"/>
  <c r="B28" i="56"/>
  <c r="Z27" i="56"/>
  <c r="X27" i="56"/>
  <c r="L27" i="56"/>
  <c r="N27" i="56" s="1"/>
  <c r="B27" i="56"/>
  <c r="Z26" i="56"/>
  <c r="X26" i="56"/>
  <c r="V26" i="56"/>
  <c r="L26" i="56"/>
  <c r="N26" i="56" s="1"/>
  <c r="B26" i="56"/>
  <c r="X25" i="56"/>
  <c r="Z25" i="56" s="1"/>
  <c r="V25" i="56"/>
  <c r="R25" i="56"/>
  <c r="N25" i="56"/>
  <c r="L25" i="56"/>
  <c r="B25" i="56"/>
  <c r="X24" i="56"/>
  <c r="Z24" i="56" s="1"/>
  <c r="V24" i="56"/>
  <c r="N24" i="56"/>
  <c r="L24" i="56"/>
  <c r="B24" i="56"/>
  <c r="Z23" i="56"/>
  <c r="X23" i="56"/>
  <c r="L23" i="56"/>
  <c r="N23" i="56" s="1"/>
  <c r="B23" i="56"/>
  <c r="Z22" i="56"/>
  <c r="X22" i="56"/>
  <c r="V22" i="56"/>
  <c r="L22" i="56"/>
  <c r="N22" i="56" s="1"/>
  <c r="B22" i="56"/>
  <c r="X21" i="56"/>
  <c r="Z21" i="56" s="1"/>
  <c r="V21" i="56"/>
  <c r="R21" i="56"/>
  <c r="L21" i="56"/>
  <c r="N21" i="56" s="1"/>
  <c r="B21" i="56"/>
  <c r="X20" i="56"/>
  <c r="Z20" i="56" s="1"/>
  <c r="V20" i="56"/>
  <c r="N20" i="56"/>
  <c r="L20" i="56"/>
  <c r="J20" i="56"/>
  <c r="B20" i="56"/>
  <c r="T19" i="56"/>
  <c r="P19" i="56"/>
  <c r="X19" i="56" s="1"/>
  <c r="J19" i="56"/>
  <c r="H19" i="56"/>
  <c r="D19" i="56"/>
  <c r="L19" i="56" s="1"/>
  <c r="B19" i="56"/>
  <c r="T18" i="56"/>
  <c r="R18" i="56"/>
  <c r="P18" i="56"/>
  <c r="L18" i="56"/>
  <c r="N18" i="56" s="1"/>
  <c r="H18" i="56"/>
  <c r="D18" i="56"/>
  <c r="R16" i="56"/>
  <c r="J16" i="56"/>
  <c r="T14" i="56"/>
  <c r="P14" i="56"/>
  <c r="N14" i="56"/>
  <c r="L14" i="56"/>
  <c r="H14" i="56"/>
  <c r="D14" i="56"/>
  <c r="T12" i="56"/>
  <c r="V53" i="56" s="1"/>
  <c r="P12" i="56"/>
  <c r="R38" i="56" s="1"/>
  <c r="L12" i="56"/>
  <c r="H12" i="56"/>
  <c r="D12" i="56"/>
  <c r="F54" i="56" s="1"/>
  <c r="D6" i="56"/>
  <c r="D4" i="56"/>
  <c r="J40" i="55"/>
  <c r="F40" i="55"/>
  <c r="J37" i="55"/>
  <c r="F37" i="55"/>
  <c r="Z35" i="55"/>
  <c r="X35" i="55"/>
  <c r="N35" i="55"/>
  <c r="L35" i="55"/>
  <c r="F35" i="55"/>
  <c r="R33" i="55"/>
  <c r="F33" i="55"/>
  <c r="Z31" i="55"/>
  <c r="X31" i="55"/>
  <c r="T31" i="55"/>
  <c r="R31" i="55"/>
  <c r="P31" i="55"/>
  <c r="H31" i="55"/>
  <c r="N31" i="55" s="1"/>
  <c r="F31" i="55"/>
  <c r="D31" i="55"/>
  <c r="X29" i="55"/>
  <c r="Z29" i="55" s="1"/>
  <c r="N29" i="55"/>
  <c r="L29" i="55"/>
  <c r="F29" i="55"/>
  <c r="B29" i="55"/>
  <c r="Z28" i="55"/>
  <c r="X28" i="55"/>
  <c r="V28" i="55"/>
  <c r="N28" i="55"/>
  <c r="L28" i="55"/>
  <c r="F28" i="55"/>
  <c r="B28" i="55"/>
  <c r="T27" i="55"/>
  <c r="P27" i="55"/>
  <c r="L27" i="55"/>
  <c r="N27" i="55" s="1"/>
  <c r="H27" i="55"/>
  <c r="F27" i="55"/>
  <c r="D27" i="55"/>
  <c r="B27" i="55"/>
  <c r="X26" i="55"/>
  <c r="Z26" i="55" s="1"/>
  <c r="R26" i="55"/>
  <c r="N26" i="55"/>
  <c r="L26" i="55"/>
  <c r="F26" i="55"/>
  <c r="B26" i="55"/>
  <c r="T25" i="55"/>
  <c r="P25" i="55"/>
  <c r="X25" i="55" s="1"/>
  <c r="Z25" i="55" s="1"/>
  <c r="J25" i="55"/>
  <c r="H25" i="55"/>
  <c r="N25" i="55" s="1"/>
  <c r="F25" i="55"/>
  <c r="D25" i="55"/>
  <c r="B25" i="55"/>
  <c r="Z24" i="55"/>
  <c r="X24" i="55"/>
  <c r="N24" i="55"/>
  <c r="L24" i="55"/>
  <c r="J24" i="55"/>
  <c r="F24" i="55"/>
  <c r="B24" i="55"/>
  <c r="Z23" i="55"/>
  <c r="T23" i="55"/>
  <c r="P23" i="55"/>
  <c r="X23" i="55" s="1"/>
  <c r="J23" i="55"/>
  <c r="H23" i="55"/>
  <c r="F23" i="55"/>
  <c r="D23" i="55"/>
  <c r="L23" i="55" s="1"/>
  <c r="B23" i="55"/>
  <c r="X22" i="55"/>
  <c r="Z22" i="55" s="1"/>
  <c r="L22" i="55"/>
  <c r="N22" i="55" s="1"/>
  <c r="J22" i="55"/>
  <c r="F22" i="55"/>
  <c r="B22" i="55"/>
  <c r="Z21" i="55"/>
  <c r="X21" i="55"/>
  <c r="V21" i="55"/>
  <c r="T21" i="55"/>
  <c r="R21" i="55"/>
  <c r="P21" i="55"/>
  <c r="H21" i="55"/>
  <c r="F21" i="55"/>
  <c r="D21" i="55"/>
  <c r="B21" i="55"/>
  <c r="Z20" i="55"/>
  <c r="X20" i="55"/>
  <c r="N20" i="55"/>
  <c r="L20" i="55"/>
  <c r="F20" i="55"/>
  <c r="B20" i="55"/>
  <c r="X19" i="55"/>
  <c r="T19" i="55"/>
  <c r="Z19" i="55" s="1"/>
  <c r="R19" i="55"/>
  <c r="P19" i="55"/>
  <c r="N19" i="55"/>
  <c r="L19" i="55"/>
  <c r="H19" i="55"/>
  <c r="F19" i="55"/>
  <c r="D19" i="55"/>
  <c r="B19" i="55"/>
  <c r="X18" i="55"/>
  <c r="T18" i="55"/>
  <c r="Z18" i="55" s="1"/>
  <c r="P18" i="55"/>
  <c r="N18" i="55"/>
  <c r="H18" i="55"/>
  <c r="F18" i="55"/>
  <c r="D18" i="55"/>
  <c r="L18" i="55" s="1"/>
  <c r="V16" i="55"/>
  <c r="P16" i="55"/>
  <c r="H16" i="55"/>
  <c r="H33" i="55" s="1"/>
  <c r="F16" i="55"/>
  <c r="D16" i="55"/>
  <c r="L16" i="55" s="1"/>
  <c r="T14" i="55"/>
  <c r="P14" i="55"/>
  <c r="N14" i="55"/>
  <c r="H14" i="55"/>
  <c r="F14" i="55"/>
  <c r="D14" i="55"/>
  <c r="T12" i="55"/>
  <c r="V31" i="55" s="1"/>
  <c r="P12" i="55"/>
  <c r="R20" i="55" s="1"/>
  <c r="L12" i="55"/>
  <c r="H12" i="55"/>
  <c r="J27" i="55" s="1"/>
  <c r="D12" i="55"/>
  <c r="D6" i="55"/>
  <c r="D4" i="55"/>
  <c r="R31" i="54"/>
  <c r="X29" i="54"/>
  <c r="T29" i="54"/>
  <c r="P29" i="54"/>
  <c r="L29" i="54"/>
  <c r="N29" i="54" s="1"/>
  <c r="H29" i="54"/>
  <c r="F29" i="54"/>
  <c r="D29" i="54"/>
  <c r="V28" i="54"/>
  <c r="T28" i="54"/>
  <c r="X28" i="54" s="1"/>
  <c r="Z28" i="54" s="1"/>
  <c r="R28" i="54"/>
  <c r="P28" i="54"/>
  <c r="L28" i="54"/>
  <c r="N28" i="54" s="1"/>
  <c r="H28" i="54"/>
  <c r="F28" i="54"/>
  <c r="D28" i="54"/>
  <c r="F26" i="54"/>
  <c r="Z24" i="54"/>
  <c r="X24" i="54"/>
  <c r="R24" i="54"/>
  <c r="N24" i="54"/>
  <c r="L24" i="54"/>
  <c r="F24" i="54"/>
  <c r="R22" i="54"/>
  <c r="Z20" i="54"/>
  <c r="T20" i="54"/>
  <c r="P20" i="54"/>
  <c r="N20" i="54"/>
  <c r="L20" i="54"/>
  <c r="H20" i="54"/>
  <c r="D20" i="54"/>
  <c r="Z18" i="54"/>
  <c r="T18" i="54"/>
  <c r="P18" i="54"/>
  <c r="X18" i="54" s="1"/>
  <c r="H18" i="54"/>
  <c r="N18" i="54" s="1"/>
  <c r="D18" i="54"/>
  <c r="L18" i="54" s="1"/>
  <c r="T16" i="54"/>
  <c r="P16" i="54"/>
  <c r="D16" i="54"/>
  <c r="D22" i="54" s="1"/>
  <c r="Z14" i="54"/>
  <c r="T14" i="54"/>
  <c r="P14" i="54"/>
  <c r="X14" i="54" s="1"/>
  <c r="L14" i="54"/>
  <c r="H14" i="54"/>
  <c r="N14" i="54" s="1"/>
  <c r="D14" i="54"/>
  <c r="T12" i="54"/>
  <c r="V29" i="54" s="1"/>
  <c r="P12" i="54"/>
  <c r="R14" i="54" s="1"/>
  <c r="H12" i="54"/>
  <c r="D12" i="54"/>
  <c r="D6" i="54"/>
  <c r="D4" i="54"/>
  <c r="Z108" i="51"/>
  <c r="X108" i="51"/>
  <c r="L108" i="51"/>
  <c r="N108" i="51" s="1"/>
  <c r="T104" i="51"/>
  <c r="P104" i="51"/>
  <c r="H104" i="51"/>
  <c r="D104" i="51"/>
  <c r="D100" i="51" s="1"/>
  <c r="B104" i="51"/>
  <c r="X103" i="51"/>
  <c r="T103" i="51"/>
  <c r="Z103" i="51" s="1"/>
  <c r="P103" i="51"/>
  <c r="N103" i="51"/>
  <c r="H103" i="51"/>
  <c r="D103" i="51"/>
  <c r="L103" i="51" s="1"/>
  <c r="B103" i="51"/>
  <c r="Z102" i="51"/>
  <c r="T102" i="51"/>
  <c r="P102" i="51"/>
  <c r="X102" i="51" s="1"/>
  <c r="L102" i="51"/>
  <c r="H102" i="51"/>
  <c r="D102" i="51"/>
  <c r="B102" i="51"/>
  <c r="Z101" i="51"/>
  <c r="X101" i="51"/>
  <c r="T101" i="51"/>
  <c r="P101" i="51"/>
  <c r="H101" i="51"/>
  <c r="D101" i="51"/>
  <c r="L101" i="51" s="1"/>
  <c r="N101" i="51" s="1"/>
  <c r="B101" i="51"/>
  <c r="T100" i="51"/>
  <c r="P100" i="51"/>
  <c r="Z98" i="51"/>
  <c r="X98" i="51"/>
  <c r="N98" i="51"/>
  <c r="L98" i="51"/>
  <c r="B98" i="51"/>
  <c r="X97" i="51"/>
  <c r="T97" i="51"/>
  <c r="Z97" i="51" s="1"/>
  <c r="P97" i="51"/>
  <c r="N97" i="51"/>
  <c r="H97" i="51"/>
  <c r="D97" i="51"/>
  <c r="L97" i="51" s="1"/>
  <c r="B97" i="51"/>
  <c r="Z96" i="51"/>
  <c r="X96" i="51"/>
  <c r="N96" i="51"/>
  <c r="L96" i="51"/>
  <c r="B96" i="51"/>
  <c r="Z95" i="51"/>
  <c r="T95" i="51"/>
  <c r="P95" i="51"/>
  <c r="X95" i="51" s="1"/>
  <c r="N95" i="51"/>
  <c r="L95" i="51"/>
  <c r="H95" i="51"/>
  <c r="D95" i="51"/>
  <c r="B95" i="51"/>
  <c r="X94" i="51"/>
  <c r="Z94" i="51" s="1"/>
  <c r="N94" i="51"/>
  <c r="L94" i="51"/>
  <c r="B94" i="51"/>
  <c r="T93" i="51"/>
  <c r="P93" i="51"/>
  <c r="X93" i="51" s="1"/>
  <c r="Z93" i="51" s="1"/>
  <c r="N93" i="51"/>
  <c r="L93" i="51"/>
  <c r="H93" i="51"/>
  <c r="D93" i="51"/>
  <c r="B93" i="51"/>
  <c r="X92" i="51"/>
  <c r="Z92" i="51" s="1"/>
  <c r="N92" i="51"/>
  <c r="L92" i="51"/>
  <c r="B92" i="51"/>
  <c r="Z91" i="51"/>
  <c r="X91" i="51"/>
  <c r="N91" i="51"/>
  <c r="L91" i="51"/>
  <c r="B91" i="51"/>
  <c r="T90" i="51"/>
  <c r="P90" i="51"/>
  <c r="X90" i="51" s="1"/>
  <c r="H90" i="51"/>
  <c r="D90" i="51"/>
  <c r="L90" i="51" s="1"/>
  <c r="B90" i="51"/>
  <c r="X89" i="51"/>
  <c r="Z89" i="51" s="1"/>
  <c r="N89" i="51"/>
  <c r="L89" i="51"/>
  <c r="B89" i="51"/>
  <c r="X88" i="51"/>
  <c r="Z88" i="51" s="1"/>
  <c r="T88" i="51"/>
  <c r="P88" i="51"/>
  <c r="H88" i="51"/>
  <c r="N88" i="51" s="1"/>
  <c r="D88" i="51"/>
  <c r="B88" i="51"/>
  <c r="Z87" i="51"/>
  <c r="X87" i="51"/>
  <c r="N87" i="51"/>
  <c r="L87" i="51"/>
  <c r="B87" i="51"/>
  <c r="T86" i="51"/>
  <c r="P86" i="51"/>
  <c r="H86" i="51"/>
  <c r="N86" i="51" s="1"/>
  <c r="D86" i="51"/>
  <c r="L86" i="51" s="1"/>
  <c r="B86" i="51"/>
  <c r="X85" i="51"/>
  <c r="Z85" i="51" s="1"/>
  <c r="L85" i="51"/>
  <c r="N85" i="51" s="1"/>
  <c r="B85" i="51"/>
  <c r="X84" i="51"/>
  <c r="T84" i="51"/>
  <c r="Z84" i="51" s="1"/>
  <c r="P84" i="51"/>
  <c r="H84" i="51"/>
  <c r="D84" i="51"/>
  <c r="L84" i="51" s="1"/>
  <c r="B84" i="51"/>
  <c r="Z83" i="51"/>
  <c r="X83" i="51"/>
  <c r="N83" i="51"/>
  <c r="L83" i="51"/>
  <c r="B83" i="51"/>
  <c r="T82" i="51"/>
  <c r="P82" i="51"/>
  <c r="H82" i="51"/>
  <c r="D82" i="51"/>
  <c r="L82" i="51" s="1"/>
  <c r="N82" i="51" s="1"/>
  <c r="B82" i="51"/>
  <c r="Z81" i="51"/>
  <c r="X81" i="51"/>
  <c r="N81" i="51"/>
  <c r="L81" i="51"/>
  <c r="B81" i="51"/>
  <c r="X80" i="51"/>
  <c r="T80" i="51"/>
  <c r="P80" i="51"/>
  <c r="H80" i="51"/>
  <c r="D80" i="51"/>
  <c r="B80" i="51"/>
  <c r="Z79" i="51"/>
  <c r="X79" i="51"/>
  <c r="N79" i="51"/>
  <c r="L79" i="51"/>
  <c r="B79" i="51"/>
  <c r="T78" i="51"/>
  <c r="P78" i="51"/>
  <c r="X78" i="51" s="1"/>
  <c r="L78" i="51"/>
  <c r="H78" i="51"/>
  <c r="N78" i="51" s="1"/>
  <c r="D78" i="51"/>
  <c r="B78" i="51"/>
  <c r="X77" i="51"/>
  <c r="Z77" i="51" s="1"/>
  <c r="N77" i="51"/>
  <c r="L77" i="51"/>
  <c r="B77" i="51"/>
  <c r="X76" i="51"/>
  <c r="Z76" i="51" s="1"/>
  <c r="T76" i="51"/>
  <c r="P76" i="51"/>
  <c r="H76" i="51"/>
  <c r="D76" i="51"/>
  <c r="B76" i="51"/>
  <c r="Z75" i="51"/>
  <c r="X75" i="51"/>
  <c r="N75" i="51"/>
  <c r="L75" i="51"/>
  <c r="B75" i="51"/>
  <c r="T74" i="51"/>
  <c r="P74" i="51"/>
  <c r="H74" i="51"/>
  <c r="D74" i="51"/>
  <c r="B74" i="51"/>
  <c r="X73" i="51"/>
  <c r="Z73" i="51" s="1"/>
  <c r="L73" i="51"/>
  <c r="N73" i="51" s="1"/>
  <c r="B73" i="51"/>
  <c r="T72" i="51"/>
  <c r="P72" i="51"/>
  <c r="X72" i="51" s="1"/>
  <c r="H72" i="51"/>
  <c r="D72" i="51"/>
  <c r="B72" i="51"/>
  <c r="Z71" i="51"/>
  <c r="X71" i="51"/>
  <c r="N71" i="51"/>
  <c r="L71" i="51"/>
  <c r="B71" i="51"/>
  <c r="Z70" i="51"/>
  <c r="X70" i="51"/>
  <c r="N70" i="51"/>
  <c r="L70" i="51"/>
  <c r="B70" i="51"/>
  <c r="X69" i="51"/>
  <c r="Z69" i="51" s="1"/>
  <c r="N69" i="51"/>
  <c r="L69" i="51"/>
  <c r="B69" i="51"/>
  <c r="X68" i="51"/>
  <c r="Z68" i="51" s="1"/>
  <c r="L68" i="51"/>
  <c r="N68" i="51" s="1"/>
  <c r="B68" i="51"/>
  <c r="T67" i="51"/>
  <c r="Z67" i="51" s="1"/>
  <c r="P67" i="51"/>
  <c r="X67" i="51" s="1"/>
  <c r="L67" i="51"/>
  <c r="N67" i="51" s="1"/>
  <c r="H67" i="51"/>
  <c r="D67" i="51"/>
  <c r="B67" i="51"/>
  <c r="X66" i="51"/>
  <c r="Z66" i="51" s="1"/>
  <c r="N66" i="51"/>
  <c r="L66" i="51"/>
  <c r="B66" i="51"/>
  <c r="Z65" i="51"/>
  <c r="X65" i="51"/>
  <c r="L65" i="51"/>
  <c r="N65" i="51" s="1"/>
  <c r="B65" i="51"/>
  <c r="X64" i="51"/>
  <c r="Z64" i="51" s="1"/>
  <c r="L64" i="51"/>
  <c r="N64" i="51" s="1"/>
  <c r="B64" i="51"/>
  <c r="Z63" i="51"/>
  <c r="X63" i="51"/>
  <c r="N63" i="51"/>
  <c r="L63" i="51"/>
  <c r="B63" i="51"/>
  <c r="X62" i="51"/>
  <c r="Z62" i="51" s="1"/>
  <c r="V62" i="51"/>
  <c r="N62" i="51"/>
  <c r="L62" i="51"/>
  <c r="B62" i="51"/>
  <c r="Z61" i="51"/>
  <c r="X61" i="51"/>
  <c r="L61" i="51"/>
  <c r="N61" i="51" s="1"/>
  <c r="B61" i="51"/>
  <c r="X60" i="51"/>
  <c r="Z60" i="51" s="1"/>
  <c r="L60" i="51"/>
  <c r="N60" i="51" s="1"/>
  <c r="B60" i="51"/>
  <c r="Z59" i="51"/>
  <c r="X59" i="51"/>
  <c r="N59" i="51"/>
  <c r="L59" i="51"/>
  <c r="B59" i="51"/>
  <c r="X58" i="51"/>
  <c r="Z58" i="51" s="1"/>
  <c r="N58" i="51"/>
  <c r="L58" i="51"/>
  <c r="B58" i="51"/>
  <c r="Z57" i="51"/>
  <c r="T57" i="51"/>
  <c r="P57" i="51"/>
  <c r="X57" i="51" s="1"/>
  <c r="N57" i="51"/>
  <c r="L57" i="51"/>
  <c r="H57" i="51"/>
  <c r="D57" i="51"/>
  <c r="B57" i="51"/>
  <c r="T56" i="51"/>
  <c r="P56" i="51"/>
  <c r="X56" i="51" s="1"/>
  <c r="H56" i="51"/>
  <c r="D56" i="51"/>
  <c r="X52" i="51"/>
  <c r="Z52" i="51" s="1"/>
  <c r="N52" i="51"/>
  <c r="L52" i="51"/>
  <c r="B52" i="51"/>
  <c r="Z51" i="51"/>
  <c r="X51" i="51"/>
  <c r="N51" i="51"/>
  <c r="L51" i="51"/>
  <c r="B51" i="51"/>
  <c r="Z50" i="51"/>
  <c r="X50" i="51"/>
  <c r="L50" i="51"/>
  <c r="N50" i="51" s="1"/>
  <c r="B50" i="51"/>
  <c r="Z49" i="51"/>
  <c r="X49" i="51"/>
  <c r="N49" i="51"/>
  <c r="L49" i="51"/>
  <c r="B49" i="51"/>
  <c r="X48" i="51"/>
  <c r="Z48" i="51" s="1"/>
  <c r="N48" i="51"/>
  <c r="L48" i="51"/>
  <c r="B48" i="51"/>
  <c r="Z47" i="51"/>
  <c r="X47" i="51"/>
  <c r="V47" i="51"/>
  <c r="N47" i="51"/>
  <c r="L47" i="51"/>
  <c r="B47" i="51"/>
  <c r="Z46" i="51"/>
  <c r="X46" i="51"/>
  <c r="L46" i="51"/>
  <c r="N46" i="51" s="1"/>
  <c r="B46" i="51"/>
  <c r="Z45" i="51"/>
  <c r="X45" i="51"/>
  <c r="N45" i="51"/>
  <c r="L45" i="51"/>
  <c r="B45" i="51"/>
  <c r="X44" i="51"/>
  <c r="Z44" i="51" s="1"/>
  <c r="L44" i="51"/>
  <c r="N44" i="51" s="1"/>
  <c r="B44" i="51"/>
  <c r="Z43" i="51"/>
  <c r="X43" i="51"/>
  <c r="N43" i="51"/>
  <c r="L43" i="51"/>
  <c r="B43" i="51"/>
  <c r="Z42" i="51"/>
  <c r="X42" i="51"/>
  <c r="L42" i="51"/>
  <c r="N42" i="51" s="1"/>
  <c r="B42" i="51"/>
  <c r="X41" i="51"/>
  <c r="Z41" i="51" s="1"/>
  <c r="L41" i="51"/>
  <c r="N41" i="51" s="1"/>
  <c r="B41" i="51"/>
  <c r="X40" i="51"/>
  <c r="Z40" i="51" s="1"/>
  <c r="L40" i="51"/>
  <c r="N40" i="51" s="1"/>
  <c r="B40" i="51"/>
  <c r="Z39" i="51"/>
  <c r="X39" i="51"/>
  <c r="N39" i="51"/>
  <c r="L39" i="51"/>
  <c r="B39" i="51"/>
  <c r="T38" i="51"/>
  <c r="P38" i="51"/>
  <c r="X38" i="51" s="1"/>
  <c r="Z38" i="51" s="1"/>
  <c r="H38" i="51"/>
  <c r="D38" i="51"/>
  <c r="L38" i="51" s="1"/>
  <c r="T36" i="51"/>
  <c r="P36" i="51"/>
  <c r="X36" i="51" s="1"/>
  <c r="Z36" i="51" s="1"/>
  <c r="H36" i="51"/>
  <c r="D36" i="51"/>
  <c r="L36" i="51" s="1"/>
  <c r="B36" i="51"/>
  <c r="T35" i="51"/>
  <c r="P35" i="51"/>
  <c r="H35" i="51"/>
  <c r="D35" i="51"/>
  <c r="B35" i="51"/>
  <c r="X34" i="51"/>
  <c r="Z34" i="51" s="1"/>
  <c r="T34" i="51"/>
  <c r="P34" i="51"/>
  <c r="L34" i="51"/>
  <c r="N34" i="51" s="1"/>
  <c r="H34" i="51"/>
  <c r="D34" i="51"/>
  <c r="B34" i="51"/>
  <c r="T33" i="51"/>
  <c r="Z33" i="51" s="1"/>
  <c r="P33" i="51"/>
  <c r="X33" i="51" s="1"/>
  <c r="N33" i="51"/>
  <c r="H33" i="51"/>
  <c r="D33" i="51"/>
  <c r="L33" i="51" s="1"/>
  <c r="B33" i="51"/>
  <c r="Z32" i="51"/>
  <c r="T32" i="51"/>
  <c r="P32" i="51"/>
  <c r="X32" i="51" s="1"/>
  <c r="L32" i="51"/>
  <c r="H32" i="51"/>
  <c r="N32" i="51" s="1"/>
  <c r="D32" i="51"/>
  <c r="B32" i="51"/>
  <c r="X31" i="51"/>
  <c r="T31" i="51"/>
  <c r="Z31" i="51" s="1"/>
  <c r="P31" i="51"/>
  <c r="H31" i="51"/>
  <c r="D31" i="51"/>
  <c r="B31" i="51"/>
  <c r="Z30" i="51"/>
  <c r="X30" i="51"/>
  <c r="T30" i="51"/>
  <c r="P30" i="51"/>
  <c r="L30" i="51"/>
  <c r="H30" i="51"/>
  <c r="N30" i="51" s="1"/>
  <c r="D30" i="51"/>
  <c r="B30" i="51"/>
  <c r="T29" i="51"/>
  <c r="P29" i="51"/>
  <c r="H29" i="51"/>
  <c r="D29" i="51"/>
  <c r="L29" i="51" s="1"/>
  <c r="N29" i="51" s="1"/>
  <c r="B29" i="51"/>
  <c r="T28" i="51"/>
  <c r="P28" i="51"/>
  <c r="X28" i="51" s="1"/>
  <c r="Z28" i="51" s="1"/>
  <c r="H28" i="51"/>
  <c r="D28" i="51"/>
  <c r="L28" i="51" s="1"/>
  <c r="B28" i="51"/>
  <c r="T27" i="51"/>
  <c r="P27" i="51"/>
  <c r="H27" i="51"/>
  <c r="D27" i="51"/>
  <c r="B27" i="51"/>
  <c r="X26" i="51"/>
  <c r="Z26" i="51" s="1"/>
  <c r="T26" i="51"/>
  <c r="P26" i="51"/>
  <c r="H26" i="51"/>
  <c r="L26" i="51" s="1"/>
  <c r="D26" i="51"/>
  <c r="B26" i="51"/>
  <c r="T25" i="51"/>
  <c r="Z25" i="51" s="1"/>
  <c r="P25" i="51"/>
  <c r="X25" i="51" s="1"/>
  <c r="H25" i="51"/>
  <c r="D25" i="51"/>
  <c r="L25" i="51" s="1"/>
  <c r="N25" i="51" s="1"/>
  <c r="B25" i="51"/>
  <c r="T24" i="51"/>
  <c r="P24" i="51"/>
  <c r="X24" i="51" s="1"/>
  <c r="Z24" i="51" s="1"/>
  <c r="L24" i="51"/>
  <c r="H24" i="51"/>
  <c r="N24" i="51" s="1"/>
  <c r="D24" i="51"/>
  <c r="B24" i="51"/>
  <c r="T23" i="51"/>
  <c r="P23" i="51"/>
  <c r="X23" i="51" s="1"/>
  <c r="H23" i="51"/>
  <c r="D23" i="51"/>
  <c r="B23" i="51"/>
  <c r="X22" i="51"/>
  <c r="Z22" i="51" s="1"/>
  <c r="T22" i="51"/>
  <c r="P22" i="51"/>
  <c r="H22" i="51"/>
  <c r="D22" i="51"/>
  <c r="B22" i="51"/>
  <c r="T21" i="51"/>
  <c r="P21" i="51"/>
  <c r="H21" i="51"/>
  <c r="D21" i="51"/>
  <c r="L21" i="51" s="1"/>
  <c r="N21" i="51" s="1"/>
  <c r="B21" i="51"/>
  <c r="T20" i="51"/>
  <c r="P20" i="51"/>
  <c r="X20" i="51" s="1"/>
  <c r="Z20" i="51" s="1"/>
  <c r="H20" i="51"/>
  <c r="D20" i="51"/>
  <c r="L20" i="51" s="1"/>
  <c r="B20" i="51"/>
  <c r="T19" i="51"/>
  <c r="P19" i="51"/>
  <c r="X19" i="51" s="1"/>
  <c r="H19" i="51"/>
  <c r="D19" i="51"/>
  <c r="B19" i="51"/>
  <c r="X18" i="51"/>
  <c r="Z18" i="51" s="1"/>
  <c r="T18" i="51"/>
  <c r="P18" i="51"/>
  <c r="L18" i="51"/>
  <c r="H18" i="51"/>
  <c r="D18" i="51"/>
  <c r="B18" i="51"/>
  <c r="T17" i="51"/>
  <c r="P17" i="51"/>
  <c r="H17" i="51"/>
  <c r="D17" i="51"/>
  <c r="L17" i="51" s="1"/>
  <c r="N17" i="51" s="1"/>
  <c r="B17" i="51"/>
  <c r="T16" i="51"/>
  <c r="P16" i="51"/>
  <c r="X16" i="51" s="1"/>
  <c r="Z16" i="51" s="1"/>
  <c r="H16" i="51"/>
  <c r="D16" i="51"/>
  <c r="L16" i="51" s="1"/>
  <c r="B16" i="51"/>
  <c r="T15" i="51"/>
  <c r="P15" i="51"/>
  <c r="H15" i="51"/>
  <c r="D15" i="51"/>
  <c r="B15" i="51"/>
  <c r="X14" i="51"/>
  <c r="Z14" i="51" s="1"/>
  <c r="T14" i="51"/>
  <c r="P14" i="51"/>
  <c r="H14" i="51"/>
  <c r="L14" i="51" s="1"/>
  <c r="D14" i="51"/>
  <c r="B14" i="51"/>
  <c r="Z13" i="51"/>
  <c r="T13" i="51"/>
  <c r="T12" i="51" s="1"/>
  <c r="V45" i="51" s="1"/>
  <c r="P13" i="51"/>
  <c r="X13" i="51" s="1"/>
  <c r="H13" i="51"/>
  <c r="D13" i="51"/>
  <c r="B13" i="51"/>
  <c r="D4" i="51"/>
  <c r="Z72" i="48"/>
  <c r="X72" i="48"/>
  <c r="N72" i="48"/>
  <c r="L72" i="48"/>
  <c r="T68" i="48"/>
  <c r="P68" i="48"/>
  <c r="L68" i="48"/>
  <c r="H68" i="48"/>
  <c r="N68" i="48" s="1"/>
  <c r="D68" i="48"/>
  <c r="B68" i="48"/>
  <c r="T67" i="48"/>
  <c r="P67" i="48"/>
  <c r="H67" i="48"/>
  <c r="D67" i="48"/>
  <c r="D66" i="48" s="1"/>
  <c r="B67" i="48"/>
  <c r="X64" i="48"/>
  <c r="Z64" i="48" s="1"/>
  <c r="V64" i="48"/>
  <c r="N64" i="48"/>
  <c r="L64" i="48"/>
  <c r="B64" i="48"/>
  <c r="T63" i="48"/>
  <c r="P63" i="48"/>
  <c r="X63" i="48" s="1"/>
  <c r="H63" i="48"/>
  <c r="N63" i="48" s="1"/>
  <c r="D63" i="48"/>
  <c r="B63" i="48"/>
  <c r="Z62" i="48"/>
  <c r="X62" i="48"/>
  <c r="L62" i="48"/>
  <c r="N62" i="48" s="1"/>
  <c r="F62" i="48"/>
  <c r="B62" i="48"/>
  <c r="X61" i="48"/>
  <c r="T61" i="48"/>
  <c r="P61" i="48"/>
  <c r="N61" i="48"/>
  <c r="H61" i="48"/>
  <c r="D61" i="48"/>
  <c r="L61" i="48" s="1"/>
  <c r="B61" i="48"/>
  <c r="Z60" i="48"/>
  <c r="X60" i="48"/>
  <c r="V60" i="48"/>
  <c r="N60" i="48"/>
  <c r="L60" i="48"/>
  <c r="B60" i="48"/>
  <c r="X59" i="48"/>
  <c r="Z59" i="48" s="1"/>
  <c r="N59" i="48"/>
  <c r="L59" i="48"/>
  <c r="B59" i="48"/>
  <c r="Z58" i="48"/>
  <c r="X58" i="48"/>
  <c r="N58" i="48"/>
  <c r="L58" i="48"/>
  <c r="B58" i="48"/>
  <c r="Z57" i="48"/>
  <c r="X57" i="48"/>
  <c r="V57" i="48"/>
  <c r="N57" i="48"/>
  <c r="L57" i="48"/>
  <c r="B57" i="48"/>
  <c r="V56" i="48"/>
  <c r="T56" i="48"/>
  <c r="P56" i="48"/>
  <c r="X56" i="48" s="1"/>
  <c r="Z56" i="48" s="1"/>
  <c r="H56" i="48"/>
  <c r="D56" i="48"/>
  <c r="B56" i="48"/>
  <c r="X55" i="48"/>
  <c r="Z55" i="48" s="1"/>
  <c r="N55" i="48"/>
  <c r="L55" i="48"/>
  <c r="B55" i="48"/>
  <c r="Z54" i="48"/>
  <c r="X54" i="48"/>
  <c r="V54" i="48"/>
  <c r="N54" i="48"/>
  <c r="L54" i="48"/>
  <c r="B54" i="48"/>
  <c r="V53" i="48"/>
  <c r="T53" i="48"/>
  <c r="P53" i="48"/>
  <c r="H53" i="48"/>
  <c r="N53" i="48" s="1"/>
  <c r="D53" i="48"/>
  <c r="L53" i="48" s="1"/>
  <c r="B53" i="48"/>
  <c r="X52" i="48"/>
  <c r="Z52" i="48" s="1"/>
  <c r="V52" i="48"/>
  <c r="N52" i="48"/>
  <c r="L52" i="48"/>
  <c r="B52" i="48"/>
  <c r="V51" i="48"/>
  <c r="T51" i="48"/>
  <c r="P51" i="48"/>
  <c r="X51" i="48" s="1"/>
  <c r="Z51" i="48" s="1"/>
  <c r="H51" i="48"/>
  <c r="D51" i="48"/>
  <c r="B51" i="48"/>
  <c r="Z50" i="48"/>
  <c r="X50" i="48"/>
  <c r="N50" i="48"/>
  <c r="L50" i="48"/>
  <c r="B50" i="48"/>
  <c r="X49" i="48"/>
  <c r="T49" i="48"/>
  <c r="P49" i="48"/>
  <c r="N49" i="48"/>
  <c r="H49" i="48"/>
  <c r="D49" i="48"/>
  <c r="L49" i="48" s="1"/>
  <c r="B49" i="48"/>
  <c r="X48" i="48"/>
  <c r="Z48" i="48" s="1"/>
  <c r="V48" i="48"/>
  <c r="L48" i="48"/>
  <c r="N48" i="48" s="1"/>
  <c r="B48" i="48"/>
  <c r="X47" i="48"/>
  <c r="T47" i="48"/>
  <c r="P47" i="48"/>
  <c r="H47" i="48"/>
  <c r="D47" i="48"/>
  <c r="L47" i="48" s="1"/>
  <c r="B47" i="48"/>
  <c r="Z46" i="48"/>
  <c r="X46" i="48"/>
  <c r="V46" i="48"/>
  <c r="N46" i="48"/>
  <c r="L46" i="48"/>
  <c r="B46" i="48"/>
  <c r="T45" i="48"/>
  <c r="P45" i="48"/>
  <c r="X45" i="48" s="1"/>
  <c r="L45" i="48"/>
  <c r="N45" i="48" s="1"/>
  <c r="H45" i="48"/>
  <c r="F45" i="48"/>
  <c r="D45" i="48"/>
  <c r="B45" i="48"/>
  <c r="Z44" i="48"/>
  <c r="X44" i="48"/>
  <c r="V44" i="48"/>
  <c r="L44" i="48"/>
  <c r="N44" i="48" s="1"/>
  <c r="B44" i="48"/>
  <c r="X43" i="48"/>
  <c r="Z43" i="48" s="1"/>
  <c r="N43" i="48"/>
  <c r="L43" i="48"/>
  <c r="B43" i="48"/>
  <c r="X42" i="48"/>
  <c r="T42" i="48"/>
  <c r="P42" i="48"/>
  <c r="L42" i="48"/>
  <c r="N42" i="48" s="1"/>
  <c r="H42" i="48"/>
  <c r="D42" i="48"/>
  <c r="B42" i="48"/>
  <c r="Z41" i="48"/>
  <c r="X41" i="48"/>
  <c r="V41" i="48"/>
  <c r="L41" i="48"/>
  <c r="N41" i="48" s="1"/>
  <c r="B41" i="48"/>
  <c r="T40" i="48"/>
  <c r="V40" i="48" s="1"/>
  <c r="P40" i="48"/>
  <c r="X40" i="48" s="1"/>
  <c r="N40" i="48"/>
  <c r="H40" i="48"/>
  <c r="D40" i="48"/>
  <c r="L40" i="48" s="1"/>
  <c r="B40" i="48"/>
  <c r="Z39" i="48"/>
  <c r="X39" i="48"/>
  <c r="V39" i="48"/>
  <c r="N39" i="48"/>
  <c r="L39" i="48"/>
  <c r="B39" i="48"/>
  <c r="T38" i="48"/>
  <c r="P38" i="48"/>
  <c r="H38" i="48"/>
  <c r="D38" i="48"/>
  <c r="L38" i="48" s="1"/>
  <c r="B38" i="48"/>
  <c r="X37" i="48"/>
  <c r="Z37" i="48" s="1"/>
  <c r="V37" i="48"/>
  <c r="N37" i="48"/>
  <c r="L37" i="48"/>
  <c r="B37" i="48"/>
  <c r="V36" i="48"/>
  <c r="T36" i="48"/>
  <c r="P36" i="48"/>
  <c r="X36" i="48" s="1"/>
  <c r="N36" i="48"/>
  <c r="L36" i="48"/>
  <c r="H36" i="48"/>
  <c r="D36" i="48"/>
  <c r="B36" i="48"/>
  <c r="X35" i="48"/>
  <c r="Z35" i="48" s="1"/>
  <c r="V35" i="48"/>
  <c r="N35" i="48"/>
  <c r="L35" i="48"/>
  <c r="B35" i="48"/>
  <c r="Z34" i="48"/>
  <c r="X34" i="48"/>
  <c r="V34" i="48"/>
  <c r="L34" i="48"/>
  <c r="N34" i="48" s="1"/>
  <c r="B34" i="48"/>
  <c r="Z33" i="48"/>
  <c r="X33" i="48"/>
  <c r="V33" i="48"/>
  <c r="N33" i="48"/>
  <c r="L33" i="48"/>
  <c r="B33" i="48"/>
  <c r="Z32" i="48"/>
  <c r="X32" i="48"/>
  <c r="V32" i="48"/>
  <c r="L32" i="48"/>
  <c r="N32" i="48" s="1"/>
  <c r="B32" i="48"/>
  <c r="X31" i="48"/>
  <c r="Z31" i="48" s="1"/>
  <c r="V31" i="48"/>
  <c r="N31" i="48"/>
  <c r="L31" i="48"/>
  <c r="B31" i="48"/>
  <c r="Z30" i="48"/>
  <c r="X30" i="48"/>
  <c r="V30" i="48"/>
  <c r="L30" i="48"/>
  <c r="N30" i="48" s="1"/>
  <c r="B30" i="48"/>
  <c r="T29" i="48"/>
  <c r="V29" i="48" s="1"/>
  <c r="P29" i="48"/>
  <c r="N29" i="48"/>
  <c r="L29" i="48"/>
  <c r="H29" i="48"/>
  <c r="D29" i="48"/>
  <c r="B29" i="48"/>
  <c r="X28" i="48"/>
  <c r="Z28" i="48" s="1"/>
  <c r="V28" i="48"/>
  <c r="L28" i="48"/>
  <c r="N28" i="48" s="1"/>
  <c r="F28" i="48"/>
  <c r="B28" i="48"/>
  <c r="Z27" i="48"/>
  <c r="X27" i="48"/>
  <c r="V27" i="48"/>
  <c r="N27" i="48"/>
  <c r="L27" i="48"/>
  <c r="B27" i="48"/>
  <c r="X26" i="48"/>
  <c r="Z26" i="48" s="1"/>
  <c r="V26" i="48"/>
  <c r="N26" i="48"/>
  <c r="L26" i="48"/>
  <c r="B26" i="48"/>
  <c r="X25" i="48"/>
  <c r="Z25" i="48" s="1"/>
  <c r="V25" i="48"/>
  <c r="N25" i="48"/>
  <c r="L25" i="48"/>
  <c r="B25" i="48"/>
  <c r="X24" i="48"/>
  <c r="Z24" i="48" s="1"/>
  <c r="V24" i="48"/>
  <c r="L24" i="48"/>
  <c r="N24" i="48" s="1"/>
  <c r="B24" i="48"/>
  <c r="Z23" i="48"/>
  <c r="X23" i="48"/>
  <c r="V23" i="48"/>
  <c r="L23" i="48"/>
  <c r="N23" i="48" s="1"/>
  <c r="F23" i="48"/>
  <c r="B23" i="48"/>
  <c r="X22" i="48"/>
  <c r="Z22" i="48" s="1"/>
  <c r="V22" i="48"/>
  <c r="L22" i="48"/>
  <c r="N22" i="48" s="1"/>
  <c r="B22" i="48"/>
  <c r="X21" i="48"/>
  <c r="Z21" i="48" s="1"/>
  <c r="V21" i="48"/>
  <c r="N21" i="48"/>
  <c r="L21" i="48"/>
  <c r="B21" i="48"/>
  <c r="X20" i="48"/>
  <c r="V20" i="48"/>
  <c r="T20" i="48"/>
  <c r="Z20" i="48" s="1"/>
  <c r="P20" i="48"/>
  <c r="L20" i="48"/>
  <c r="N20" i="48" s="1"/>
  <c r="H20" i="48"/>
  <c r="D20" i="48"/>
  <c r="B20" i="48"/>
  <c r="X19" i="48"/>
  <c r="T19" i="48"/>
  <c r="P19" i="48"/>
  <c r="N19" i="48"/>
  <c r="L19" i="48"/>
  <c r="H19" i="48"/>
  <c r="D19" i="48"/>
  <c r="T17" i="48"/>
  <c r="T15" i="48"/>
  <c r="Z15" i="48" s="1"/>
  <c r="P15" i="48"/>
  <c r="X15" i="48" s="1"/>
  <c r="H15" i="48"/>
  <c r="F15" i="48"/>
  <c r="D15" i="48"/>
  <c r="T13" i="48"/>
  <c r="P13" i="48"/>
  <c r="X13" i="48" s="1"/>
  <c r="Z13" i="48" s="1"/>
  <c r="L13" i="48"/>
  <c r="H13" i="48"/>
  <c r="H12" i="48" s="1"/>
  <c r="J35" i="48" s="1"/>
  <c r="D13" i="48"/>
  <c r="D12" i="48" s="1"/>
  <c r="B13" i="48"/>
  <c r="T12" i="48"/>
  <c r="V61" i="48" s="1"/>
  <c r="D4" i="48"/>
  <c r="Z94" i="45"/>
  <c r="X94" i="45"/>
  <c r="N94" i="45"/>
  <c r="L94" i="45"/>
  <c r="T90" i="45"/>
  <c r="Z90" i="45" s="1"/>
  <c r="P90" i="45"/>
  <c r="X90" i="45" s="1"/>
  <c r="N90" i="45"/>
  <c r="L90" i="45"/>
  <c r="H90" i="45"/>
  <c r="D90" i="45"/>
  <c r="X88" i="45"/>
  <c r="Z88" i="45" s="1"/>
  <c r="N88" i="45"/>
  <c r="L88" i="45"/>
  <c r="B88" i="45"/>
  <c r="Z87" i="45"/>
  <c r="X87" i="45"/>
  <c r="L87" i="45"/>
  <c r="N87" i="45" s="1"/>
  <c r="B87" i="45"/>
  <c r="X86" i="45"/>
  <c r="Z86" i="45" s="1"/>
  <c r="T86" i="45"/>
  <c r="P86" i="45"/>
  <c r="H86" i="45"/>
  <c r="N86" i="45" s="1"/>
  <c r="D86" i="45"/>
  <c r="L86" i="45" s="1"/>
  <c r="B86" i="45"/>
  <c r="Z85" i="45"/>
  <c r="X85" i="45"/>
  <c r="N85" i="45"/>
  <c r="L85" i="45"/>
  <c r="B85" i="45"/>
  <c r="T84" i="45"/>
  <c r="P84" i="45"/>
  <c r="H84" i="45"/>
  <c r="D84" i="45"/>
  <c r="L84" i="45" s="1"/>
  <c r="B84" i="45"/>
  <c r="X83" i="45"/>
  <c r="Z83" i="45" s="1"/>
  <c r="N83" i="45"/>
  <c r="L83" i="45"/>
  <c r="B83" i="45"/>
  <c r="T82" i="45"/>
  <c r="P82" i="45"/>
  <c r="X82" i="45" s="1"/>
  <c r="Z82" i="45" s="1"/>
  <c r="H82" i="45"/>
  <c r="D82" i="45"/>
  <c r="L82" i="45" s="1"/>
  <c r="B82" i="45"/>
  <c r="X81" i="45"/>
  <c r="Z81" i="45" s="1"/>
  <c r="N81" i="45"/>
  <c r="L81" i="45"/>
  <c r="B81" i="45"/>
  <c r="X80" i="45"/>
  <c r="Z80" i="45" s="1"/>
  <c r="N80" i="45"/>
  <c r="L80" i="45"/>
  <c r="F80" i="45"/>
  <c r="B80" i="45"/>
  <c r="Z79" i="45"/>
  <c r="X79" i="45"/>
  <c r="N79" i="45"/>
  <c r="L79" i="45"/>
  <c r="B79" i="45"/>
  <c r="X78" i="45"/>
  <c r="Z78" i="45" s="1"/>
  <c r="L78" i="45"/>
  <c r="N78" i="45" s="1"/>
  <c r="B78" i="45"/>
  <c r="X77" i="45"/>
  <c r="Z77" i="45" s="1"/>
  <c r="N77" i="45"/>
  <c r="L77" i="45"/>
  <c r="B77" i="45"/>
  <c r="X76" i="45"/>
  <c r="Z76" i="45" s="1"/>
  <c r="N76" i="45"/>
  <c r="L76" i="45"/>
  <c r="B76" i="45"/>
  <c r="X75" i="45"/>
  <c r="Z75" i="45" s="1"/>
  <c r="L75" i="45"/>
  <c r="N75" i="45" s="1"/>
  <c r="B75" i="45"/>
  <c r="Z74" i="45"/>
  <c r="X74" i="45"/>
  <c r="N74" i="45"/>
  <c r="L74" i="45"/>
  <c r="B74" i="45"/>
  <c r="T73" i="45"/>
  <c r="P73" i="45"/>
  <c r="H73" i="45"/>
  <c r="N73" i="45" s="1"/>
  <c r="D73" i="45"/>
  <c r="L73" i="45" s="1"/>
  <c r="B73" i="45"/>
  <c r="Z72" i="45"/>
  <c r="X72" i="45"/>
  <c r="N72" i="45"/>
  <c r="L72" i="45"/>
  <c r="B72" i="45"/>
  <c r="X71" i="45"/>
  <c r="Z71" i="45" s="1"/>
  <c r="L71" i="45"/>
  <c r="N71" i="45" s="1"/>
  <c r="B71" i="45"/>
  <c r="X70" i="45"/>
  <c r="Z70" i="45" s="1"/>
  <c r="N70" i="45"/>
  <c r="L70" i="45"/>
  <c r="B70" i="45"/>
  <c r="Z69" i="45"/>
  <c r="X69" i="45"/>
  <c r="T69" i="45"/>
  <c r="P69" i="45"/>
  <c r="L69" i="45"/>
  <c r="H69" i="45"/>
  <c r="N69" i="45" s="1"/>
  <c r="D69" i="45"/>
  <c r="B69" i="45"/>
  <c r="Z68" i="45"/>
  <c r="X68" i="45"/>
  <c r="L68" i="45"/>
  <c r="N68" i="45" s="1"/>
  <c r="B68" i="45"/>
  <c r="X67" i="45"/>
  <c r="Z67" i="45" s="1"/>
  <c r="N67" i="45"/>
  <c r="L67" i="45"/>
  <c r="B67" i="45"/>
  <c r="Z66" i="45"/>
  <c r="X66" i="45"/>
  <c r="N66" i="45"/>
  <c r="L66" i="45"/>
  <c r="B66" i="45"/>
  <c r="T65" i="45"/>
  <c r="P65" i="45"/>
  <c r="L65" i="45"/>
  <c r="N65" i="45" s="1"/>
  <c r="H65" i="45"/>
  <c r="D65" i="45"/>
  <c r="B65" i="45"/>
  <c r="X64" i="45"/>
  <c r="Z64" i="45" s="1"/>
  <c r="N64" i="45"/>
  <c r="L64" i="45"/>
  <c r="B64" i="45"/>
  <c r="T63" i="45"/>
  <c r="P63" i="45"/>
  <c r="X63" i="45" s="1"/>
  <c r="H63" i="45"/>
  <c r="D63" i="45"/>
  <c r="B63" i="45"/>
  <c r="X62" i="45"/>
  <c r="Z62" i="45" s="1"/>
  <c r="N62" i="45"/>
  <c r="L62" i="45"/>
  <c r="B62" i="45"/>
  <c r="Z61" i="45"/>
  <c r="X61" i="45"/>
  <c r="T61" i="45"/>
  <c r="P61" i="45"/>
  <c r="H61" i="45"/>
  <c r="D61" i="45"/>
  <c r="L61" i="45" s="1"/>
  <c r="B61" i="45"/>
  <c r="Z60" i="45"/>
  <c r="X60" i="45"/>
  <c r="L60" i="45"/>
  <c r="N60" i="45" s="1"/>
  <c r="B60" i="45"/>
  <c r="X59" i="45"/>
  <c r="Z59" i="45" s="1"/>
  <c r="T59" i="45"/>
  <c r="P59" i="45"/>
  <c r="H59" i="45"/>
  <c r="D59" i="45"/>
  <c r="L59" i="45" s="1"/>
  <c r="B59" i="45"/>
  <c r="X58" i="45"/>
  <c r="Z58" i="45" s="1"/>
  <c r="N58" i="45"/>
  <c r="L58" i="45"/>
  <c r="B58" i="45"/>
  <c r="X57" i="45"/>
  <c r="T57" i="45"/>
  <c r="P57" i="45"/>
  <c r="H57" i="45"/>
  <c r="N57" i="45" s="1"/>
  <c r="D57" i="45"/>
  <c r="L57" i="45" s="1"/>
  <c r="B57" i="45"/>
  <c r="Z56" i="45"/>
  <c r="X56" i="45"/>
  <c r="N56" i="45"/>
  <c r="L56" i="45"/>
  <c r="B56" i="45"/>
  <c r="T55" i="45"/>
  <c r="P55" i="45"/>
  <c r="X55" i="45" s="1"/>
  <c r="N55" i="45"/>
  <c r="L55" i="45"/>
  <c r="H55" i="45"/>
  <c r="D55" i="45"/>
  <c r="B55" i="45"/>
  <c r="Z54" i="45"/>
  <c r="X54" i="45"/>
  <c r="L54" i="45"/>
  <c r="N54" i="45" s="1"/>
  <c r="B54" i="45"/>
  <c r="T53" i="45"/>
  <c r="P53" i="45"/>
  <c r="X53" i="45" s="1"/>
  <c r="L53" i="45"/>
  <c r="N53" i="45" s="1"/>
  <c r="H53" i="45"/>
  <c r="D53" i="45"/>
  <c r="B53" i="45"/>
  <c r="X52" i="45"/>
  <c r="Z52" i="45" s="1"/>
  <c r="N52" i="45"/>
  <c r="L52" i="45"/>
  <c r="B52" i="45"/>
  <c r="T51" i="45"/>
  <c r="Z51" i="45" s="1"/>
  <c r="P51" i="45"/>
  <c r="X51" i="45" s="1"/>
  <c r="L51" i="45"/>
  <c r="H51" i="45"/>
  <c r="F51" i="45"/>
  <c r="D51" i="45"/>
  <c r="B51" i="45"/>
  <c r="X50" i="45"/>
  <c r="Z50" i="45" s="1"/>
  <c r="N50" i="45"/>
  <c r="L50" i="45"/>
  <c r="B50" i="45"/>
  <c r="Z49" i="45"/>
  <c r="X49" i="45"/>
  <c r="T49" i="45"/>
  <c r="P49" i="45"/>
  <c r="L49" i="45"/>
  <c r="H49" i="45"/>
  <c r="D49" i="45"/>
  <c r="B49" i="45"/>
  <c r="Z48" i="45"/>
  <c r="X48" i="45"/>
  <c r="L48" i="45"/>
  <c r="N48" i="45" s="1"/>
  <c r="B48" i="45"/>
  <c r="X47" i="45"/>
  <c r="T47" i="45"/>
  <c r="Z47" i="45" s="1"/>
  <c r="P47" i="45"/>
  <c r="H47" i="45"/>
  <c r="D47" i="45"/>
  <c r="B47" i="45"/>
  <c r="Z46" i="45"/>
  <c r="X46" i="45"/>
  <c r="L46" i="45"/>
  <c r="N46" i="45" s="1"/>
  <c r="B46" i="45"/>
  <c r="X45" i="45"/>
  <c r="T45" i="45"/>
  <c r="Z45" i="45" s="1"/>
  <c r="P45" i="45"/>
  <c r="H45" i="45"/>
  <c r="N45" i="45" s="1"/>
  <c r="D45" i="45"/>
  <c r="L45" i="45" s="1"/>
  <c r="B45" i="45"/>
  <c r="Z44" i="45"/>
  <c r="X44" i="45"/>
  <c r="N44" i="45"/>
  <c r="L44" i="45"/>
  <c r="B44" i="45"/>
  <c r="X43" i="45"/>
  <c r="Z43" i="45" s="1"/>
  <c r="L43" i="45"/>
  <c r="N43" i="45" s="1"/>
  <c r="B43" i="45"/>
  <c r="X42" i="45"/>
  <c r="Z42" i="45" s="1"/>
  <c r="N42" i="45"/>
  <c r="L42" i="45"/>
  <c r="B42" i="45"/>
  <c r="Z41" i="45"/>
  <c r="X41" i="45"/>
  <c r="N41" i="45"/>
  <c r="L41" i="45"/>
  <c r="B41" i="45"/>
  <c r="Z40" i="45"/>
  <c r="X40" i="45"/>
  <c r="N40" i="45"/>
  <c r="L40" i="45"/>
  <c r="B40" i="45"/>
  <c r="X39" i="45"/>
  <c r="Z39" i="45" s="1"/>
  <c r="L39" i="45"/>
  <c r="N39" i="45" s="1"/>
  <c r="B39" i="45"/>
  <c r="X38" i="45"/>
  <c r="Z38" i="45" s="1"/>
  <c r="L38" i="45"/>
  <c r="N38" i="45" s="1"/>
  <c r="B38" i="45"/>
  <c r="Z37" i="45"/>
  <c r="X37" i="45"/>
  <c r="T37" i="45"/>
  <c r="P37" i="45"/>
  <c r="H37" i="45"/>
  <c r="D37" i="45"/>
  <c r="L37" i="45" s="1"/>
  <c r="B37" i="45"/>
  <c r="Z36" i="45"/>
  <c r="X36" i="45"/>
  <c r="N36" i="45"/>
  <c r="L36" i="45"/>
  <c r="B36" i="45"/>
  <c r="X35" i="45"/>
  <c r="Z35" i="45" s="1"/>
  <c r="L35" i="45"/>
  <c r="N35" i="45" s="1"/>
  <c r="B35" i="45"/>
  <c r="X34" i="45"/>
  <c r="Z34" i="45" s="1"/>
  <c r="N34" i="45"/>
  <c r="L34" i="45"/>
  <c r="B34" i="45"/>
  <c r="X33" i="45"/>
  <c r="Z33" i="45" s="1"/>
  <c r="L33" i="45"/>
  <c r="N33" i="45" s="1"/>
  <c r="B33" i="45"/>
  <c r="Z32" i="45"/>
  <c r="X32" i="45"/>
  <c r="L32" i="45"/>
  <c r="N32" i="45" s="1"/>
  <c r="B32" i="45"/>
  <c r="X31" i="45"/>
  <c r="Z31" i="45" s="1"/>
  <c r="L31" i="45"/>
  <c r="N31" i="45" s="1"/>
  <c r="B31" i="45"/>
  <c r="Z30" i="45"/>
  <c r="X30" i="45"/>
  <c r="N30" i="45"/>
  <c r="L30" i="45"/>
  <c r="B30" i="45"/>
  <c r="X29" i="45"/>
  <c r="Z29" i="45" s="1"/>
  <c r="L29" i="45"/>
  <c r="N29" i="45" s="1"/>
  <c r="B29" i="45"/>
  <c r="Z28" i="45"/>
  <c r="X28" i="45"/>
  <c r="L28" i="45"/>
  <c r="N28" i="45" s="1"/>
  <c r="B28" i="45"/>
  <c r="X27" i="45"/>
  <c r="T27" i="45"/>
  <c r="P27" i="45"/>
  <c r="H27" i="45"/>
  <c r="D27" i="45"/>
  <c r="L27" i="45" s="1"/>
  <c r="B27" i="45"/>
  <c r="X26" i="45"/>
  <c r="Z26" i="45" s="1"/>
  <c r="T26" i="45"/>
  <c r="P26" i="45"/>
  <c r="H26" i="45"/>
  <c r="D26" i="45"/>
  <c r="Z22" i="45"/>
  <c r="X22" i="45"/>
  <c r="L22" i="45"/>
  <c r="N22" i="45" s="1"/>
  <c r="B22" i="45"/>
  <c r="Z21" i="45"/>
  <c r="X21" i="45"/>
  <c r="N21" i="45"/>
  <c r="L21" i="45"/>
  <c r="B21" i="45"/>
  <c r="T20" i="45"/>
  <c r="P20" i="45"/>
  <c r="N20" i="45"/>
  <c r="L20" i="45"/>
  <c r="H20" i="45"/>
  <c r="D20" i="45"/>
  <c r="T18" i="45"/>
  <c r="P18" i="45"/>
  <c r="H18" i="45"/>
  <c r="N18" i="45" s="1"/>
  <c r="D18" i="45"/>
  <c r="B18" i="45"/>
  <c r="T17" i="45"/>
  <c r="X17" i="45" s="1"/>
  <c r="P17" i="45"/>
  <c r="L17" i="45"/>
  <c r="H17" i="45"/>
  <c r="D17" i="45"/>
  <c r="B17" i="45"/>
  <c r="Z16" i="45"/>
  <c r="X16" i="45"/>
  <c r="T16" i="45"/>
  <c r="P16" i="45"/>
  <c r="L16" i="45"/>
  <c r="N16" i="45" s="1"/>
  <c r="H16" i="45"/>
  <c r="D16" i="45"/>
  <c r="B16" i="45"/>
  <c r="Z15" i="45"/>
  <c r="X15" i="45"/>
  <c r="T15" i="45"/>
  <c r="P15" i="45"/>
  <c r="N15" i="45"/>
  <c r="L15" i="45"/>
  <c r="H15" i="45"/>
  <c r="D15" i="45"/>
  <c r="B15" i="45"/>
  <c r="T14" i="45"/>
  <c r="P14" i="45"/>
  <c r="H14" i="45"/>
  <c r="D14" i="45"/>
  <c r="B14" i="45"/>
  <c r="T13" i="45"/>
  <c r="X13" i="45" s="1"/>
  <c r="P13" i="45"/>
  <c r="H13" i="45"/>
  <c r="D13" i="45"/>
  <c r="D12" i="45" s="1"/>
  <c r="B13" i="45"/>
  <c r="D4" i="45"/>
  <c r="Z122" i="42"/>
  <c r="X122" i="42"/>
  <c r="N122" i="42"/>
  <c r="L122" i="42"/>
  <c r="T118" i="42"/>
  <c r="P118" i="42"/>
  <c r="X118" i="42" s="1"/>
  <c r="H118" i="42"/>
  <c r="N118" i="42" s="1"/>
  <c r="D118" i="42"/>
  <c r="B118" i="42"/>
  <c r="T117" i="42"/>
  <c r="P117" i="42"/>
  <c r="X117" i="42" s="1"/>
  <c r="Z117" i="42" s="1"/>
  <c r="N117" i="42"/>
  <c r="H117" i="42"/>
  <c r="D117" i="42"/>
  <c r="L117" i="42" s="1"/>
  <c r="B117" i="42"/>
  <c r="T116" i="42"/>
  <c r="P116" i="42"/>
  <c r="P115" i="42" s="1"/>
  <c r="X115" i="42" s="1"/>
  <c r="H116" i="42"/>
  <c r="D116" i="42"/>
  <c r="B116" i="42"/>
  <c r="T115" i="42"/>
  <c r="Z113" i="42"/>
  <c r="X113" i="42"/>
  <c r="N113" i="42"/>
  <c r="L113" i="42"/>
  <c r="B113" i="42"/>
  <c r="T112" i="42"/>
  <c r="P112" i="42"/>
  <c r="X112" i="42" s="1"/>
  <c r="Z112" i="42" s="1"/>
  <c r="H112" i="42"/>
  <c r="D112" i="42"/>
  <c r="L112" i="42" s="1"/>
  <c r="B112" i="42"/>
  <c r="Z111" i="42"/>
  <c r="X111" i="42"/>
  <c r="L111" i="42"/>
  <c r="N111" i="42" s="1"/>
  <c r="B111" i="42"/>
  <c r="X110" i="42"/>
  <c r="Z110" i="42" s="1"/>
  <c r="N110" i="42"/>
  <c r="L110" i="42"/>
  <c r="B110" i="42"/>
  <c r="Z109" i="42"/>
  <c r="X109" i="42"/>
  <c r="N109" i="42"/>
  <c r="L109" i="42"/>
  <c r="B109" i="42"/>
  <c r="T108" i="42"/>
  <c r="Z108" i="42" s="1"/>
  <c r="P108" i="42"/>
  <c r="X108" i="42" s="1"/>
  <c r="L108" i="42"/>
  <c r="H108" i="42"/>
  <c r="N108" i="42" s="1"/>
  <c r="D108" i="42"/>
  <c r="B108" i="42"/>
  <c r="X107" i="42"/>
  <c r="Z107" i="42" s="1"/>
  <c r="N107" i="42"/>
  <c r="L107" i="42"/>
  <c r="B107" i="42"/>
  <c r="T106" i="42"/>
  <c r="P106" i="42"/>
  <c r="H106" i="42"/>
  <c r="D106" i="42"/>
  <c r="B106" i="42"/>
  <c r="Z105" i="42"/>
  <c r="X105" i="42"/>
  <c r="N105" i="42"/>
  <c r="L105" i="42"/>
  <c r="B105" i="42"/>
  <c r="T104" i="42"/>
  <c r="P104" i="42"/>
  <c r="X104" i="42" s="1"/>
  <c r="Z104" i="42" s="1"/>
  <c r="H104" i="42"/>
  <c r="D104" i="42"/>
  <c r="L104" i="42" s="1"/>
  <c r="B104" i="42"/>
  <c r="Z103" i="42"/>
  <c r="X103" i="42"/>
  <c r="L103" i="42"/>
  <c r="N103" i="42" s="1"/>
  <c r="B103" i="42"/>
  <c r="X102" i="42"/>
  <c r="Z102" i="42" s="1"/>
  <c r="L102" i="42"/>
  <c r="N102" i="42" s="1"/>
  <c r="B102" i="42"/>
  <c r="Z101" i="42"/>
  <c r="X101" i="42"/>
  <c r="N101" i="42"/>
  <c r="L101" i="42"/>
  <c r="B101" i="42"/>
  <c r="X100" i="42"/>
  <c r="Z100" i="42" s="1"/>
  <c r="L100" i="42"/>
  <c r="N100" i="42" s="1"/>
  <c r="B100" i="42"/>
  <c r="Z99" i="42"/>
  <c r="X99" i="42"/>
  <c r="L99" i="42"/>
  <c r="N99" i="42" s="1"/>
  <c r="B99" i="42"/>
  <c r="X98" i="42"/>
  <c r="Z98" i="42" s="1"/>
  <c r="L98" i="42"/>
  <c r="N98" i="42" s="1"/>
  <c r="B98" i="42"/>
  <c r="Z97" i="42"/>
  <c r="X97" i="42"/>
  <c r="N97" i="42"/>
  <c r="L97" i="42"/>
  <c r="B97" i="42"/>
  <c r="X96" i="42"/>
  <c r="Z96" i="42" s="1"/>
  <c r="L96" i="42"/>
  <c r="N96" i="42" s="1"/>
  <c r="B96" i="42"/>
  <c r="T95" i="42"/>
  <c r="P95" i="42"/>
  <c r="X95" i="42" s="1"/>
  <c r="Z95" i="42" s="1"/>
  <c r="H95" i="42"/>
  <c r="D95" i="42"/>
  <c r="L95" i="42" s="1"/>
  <c r="N95" i="42" s="1"/>
  <c r="B95" i="42"/>
  <c r="X94" i="42"/>
  <c r="Z94" i="42" s="1"/>
  <c r="N94" i="42"/>
  <c r="L94" i="42"/>
  <c r="B94" i="42"/>
  <c r="Z93" i="42"/>
  <c r="X93" i="42"/>
  <c r="N93" i="42"/>
  <c r="L93" i="42"/>
  <c r="B93" i="42"/>
  <c r="T92" i="42"/>
  <c r="P92" i="42"/>
  <c r="H92" i="42"/>
  <c r="D92" i="42"/>
  <c r="B92" i="42"/>
  <c r="Z91" i="42"/>
  <c r="X91" i="42"/>
  <c r="N91" i="42"/>
  <c r="L91" i="42"/>
  <c r="B91" i="42"/>
  <c r="Z90" i="42"/>
  <c r="X90" i="42"/>
  <c r="L90" i="42"/>
  <c r="N90" i="42" s="1"/>
  <c r="B90" i="42"/>
  <c r="Z89" i="42"/>
  <c r="X89" i="42"/>
  <c r="N89" i="42"/>
  <c r="L89" i="42"/>
  <c r="B89" i="42"/>
  <c r="Z88" i="42"/>
  <c r="X88" i="42"/>
  <c r="L88" i="42"/>
  <c r="N88" i="42" s="1"/>
  <c r="B88" i="42"/>
  <c r="Z87" i="42"/>
  <c r="X87" i="42"/>
  <c r="N87" i="42"/>
  <c r="L87" i="42"/>
  <c r="B87" i="42"/>
  <c r="T86" i="42"/>
  <c r="P86" i="42"/>
  <c r="X86" i="42" s="1"/>
  <c r="H86" i="42"/>
  <c r="D86" i="42"/>
  <c r="L86" i="42" s="1"/>
  <c r="N86" i="42" s="1"/>
  <c r="B86" i="42"/>
  <c r="Z85" i="42"/>
  <c r="X85" i="42"/>
  <c r="N85" i="42"/>
  <c r="L85" i="42"/>
  <c r="B85" i="42"/>
  <c r="X84" i="42"/>
  <c r="Z84" i="42" s="1"/>
  <c r="L84" i="42"/>
  <c r="N84" i="42" s="1"/>
  <c r="F84" i="42"/>
  <c r="B84" i="42"/>
  <c r="T83" i="42"/>
  <c r="P83" i="42"/>
  <c r="X83" i="42" s="1"/>
  <c r="Z83" i="42" s="1"/>
  <c r="H83" i="42"/>
  <c r="D83" i="42"/>
  <c r="L83" i="42" s="1"/>
  <c r="N83" i="42" s="1"/>
  <c r="B83" i="42"/>
  <c r="X82" i="42"/>
  <c r="Z82" i="42" s="1"/>
  <c r="N82" i="42"/>
  <c r="L82" i="42"/>
  <c r="F82" i="42"/>
  <c r="B82" i="42"/>
  <c r="Z81" i="42"/>
  <c r="X81" i="42"/>
  <c r="N81" i="42"/>
  <c r="L81" i="42"/>
  <c r="B81" i="42"/>
  <c r="X80" i="42"/>
  <c r="Z80" i="42" s="1"/>
  <c r="N80" i="42"/>
  <c r="L80" i="42"/>
  <c r="B80" i="42"/>
  <c r="X79" i="42"/>
  <c r="Z79" i="42" s="1"/>
  <c r="T79" i="42"/>
  <c r="P79" i="42"/>
  <c r="N79" i="42"/>
  <c r="L79" i="42"/>
  <c r="H79" i="42"/>
  <c r="D79" i="42"/>
  <c r="B79" i="42"/>
  <c r="Z78" i="42"/>
  <c r="X78" i="42"/>
  <c r="L78" i="42"/>
  <c r="N78" i="42" s="1"/>
  <c r="B78" i="42"/>
  <c r="T77" i="42"/>
  <c r="P77" i="42"/>
  <c r="X77" i="42" s="1"/>
  <c r="N77" i="42"/>
  <c r="H77" i="42"/>
  <c r="D77" i="42"/>
  <c r="L77" i="42" s="1"/>
  <c r="B77" i="42"/>
  <c r="Z76" i="42"/>
  <c r="X76" i="42"/>
  <c r="N76" i="42"/>
  <c r="L76" i="42"/>
  <c r="B76" i="42"/>
  <c r="Z75" i="42"/>
  <c r="T75" i="42"/>
  <c r="P75" i="42"/>
  <c r="X75" i="42" s="1"/>
  <c r="N75" i="42"/>
  <c r="H75" i="42"/>
  <c r="D75" i="42"/>
  <c r="L75" i="42" s="1"/>
  <c r="B75" i="42"/>
  <c r="X74" i="42"/>
  <c r="Z74" i="42" s="1"/>
  <c r="N74" i="42"/>
  <c r="L74" i="42"/>
  <c r="B74" i="42"/>
  <c r="Z73" i="42"/>
  <c r="X73" i="42"/>
  <c r="T73" i="42"/>
  <c r="P73" i="42"/>
  <c r="L73" i="42"/>
  <c r="N73" i="42" s="1"/>
  <c r="H73" i="42"/>
  <c r="D73" i="42"/>
  <c r="B73" i="42"/>
  <c r="Z72" i="42"/>
  <c r="X72" i="42"/>
  <c r="L72" i="42"/>
  <c r="N72" i="42" s="1"/>
  <c r="B72" i="42"/>
  <c r="T71" i="42"/>
  <c r="P71" i="42"/>
  <c r="X71" i="42" s="1"/>
  <c r="Z71" i="42" s="1"/>
  <c r="H71" i="42"/>
  <c r="N71" i="42" s="1"/>
  <c r="D71" i="42"/>
  <c r="L71" i="42" s="1"/>
  <c r="B71" i="42"/>
  <c r="X70" i="42"/>
  <c r="Z70" i="42" s="1"/>
  <c r="L70" i="42"/>
  <c r="N70" i="42" s="1"/>
  <c r="B70" i="42"/>
  <c r="Z69" i="42"/>
  <c r="X69" i="42"/>
  <c r="N69" i="42"/>
  <c r="L69" i="42"/>
  <c r="B69" i="42"/>
  <c r="T68" i="42"/>
  <c r="Z68" i="42" s="1"/>
  <c r="P68" i="42"/>
  <c r="X68" i="42" s="1"/>
  <c r="L68" i="42"/>
  <c r="H68" i="42"/>
  <c r="D68" i="42"/>
  <c r="B68" i="42"/>
  <c r="X67" i="42"/>
  <c r="Z67" i="42" s="1"/>
  <c r="N67" i="42"/>
  <c r="L67" i="42"/>
  <c r="B67" i="42"/>
  <c r="T66" i="42"/>
  <c r="P66" i="42"/>
  <c r="H66" i="42"/>
  <c r="N66" i="42" s="1"/>
  <c r="D66" i="42"/>
  <c r="B66" i="42"/>
  <c r="Z65" i="42"/>
  <c r="X65" i="42"/>
  <c r="N65" i="42"/>
  <c r="L65" i="42"/>
  <c r="B65" i="42"/>
  <c r="T64" i="42"/>
  <c r="P64" i="42"/>
  <c r="X64" i="42" s="1"/>
  <c r="H64" i="42"/>
  <c r="D64" i="42"/>
  <c r="L64" i="42" s="1"/>
  <c r="B64" i="42"/>
  <c r="Z63" i="42"/>
  <c r="X63" i="42"/>
  <c r="L63" i="42"/>
  <c r="N63" i="42" s="1"/>
  <c r="B63" i="42"/>
  <c r="X62" i="42"/>
  <c r="T62" i="42"/>
  <c r="Z62" i="42" s="1"/>
  <c r="P62" i="42"/>
  <c r="H62" i="42"/>
  <c r="D62" i="42"/>
  <c r="L62" i="42" s="1"/>
  <c r="B62" i="42"/>
  <c r="Z61" i="42"/>
  <c r="X61" i="42"/>
  <c r="N61" i="42"/>
  <c r="L61" i="42"/>
  <c r="B61" i="42"/>
  <c r="X60" i="42"/>
  <c r="T60" i="42"/>
  <c r="P60" i="42"/>
  <c r="H60" i="42"/>
  <c r="N60" i="42" s="1"/>
  <c r="D60" i="42"/>
  <c r="B60" i="42"/>
  <c r="Z59" i="42"/>
  <c r="X59" i="42"/>
  <c r="N59" i="42"/>
  <c r="L59" i="42"/>
  <c r="B59" i="42"/>
  <c r="Z58" i="42"/>
  <c r="X58" i="42"/>
  <c r="L58" i="42"/>
  <c r="N58" i="42" s="1"/>
  <c r="B58" i="42"/>
  <c r="Z57" i="42"/>
  <c r="X57" i="42"/>
  <c r="N57" i="42"/>
  <c r="L57" i="42"/>
  <c r="B57" i="42"/>
  <c r="T56" i="42"/>
  <c r="Z56" i="42" s="1"/>
  <c r="P56" i="42"/>
  <c r="X56" i="42" s="1"/>
  <c r="H56" i="42"/>
  <c r="D56" i="42"/>
  <c r="L56" i="42" s="1"/>
  <c r="B56" i="42"/>
  <c r="Z55" i="42"/>
  <c r="X55" i="42"/>
  <c r="L55" i="42"/>
  <c r="N55" i="42" s="1"/>
  <c r="B55" i="42"/>
  <c r="X54" i="42"/>
  <c r="T54" i="42"/>
  <c r="P54" i="42"/>
  <c r="H54" i="42"/>
  <c r="N54" i="42" s="1"/>
  <c r="D54" i="42"/>
  <c r="L54" i="42" s="1"/>
  <c r="B54" i="42"/>
  <c r="Z53" i="42"/>
  <c r="X53" i="42"/>
  <c r="N53" i="42"/>
  <c r="L53" i="42"/>
  <c r="B53" i="42"/>
  <c r="X52" i="42"/>
  <c r="T52" i="42"/>
  <c r="P52" i="42"/>
  <c r="H52" i="42"/>
  <c r="D52" i="42"/>
  <c r="B52" i="42"/>
  <c r="Z51" i="42"/>
  <c r="X51" i="42"/>
  <c r="N51" i="42"/>
  <c r="L51" i="42"/>
  <c r="B51" i="42"/>
  <c r="T50" i="42"/>
  <c r="P50" i="42"/>
  <c r="H50" i="42"/>
  <c r="D50" i="42"/>
  <c r="L50" i="42" s="1"/>
  <c r="B50" i="42"/>
  <c r="Z49" i="42"/>
  <c r="X49" i="42"/>
  <c r="N49" i="42"/>
  <c r="L49" i="42"/>
  <c r="B49" i="42"/>
  <c r="X48" i="42"/>
  <c r="Z48" i="42" s="1"/>
  <c r="L48" i="42"/>
  <c r="N48" i="42" s="1"/>
  <c r="B48" i="42"/>
  <c r="Z47" i="42"/>
  <c r="X47" i="42"/>
  <c r="L47" i="42"/>
  <c r="N47" i="42" s="1"/>
  <c r="B47" i="42"/>
  <c r="X46" i="42"/>
  <c r="Z46" i="42" s="1"/>
  <c r="L46" i="42"/>
  <c r="N46" i="42" s="1"/>
  <c r="B46" i="42"/>
  <c r="Z45" i="42"/>
  <c r="X45" i="42"/>
  <c r="N45" i="42"/>
  <c r="L45" i="42"/>
  <c r="B45" i="42"/>
  <c r="X44" i="42"/>
  <c r="Z44" i="42" s="1"/>
  <c r="L44" i="42"/>
  <c r="N44" i="42" s="1"/>
  <c r="B44" i="42"/>
  <c r="Z43" i="42"/>
  <c r="X43" i="42"/>
  <c r="L43" i="42"/>
  <c r="N43" i="42" s="1"/>
  <c r="B43" i="42"/>
  <c r="X42" i="42"/>
  <c r="T42" i="42"/>
  <c r="Z42" i="42" s="1"/>
  <c r="P42" i="42"/>
  <c r="H42" i="42"/>
  <c r="D42" i="42"/>
  <c r="L42" i="42" s="1"/>
  <c r="B42" i="42"/>
  <c r="Z41" i="42"/>
  <c r="X41" i="42"/>
  <c r="N41" i="42"/>
  <c r="L41" i="42"/>
  <c r="B41" i="42"/>
  <c r="X40" i="42"/>
  <c r="Z40" i="42" s="1"/>
  <c r="N40" i="42"/>
  <c r="L40" i="42"/>
  <c r="B40" i="42"/>
  <c r="X39" i="42"/>
  <c r="Z39" i="42" s="1"/>
  <c r="N39" i="42"/>
  <c r="L39" i="42"/>
  <c r="B39" i="42"/>
  <c r="X38" i="42"/>
  <c r="Z38" i="42" s="1"/>
  <c r="N38" i="42"/>
  <c r="L38" i="42"/>
  <c r="B38" i="42"/>
  <c r="Z37" i="42"/>
  <c r="X37" i="42"/>
  <c r="N37" i="42"/>
  <c r="L37" i="42"/>
  <c r="F37" i="42"/>
  <c r="B37" i="42"/>
  <c r="X36" i="42"/>
  <c r="Z36" i="42" s="1"/>
  <c r="N36" i="42"/>
  <c r="L36" i="42"/>
  <c r="B36" i="42"/>
  <c r="X35" i="42"/>
  <c r="Z35" i="42" s="1"/>
  <c r="N35" i="42"/>
  <c r="L35" i="42"/>
  <c r="B35" i="42"/>
  <c r="X34" i="42"/>
  <c r="Z34" i="42" s="1"/>
  <c r="N34" i="42"/>
  <c r="L34" i="42"/>
  <c r="B34" i="42"/>
  <c r="Z33" i="42"/>
  <c r="X33" i="42"/>
  <c r="N33" i="42"/>
  <c r="L33" i="42"/>
  <c r="B33" i="42"/>
  <c r="T32" i="42"/>
  <c r="P32" i="42"/>
  <c r="H32" i="42"/>
  <c r="D32" i="42"/>
  <c r="B32" i="42"/>
  <c r="Z31" i="42"/>
  <c r="T31" i="42"/>
  <c r="P31" i="42"/>
  <c r="X31" i="42" s="1"/>
  <c r="H31" i="42"/>
  <c r="D31" i="42"/>
  <c r="Z27" i="42"/>
  <c r="X27" i="42"/>
  <c r="N27" i="42"/>
  <c r="L27" i="42"/>
  <c r="B27" i="42"/>
  <c r="Z26" i="42"/>
  <c r="X26" i="42"/>
  <c r="L26" i="42"/>
  <c r="N26" i="42" s="1"/>
  <c r="B26" i="42"/>
  <c r="T25" i="42"/>
  <c r="P25" i="42"/>
  <c r="X25" i="42" s="1"/>
  <c r="H25" i="42"/>
  <c r="D25" i="42"/>
  <c r="L25" i="42" s="1"/>
  <c r="N25" i="42" s="1"/>
  <c r="T23" i="42"/>
  <c r="P23" i="42"/>
  <c r="H23" i="42"/>
  <c r="D23" i="42"/>
  <c r="B23" i="42"/>
  <c r="X22" i="42"/>
  <c r="Z22" i="42" s="1"/>
  <c r="T22" i="42"/>
  <c r="P22" i="42"/>
  <c r="H22" i="42"/>
  <c r="D22" i="42"/>
  <c r="B22" i="42"/>
  <c r="T21" i="42"/>
  <c r="P21" i="42"/>
  <c r="X21" i="42" s="1"/>
  <c r="Z21" i="42" s="1"/>
  <c r="N21" i="42"/>
  <c r="H21" i="42"/>
  <c r="L21" i="42" s="1"/>
  <c r="D21" i="42"/>
  <c r="B21" i="42"/>
  <c r="T20" i="42"/>
  <c r="P20" i="42"/>
  <c r="X20" i="42" s="1"/>
  <c r="Z20" i="42" s="1"/>
  <c r="H20" i="42"/>
  <c r="D20" i="42"/>
  <c r="L20" i="42" s="1"/>
  <c r="B20" i="42"/>
  <c r="T19" i="42"/>
  <c r="P19" i="42"/>
  <c r="H19" i="42"/>
  <c r="D19" i="42"/>
  <c r="B19" i="42"/>
  <c r="X18" i="42"/>
  <c r="Z18" i="42" s="1"/>
  <c r="T18" i="42"/>
  <c r="P18" i="42"/>
  <c r="H18" i="42"/>
  <c r="D18" i="42"/>
  <c r="B18" i="42"/>
  <c r="T17" i="42"/>
  <c r="P17" i="42"/>
  <c r="N17" i="42"/>
  <c r="H17" i="42"/>
  <c r="L17" i="42" s="1"/>
  <c r="D17" i="42"/>
  <c r="B17" i="42"/>
  <c r="Z16" i="42"/>
  <c r="T16" i="42"/>
  <c r="P16" i="42"/>
  <c r="X16" i="42" s="1"/>
  <c r="H16" i="42"/>
  <c r="D16" i="42"/>
  <c r="L16" i="42" s="1"/>
  <c r="B16" i="42"/>
  <c r="T15" i="42"/>
  <c r="P15" i="42"/>
  <c r="X15" i="42" s="1"/>
  <c r="H15" i="42"/>
  <c r="D15" i="42"/>
  <c r="B15" i="42"/>
  <c r="X14" i="42"/>
  <c r="Z14" i="42" s="1"/>
  <c r="T14" i="42"/>
  <c r="P14" i="42"/>
  <c r="L14" i="42"/>
  <c r="H14" i="42"/>
  <c r="D14" i="42"/>
  <c r="B14" i="42"/>
  <c r="T13" i="42"/>
  <c r="P13" i="42"/>
  <c r="X13" i="42" s="1"/>
  <c r="H13" i="42"/>
  <c r="L13" i="42" s="1"/>
  <c r="N13" i="42" s="1"/>
  <c r="D13" i="42"/>
  <c r="B13" i="42"/>
  <c r="D12" i="42"/>
  <c r="F38" i="42" s="1"/>
  <c r="D4" i="42"/>
  <c r="X132" i="39"/>
  <c r="Z132" i="39" s="1"/>
  <c r="N132" i="39"/>
  <c r="L132" i="39"/>
  <c r="Z128" i="39"/>
  <c r="T128" i="39"/>
  <c r="P128" i="39"/>
  <c r="X128" i="39" s="1"/>
  <c r="N128" i="39"/>
  <c r="H128" i="39"/>
  <c r="D128" i="39"/>
  <c r="L128" i="39" s="1"/>
  <c r="B128" i="39"/>
  <c r="T127" i="39"/>
  <c r="P127" i="39"/>
  <c r="L127" i="39"/>
  <c r="H127" i="39"/>
  <c r="N127" i="39" s="1"/>
  <c r="D127" i="39"/>
  <c r="B127" i="39"/>
  <c r="Z126" i="39"/>
  <c r="T126" i="39"/>
  <c r="P126" i="39"/>
  <c r="X126" i="39" s="1"/>
  <c r="N126" i="39"/>
  <c r="H126" i="39"/>
  <c r="D126" i="39"/>
  <c r="L126" i="39" s="1"/>
  <c r="B126" i="39"/>
  <c r="P125" i="39"/>
  <c r="H125" i="39"/>
  <c r="D125" i="39"/>
  <c r="L125" i="39" s="1"/>
  <c r="X123" i="39"/>
  <c r="Z123" i="39" s="1"/>
  <c r="L123" i="39"/>
  <c r="N123" i="39" s="1"/>
  <c r="B123" i="39"/>
  <c r="T122" i="39"/>
  <c r="P122" i="39"/>
  <c r="X122" i="39" s="1"/>
  <c r="Z122" i="39" s="1"/>
  <c r="H122" i="39"/>
  <c r="D122" i="39"/>
  <c r="L122" i="39" s="1"/>
  <c r="N122" i="39" s="1"/>
  <c r="B122" i="39"/>
  <c r="X121" i="39"/>
  <c r="Z121" i="39" s="1"/>
  <c r="N121" i="39"/>
  <c r="L121" i="39"/>
  <c r="B121" i="39"/>
  <c r="X120" i="39"/>
  <c r="Z120" i="39" s="1"/>
  <c r="N120" i="39"/>
  <c r="L120" i="39"/>
  <c r="B120" i="39"/>
  <c r="X119" i="39"/>
  <c r="Z119" i="39" s="1"/>
  <c r="N119" i="39"/>
  <c r="L119" i="39"/>
  <c r="B119" i="39"/>
  <c r="Z118" i="39"/>
  <c r="X118" i="39"/>
  <c r="T118" i="39"/>
  <c r="P118" i="39"/>
  <c r="N118" i="39"/>
  <c r="L118" i="39"/>
  <c r="H118" i="39"/>
  <c r="D118" i="39"/>
  <c r="B118" i="39"/>
  <c r="Z117" i="39"/>
  <c r="X117" i="39"/>
  <c r="L117" i="39"/>
  <c r="N117" i="39" s="1"/>
  <c r="B117" i="39"/>
  <c r="T116" i="39"/>
  <c r="P116" i="39"/>
  <c r="H116" i="39"/>
  <c r="D116" i="39"/>
  <c r="L116" i="39" s="1"/>
  <c r="N116" i="39" s="1"/>
  <c r="B116" i="39"/>
  <c r="X115" i="39"/>
  <c r="Z115" i="39" s="1"/>
  <c r="L115" i="39"/>
  <c r="N115" i="39" s="1"/>
  <c r="B115" i="39"/>
  <c r="T114" i="39"/>
  <c r="P114" i="39"/>
  <c r="X114" i="39" s="1"/>
  <c r="Z114" i="39" s="1"/>
  <c r="H114" i="39"/>
  <c r="D114" i="39"/>
  <c r="L114" i="39" s="1"/>
  <c r="N114" i="39" s="1"/>
  <c r="B114" i="39"/>
  <c r="Z113" i="39"/>
  <c r="X113" i="39"/>
  <c r="N113" i="39"/>
  <c r="L113" i="39"/>
  <c r="B113" i="39"/>
  <c r="X112" i="39"/>
  <c r="Z112" i="39" s="1"/>
  <c r="N112" i="39"/>
  <c r="L112" i="39"/>
  <c r="B112" i="39"/>
  <c r="X111" i="39"/>
  <c r="Z111" i="39" s="1"/>
  <c r="N111" i="39"/>
  <c r="L111" i="39"/>
  <c r="B111" i="39"/>
  <c r="X110" i="39"/>
  <c r="Z110" i="39" s="1"/>
  <c r="N110" i="39"/>
  <c r="L110" i="39"/>
  <c r="B110" i="39"/>
  <c r="X109" i="39"/>
  <c r="Z109" i="39" s="1"/>
  <c r="L109" i="39"/>
  <c r="N109" i="39" s="1"/>
  <c r="B109" i="39"/>
  <c r="X108" i="39"/>
  <c r="Z108" i="39" s="1"/>
  <c r="N108" i="39"/>
  <c r="L108" i="39"/>
  <c r="B108" i="39"/>
  <c r="X107" i="39"/>
  <c r="Z107" i="39" s="1"/>
  <c r="L107" i="39"/>
  <c r="N107" i="39" s="1"/>
  <c r="B107" i="39"/>
  <c r="X106" i="39"/>
  <c r="Z106" i="39" s="1"/>
  <c r="N106" i="39"/>
  <c r="L106" i="39"/>
  <c r="B106" i="39"/>
  <c r="T105" i="39"/>
  <c r="P105" i="39"/>
  <c r="X105" i="39" s="1"/>
  <c r="H105" i="39"/>
  <c r="D105" i="39"/>
  <c r="L105" i="39" s="1"/>
  <c r="B105" i="39"/>
  <c r="Z104" i="39"/>
  <c r="X104" i="39"/>
  <c r="L104" i="39"/>
  <c r="N104" i="39" s="1"/>
  <c r="B104" i="39"/>
  <c r="X103" i="39"/>
  <c r="Z103" i="39" s="1"/>
  <c r="L103" i="39"/>
  <c r="N103" i="39" s="1"/>
  <c r="B103" i="39"/>
  <c r="T102" i="39"/>
  <c r="P102" i="39"/>
  <c r="X102" i="39" s="1"/>
  <c r="Z102" i="39" s="1"/>
  <c r="H102" i="39"/>
  <c r="D102" i="39"/>
  <c r="B102" i="39"/>
  <c r="X101" i="39"/>
  <c r="Z101" i="39" s="1"/>
  <c r="N101" i="39"/>
  <c r="L101" i="39"/>
  <c r="B101" i="39"/>
  <c r="X100" i="39"/>
  <c r="Z100" i="39" s="1"/>
  <c r="L100" i="39"/>
  <c r="N100" i="39" s="1"/>
  <c r="B100" i="39"/>
  <c r="X99" i="39"/>
  <c r="Z99" i="39" s="1"/>
  <c r="N99" i="39"/>
  <c r="L99" i="39"/>
  <c r="B99" i="39"/>
  <c r="X98" i="39"/>
  <c r="Z98" i="39" s="1"/>
  <c r="L98" i="39"/>
  <c r="N98" i="39" s="1"/>
  <c r="B98" i="39"/>
  <c r="X97" i="39"/>
  <c r="Z97" i="39" s="1"/>
  <c r="N97" i="39"/>
  <c r="L97" i="39"/>
  <c r="B97" i="39"/>
  <c r="X96" i="39"/>
  <c r="Z96" i="39" s="1"/>
  <c r="T96" i="39"/>
  <c r="P96" i="39"/>
  <c r="H96" i="39"/>
  <c r="D96" i="39"/>
  <c r="L96" i="39" s="1"/>
  <c r="N96" i="39" s="1"/>
  <c r="B96" i="39"/>
  <c r="Z95" i="39"/>
  <c r="X95" i="39"/>
  <c r="L95" i="39"/>
  <c r="N95" i="39" s="1"/>
  <c r="B95" i="39"/>
  <c r="X94" i="39"/>
  <c r="Z94" i="39" s="1"/>
  <c r="N94" i="39"/>
  <c r="L94" i="39"/>
  <c r="B94" i="39"/>
  <c r="T93" i="39"/>
  <c r="P93" i="39"/>
  <c r="H93" i="39"/>
  <c r="L93" i="39" s="1"/>
  <c r="N93" i="39" s="1"/>
  <c r="D93" i="39"/>
  <c r="B93" i="39"/>
  <c r="Z92" i="39"/>
  <c r="X92" i="39"/>
  <c r="L92" i="39"/>
  <c r="N92" i="39" s="1"/>
  <c r="B92" i="39"/>
  <c r="Z91" i="39"/>
  <c r="X91" i="39"/>
  <c r="L91" i="39"/>
  <c r="N91" i="39" s="1"/>
  <c r="B91" i="39"/>
  <c r="Z90" i="39"/>
  <c r="X90" i="39"/>
  <c r="N90" i="39"/>
  <c r="L90" i="39"/>
  <c r="B90" i="39"/>
  <c r="T89" i="39"/>
  <c r="X89" i="39" s="1"/>
  <c r="Z89" i="39" s="1"/>
  <c r="P89" i="39"/>
  <c r="L89" i="39"/>
  <c r="H89" i="39"/>
  <c r="N89" i="39" s="1"/>
  <c r="D89" i="39"/>
  <c r="B89" i="39"/>
  <c r="X88" i="39"/>
  <c r="Z88" i="39" s="1"/>
  <c r="L88" i="39"/>
  <c r="N88" i="39" s="1"/>
  <c r="B88" i="39"/>
  <c r="T87" i="39"/>
  <c r="P87" i="39"/>
  <c r="X87" i="39" s="1"/>
  <c r="L87" i="39"/>
  <c r="H87" i="39"/>
  <c r="D87" i="39"/>
  <c r="B87" i="39"/>
  <c r="Z86" i="39"/>
  <c r="X86" i="39"/>
  <c r="N86" i="39"/>
  <c r="L86" i="39"/>
  <c r="B86" i="39"/>
  <c r="Z85" i="39"/>
  <c r="T85" i="39"/>
  <c r="P85" i="39"/>
  <c r="X85" i="39" s="1"/>
  <c r="N85" i="39"/>
  <c r="H85" i="39"/>
  <c r="D85" i="39"/>
  <c r="L85" i="39" s="1"/>
  <c r="B85" i="39"/>
  <c r="Z84" i="39"/>
  <c r="X84" i="39"/>
  <c r="N84" i="39"/>
  <c r="L84" i="39"/>
  <c r="B84" i="39"/>
  <c r="X83" i="39"/>
  <c r="T83" i="39"/>
  <c r="Z83" i="39" s="1"/>
  <c r="P83" i="39"/>
  <c r="H83" i="39"/>
  <c r="N83" i="39" s="1"/>
  <c r="D83" i="39"/>
  <c r="L83" i="39" s="1"/>
  <c r="B83" i="39"/>
  <c r="Z82" i="39"/>
  <c r="X82" i="39"/>
  <c r="L82" i="39"/>
  <c r="N82" i="39" s="1"/>
  <c r="B82" i="39"/>
  <c r="X81" i="39"/>
  <c r="T81" i="39"/>
  <c r="P81" i="39"/>
  <c r="L81" i="39"/>
  <c r="N81" i="39" s="1"/>
  <c r="H81" i="39"/>
  <c r="D81" i="39"/>
  <c r="B81" i="39"/>
  <c r="Z80" i="39"/>
  <c r="X80" i="39"/>
  <c r="L80" i="39"/>
  <c r="N80" i="39" s="1"/>
  <c r="B80" i="39"/>
  <c r="Z79" i="39"/>
  <c r="X79" i="39"/>
  <c r="L79" i="39"/>
  <c r="N79" i="39" s="1"/>
  <c r="B79" i="39"/>
  <c r="T78" i="39"/>
  <c r="P78" i="39"/>
  <c r="X78" i="39" s="1"/>
  <c r="Z78" i="39" s="1"/>
  <c r="H78" i="39"/>
  <c r="D78" i="39"/>
  <c r="L78" i="39" s="1"/>
  <c r="N78" i="39" s="1"/>
  <c r="B78" i="39"/>
  <c r="X77" i="39"/>
  <c r="Z77" i="39" s="1"/>
  <c r="N77" i="39"/>
  <c r="L77" i="39"/>
  <c r="B77" i="39"/>
  <c r="X76" i="39"/>
  <c r="Z76" i="39" s="1"/>
  <c r="L76" i="39"/>
  <c r="N76" i="39" s="1"/>
  <c r="B76" i="39"/>
  <c r="X75" i="39"/>
  <c r="Z75" i="39" s="1"/>
  <c r="T75" i="39"/>
  <c r="P75" i="39"/>
  <c r="H75" i="39"/>
  <c r="D75" i="39"/>
  <c r="L75" i="39" s="1"/>
  <c r="N75" i="39" s="1"/>
  <c r="B75" i="39"/>
  <c r="Z74" i="39"/>
  <c r="X74" i="39"/>
  <c r="N74" i="39"/>
  <c r="L74" i="39"/>
  <c r="B74" i="39"/>
  <c r="X73" i="39"/>
  <c r="T73" i="39"/>
  <c r="Z73" i="39" s="1"/>
  <c r="P73" i="39"/>
  <c r="L73" i="39"/>
  <c r="N73" i="39" s="1"/>
  <c r="H73" i="39"/>
  <c r="D73" i="39"/>
  <c r="B73" i="39"/>
  <c r="Z72" i="39"/>
  <c r="X72" i="39"/>
  <c r="L72" i="39"/>
  <c r="N72" i="39" s="1"/>
  <c r="B72" i="39"/>
  <c r="T71" i="39"/>
  <c r="P71" i="39"/>
  <c r="X71" i="39" s="1"/>
  <c r="H71" i="39"/>
  <c r="D71" i="39"/>
  <c r="L71" i="39" s="1"/>
  <c r="B71" i="39"/>
  <c r="X70" i="39"/>
  <c r="Z70" i="39" s="1"/>
  <c r="N70" i="39"/>
  <c r="L70" i="39"/>
  <c r="B70" i="39"/>
  <c r="T69" i="39"/>
  <c r="P69" i="39"/>
  <c r="X69" i="39" s="1"/>
  <c r="L69" i="39"/>
  <c r="H69" i="39"/>
  <c r="N69" i="39" s="1"/>
  <c r="D69" i="39"/>
  <c r="B69" i="39"/>
  <c r="X68" i="39"/>
  <c r="Z68" i="39" s="1"/>
  <c r="N68" i="39"/>
  <c r="L68" i="39"/>
  <c r="B68" i="39"/>
  <c r="X67" i="39"/>
  <c r="Z67" i="39" s="1"/>
  <c r="T67" i="39"/>
  <c r="P67" i="39"/>
  <c r="L67" i="39"/>
  <c r="H67" i="39"/>
  <c r="N67" i="39" s="1"/>
  <c r="D67" i="39"/>
  <c r="B67" i="39"/>
  <c r="Z66" i="39"/>
  <c r="X66" i="39"/>
  <c r="N66" i="39"/>
  <c r="L66" i="39"/>
  <c r="B66" i="39"/>
  <c r="X65" i="39"/>
  <c r="Z65" i="39" s="1"/>
  <c r="L65" i="39"/>
  <c r="N65" i="39" s="1"/>
  <c r="B65" i="39"/>
  <c r="Z64" i="39"/>
  <c r="X64" i="39"/>
  <c r="L64" i="39"/>
  <c r="N64" i="39" s="1"/>
  <c r="B64" i="39"/>
  <c r="T63" i="39"/>
  <c r="P63" i="39"/>
  <c r="X63" i="39" s="1"/>
  <c r="H63" i="39"/>
  <c r="N63" i="39" s="1"/>
  <c r="D63" i="39"/>
  <c r="L63" i="39" s="1"/>
  <c r="B63" i="39"/>
  <c r="X62" i="39"/>
  <c r="Z62" i="39" s="1"/>
  <c r="N62" i="39"/>
  <c r="L62" i="39"/>
  <c r="B62" i="39"/>
  <c r="T61" i="39"/>
  <c r="Z61" i="39" s="1"/>
  <c r="P61" i="39"/>
  <c r="X61" i="39" s="1"/>
  <c r="L61" i="39"/>
  <c r="H61" i="39"/>
  <c r="N61" i="39" s="1"/>
  <c r="D61" i="39"/>
  <c r="B61" i="39"/>
  <c r="X60" i="39"/>
  <c r="Z60" i="39" s="1"/>
  <c r="N60" i="39"/>
  <c r="L60" i="39"/>
  <c r="B60" i="39"/>
  <c r="X59" i="39"/>
  <c r="Z59" i="39" s="1"/>
  <c r="T59" i="39"/>
  <c r="P59" i="39"/>
  <c r="L59" i="39"/>
  <c r="H59" i="39"/>
  <c r="N59" i="39" s="1"/>
  <c r="D59" i="39"/>
  <c r="B59" i="39"/>
  <c r="Z58" i="39"/>
  <c r="X58" i="39"/>
  <c r="N58" i="39"/>
  <c r="L58" i="39"/>
  <c r="B58" i="39"/>
  <c r="T57" i="39"/>
  <c r="P57" i="39"/>
  <c r="X57" i="39" s="1"/>
  <c r="H57" i="39"/>
  <c r="N57" i="39" s="1"/>
  <c r="D57" i="39"/>
  <c r="L57" i="39" s="1"/>
  <c r="B57" i="39"/>
  <c r="X56" i="39"/>
  <c r="Z56" i="39" s="1"/>
  <c r="L56" i="39"/>
  <c r="N56" i="39" s="1"/>
  <c r="B56" i="39"/>
  <c r="X55" i="39"/>
  <c r="Z55" i="39" s="1"/>
  <c r="L55" i="39"/>
  <c r="N55" i="39" s="1"/>
  <c r="B55" i="39"/>
  <c r="Z54" i="39"/>
  <c r="X54" i="39"/>
  <c r="N54" i="39"/>
  <c r="L54" i="39"/>
  <c r="B54" i="39"/>
  <c r="X53" i="39"/>
  <c r="Z53" i="39" s="1"/>
  <c r="L53" i="39"/>
  <c r="N53" i="39" s="1"/>
  <c r="B53" i="39"/>
  <c r="X52" i="39"/>
  <c r="Z52" i="39" s="1"/>
  <c r="L52" i="39"/>
  <c r="N52" i="39" s="1"/>
  <c r="B52" i="39"/>
  <c r="X51" i="39"/>
  <c r="Z51" i="39" s="1"/>
  <c r="L51" i="39"/>
  <c r="N51" i="39" s="1"/>
  <c r="B51" i="39"/>
  <c r="X50" i="39"/>
  <c r="Z50" i="39" s="1"/>
  <c r="N50" i="39"/>
  <c r="L50" i="39"/>
  <c r="B50" i="39"/>
  <c r="T49" i="39"/>
  <c r="P49" i="39"/>
  <c r="X49" i="39" s="1"/>
  <c r="L49" i="39"/>
  <c r="H49" i="39"/>
  <c r="N49" i="39" s="1"/>
  <c r="D49" i="39"/>
  <c r="B49" i="39"/>
  <c r="X48" i="39"/>
  <c r="Z48" i="39" s="1"/>
  <c r="N48" i="39"/>
  <c r="L48" i="39"/>
  <c r="B48" i="39"/>
  <c r="X47" i="39"/>
  <c r="Z47" i="39" s="1"/>
  <c r="N47" i="39"/>
  <c r="L47" i="39"/>
  <c r="B47" i="39"/>
  <c r="Z46" i="39"/>
  <c r="X46" i="39"/>
  <c r="N46" i="39"/>
  <c r="L46" i="39"/>
  <c r="B46" i="39"/>
  <c r="X45" i="39"/>
  <c r="Z45" i="39" s="1"/>
  <c r="N45" i="39"/>
  <c r="L45" i="39"/>
  <c r="B45" i="39"/>
  <c r="X44" i="39"/>
  <c r="Z44" i="39" s="1"/>
  <c r="N44" i="39"/>
  <c r="L44" i="39"/>
  <c r="B44" i="39"/>
  <c r="X43" i="39"/>
  <c r="Z43" i="39" s="1"/>
  <c r="N43" i="39"/>
  <c r="L43" i="39"/>
  <c r="B43" i="39"/>
  <c r="Z42" i="39"/>
  <c r="X42" i="39"/>
  <c r="N42" i="39"/>
  <c r="L42" i="39"/>
  <c r="B42" i="39"/>
  <c r="X41" i="39"/>
  <c r="Z41" i="39" s="1"/>
  <c r="L41" i="39"/>
  <c r="N41" i="39" s="1"/>
  <c r="B41" i="39"/>
  <c r="X40" i="39"/>
  <c r="Z40" i="39" s="1"/>
  <c r="N40" i="39"/>
  <c r="L40" i="39"/>
  <c r="B40" i="39"/>
  <c r="X39" i="39"/>
  <c r="T39" i="39"/>
  <c r="Z39" i="39" s="1"/>
  <c r="P39" i="39"/>
  <c r="L39" i="39"/>
  <c r="H39" i="39"/>
  <c r="N39" i="39" s="1"/>
  <c r="D39" i="39"/>
  <c r="B39" i="39"/>
  <c r="T38" i="39"/>
  <c r="Z38" i="39" s="1"/>
  <c r="P38" i="39"/>
  <c r="X38" i="39" s="1"/>
  <c r="H38" i="39"/>
  <c r="D38" i="39"/>
  <c r="L38" i="39" s="1"/>
  <c r="N38" i="39" s="1"/>
  <c r="Z34" i="39"/>
  <c r="X34" i="39"/>
  <c r="L34" i="39"/>
  <c r="N34" i="39" s="1"/>
  <c r="B34" i="39"/>
  <c r="Z33" i="39"/>
  <c r="X33" i="39"/>
  <c r="N33" i="39"/>
  <c r="L33" i="39"/>
  <c r="B33" i="39"/>
  <c r="T32" i="39"/>
  <c r="P32" i="39"/>
  <c r="X32" i="39" s="1"/>
  <c r="Z32" i="39" s="1"/>
  <c r="H32" i="39"/>
  <c r="N32" i="39" s="1"/>
  <c r="D32" i="39"/>
  <c r="L32" i="39" s="1"/>
  <c r="T30" i="39"/>
  <c r="P30" i="39"/>
  <c r="X30" i="39" s="1"/>
  <c r="Z30" i="39" s="1"/>
  <c r="H30" i="39"/>
  <c r="N30" i="39" s="1"/>
  <c r="D30" i="39"/>
  <c r="B30" i="39"/>
  <c r="T29" i="39"/>
  <c r="P29" i="39"/>
  <c r="X29" i="39" s="1"/>
  <c r="Z29" i="39" s="1"/>
  <c r="L29" i="39"/>
  <c r="H29" i="39"/>
  <c r="N29" i="39" s="1"/>
  <c r="D29" i="39"/>
  <c r="B29" i="39"/>
  <c r="T28" i="39"/>
  <c r="P28" i="39"/>
  <c r="X28" i="39" s="1"/>
  <c r="Z28" i="39" s="1"/>
  <c r="H28" i="39"/>
  <c r="D28" i="39"/>
  <c r="B28" i="39"/>
  <c r="T27" i="39"/>
  <c r="P27" i="39"/>
  <c r="X27" i="39" s="1"/>
  <c r="H27" i="39"/>
  <c r="D27" i="39"/>
  <c r="B27" i="39"/>
  <c r="T26" i="39"/>
  <c r="P26" i="39"/>
  <c r="X26" i="39" s="1"/>
  <c r="Z26" i="39" s="1"/>
  <c r="H26" i="39"/>
  <c r="D26" i="39"/>
  <c r="B26" i="39"/>
  <c r="T25" i="39"/>
  <c r="P25" i="39"/>
  <c r="X25" i="39" s="1"/>
  <c r="Z25" i="39" s="1"/>
  <c r="L25" i="39"/>
  <c r="H25" i="39"/>
  <c r="N25" i="39" s="1"/>
  <c r="D25" i="39"/>
  <c r="B25" i="39"/>
  <c r="T24" i="39"/>
  <c r="P24" i="39"/>
  <c r="X24" i="39" s="1"/>
  <c r="Z24" i="39" s="1"/>
  <c r="H24" i="39"/>
  <c r="D24" i="39"/>
  <c r="B24" i="39"/>
  <c r="T23" i="39"/>
  <c r="P23" i="39"/>
  <c r="X23" i="39" s="1"/>
  <c r="H23" i="39"/>
  <c r="N23" i="39" s="1"/>
  <c r="D23" i="39"/>
  <c r="B23" i="39"/>
  <c r="T22" i="39"/>
  <c r="P22" i="39"/>
  <c r="X22" i="39" s="1"/>
  <c r="Z22" i="39" s="1"/>
  <c r="L22" i="39"/>
  <c r="H22" i="39"/>
  <c r="N22" i="39" s="1"/>
  <c r="D22" i="39"/>
  <c r="B22" i="39"/>
  <c r="T21" i="39"/>
  <c r="P21" i="39"/>
  <c r="X21" i="39" s="1"/>
  <c r="Z21" i="39" s="1"/>
  <c r="L21" i="39"/>
  <c r="H21" i="39"/>
  <c r="N21" i="39" s="1"/>
  <c r="D21" i="39"/>
  <c r="B21" i="39"/>
  <c r="T20" i="39"/>
  <c r="P20" i="39"/>
  <c r="X20" i="39" s="1"/>
  <c r="Z20" i="39" s="1"/>
  <c r="H20" i="39"/>
  <c r="N20" i="39" s="1"/>
  <c r="D20" i="39"/>
  <c r="B20" i="39"/>
  <c r="T19" i="39"/>
  <c r="P19" i="39"/>
  <c r="X19" i="39" s="1"/>
  <c r="H19" i="39"/>
  <c r="D19" i="39"/>
  <c r="B19" i="39"/>
  <c r="T18" i="39"/>
  <c r="P18" i="39"/>
  <c r="X18" i="39" s="1"/>
  <c r="Z18" i="39" s="1"/>
  <c r="L18" i="39"/>
  <c r="H18" i="39"/>
  <c r="N18" i="39" s="1"/>
  <c r="D18" i="39"/>
  <c r="B18" i="39"/>
  <c r="T17" i="39"/>
  <c r="P17" i="39"/>
  <c r="X17" i="39" s="1"/>
  <c r="Z17" i="39" s="1"/>
  <c r="L17" i="39"/>
  <c r="H17" i="39"/>
  <c r="N17" i="39" s="1"/>
  <c r="D17" i="39"/>
  <c r="B17" i="39"/>
  <c r="T16" i="39"/>
  <c r="P16" i="39"/>
  <c r="X16" i="39" s="1"/>
  <c r="Z16" i="39" s="1"/>
  <c r="H16" i="39"/>
  <c r="D16" i="39"/>
  <c r="B16" i="39"/>
  <c r="T15" i="39"/>
  <c r="Z15" i="39" s="1"/>
  <c r="P15" i="39"/>
  <c r="X15" i="39" s="1"/>
  <c r="H15" i="39"/>
  <c r="D15" i="39"/>
  <c r="B15" i="39"/>
  <c r="T14" i="39"/>
  <c r="P14" i="39"/>
  <c r="X14" i="39" s="1"/>
  <c r="Z14" i="39" s="1"/>
  <c r="L14" i="39"/>
  <c r="H14" i="39"/>
  <c r="N14" i="39" s="1"/>
  <c r="D14" i="39"/>
  <c r="B14" i="39"/>
  <c r="T13" i="39"/>
  <c r="T12" i="39" s="1"/>
  <c r="P13" i="39"/>
  <c r="P12" i="39" s="1"/>
  <c r="L13" i="39"/>
  <c r="H13" i="39"/>
  <c r="N13" i="39" s="1"/>
  <c r="D13" i="39"/>
  <c r="D12" i="39" s="1"/>
  <c r="B13" i="39"/>
  <c r="H12" i="39"/>
  <c r="J117" i="39" s="1"/>
  <c r="D4" i="39"/>
  <c r="Z125" i="36"/>
  <c r="X125" i="36"/>
  <c r="N125" i="36"/>
  <c r="L125" i="36"/>
  <c r="X121" i="36"/>
  <c r="T121" i="36"/>
  <c r="Z121" i="36" s="1"/>
  <c r="P121" i="36"/>
  <c r="H121" i="36"/>
  <c r="N121" i="36" s="1"/>
  <c r="D121" i="36"/>
  <c r="L121" i="36" s="1"/>
  <c r="B121" i="36"/>
  <c r="T120" i="36"/>
  <c r="X120" i="36" s="1"/>
  <c r="Z120" i="36" s="1"/>
  <c r="P120" i="36"/>
  <c r="L120" i="36"/>
  <c r="H120" i="36"/>
  <c r="N120" i="36" s="1"/>
  <c r="D120" i="36"/>
  <c r="B120" i="36"/>
  <c r="T119" i="36"/>
  <c r="P119" i="36"/>
  <c r="X119" i="36" s="1"/>
  <c r="H119" i="36"/>
  <c r="D119" i="36"/>
  <c r="D118" i="36" s="1"/>
  <c r="B119" i="36"/>
  <c r="P118" i="36"/>
  <c r="X116" i="36"/>
  <c r="Z116" i="36" s="1"/>
  <c r="L116" i="36"/>
  <c r="N116" i="36" s="1"/>
  <c r="B116" i="36"/>
  <c r="X115" i="36"/>
  <c r="T115" i="36"/>
  <c r="Z115" i="36" s="1"/>
  <c r="P115" i="36"/>
  <c r="H115" i="36"/>
  <c r="D115" i="36"/>
  <c r="L115" i="36" s="1"/>
  <c r="B115" i="36"/>
  <c r="Z114" i="36"/>
  <c r="X114" i="36"/>
  <c r="N114" i="36"/>
  <c r="L114" i="36"/>
  <c r="B114" i="36"/>
  <c r="X113" i="36"/>
  <c r="Z113" i="36" s="1"/>
  <c r="N113" i="36"/>
  <c r="L113" i="36"/>
  <c r="B113" i="36"/>
  <c r="X112" i="36"/>
  <c r="Z112" i="36" s="1"/>
  <c r="N112" i="36"/>
  <c r="L112" i="36"/>
  <c r="B112" i="36"/>
  <c r="Z111" i="36"/>
  <c r="X111" i="36"/>
  <c r="T111" i="36"/>
  <c r="P111" i="36"/>
  <c r="L111" i="36"/>
  <c r="H111" i="36"/>
  <c r="N111" i="36" s="1"/>
  <c r="D111" i="36"/>
  <c r="B111" i="36"/>
  <c r="Z110" i="36"/>
  <c r="X110" i="36"/>
  <c r="L110" i="36"/>
  <c r="N110" i="36" s="1"/>
  <c r="B110" i="36"/>
  <c r="T109" i="36"/>
  <c r="P109" i="36"/>
  <c r="X109" i="36" s="1"/>
  <c r="H109" i="36"/>
  <c r="D109" i="36"/>
  <c r="L109" i="36" s="1"/>
  <c r="B109" i="36"/>
  <c r="X108" i="36"/>
  <c r="Z108" i="36" s="1"/>
  <c r="L108" i="36"/>
  <c r="N108" i="36" s="1"/>
  <c r="B108" i="36"/>
  <c r="X107" i="36"/>
  <c r="T107" i="36"/>
  <c r="P107" i="36"/>
  <c r="H107" i="36"/>
  <c r="D107" i="36"/>
  <c r="L107" i="36" s="1"/>
  <c r="B107" i="36"/>
  <c r="Z106" i="36"/>
  <c r="X106" i="36"/>
  <c r="N106" i="36"/>
  <c r="L106" i="36"/>
  <c r="B106" i="36"/>
  <c r="X105" i="36"/>
  <c r="Z105" i="36" s="1"/>
  <c r="N105" i="36"/>
  <c r="L105" i="36"/>
  <c r="B105" i="36"/>
  <c r="X104" i="36"/>
  <c r="Z104" i="36" s="1"/>
  <c r="N104" i="36"/>
  <c r="L104" i="36"/>
  <c r="B104" i="36"/>
  <c r="Z103" i="36"/>
  <c r="X103" i="36"/>
  <c r="N103" i="36"/>
  <c r="L103" i="36"/>
  <c r="B103" i="36"/>
  <c r="Z102" i="36"/>
  <c r="X102" i="36"/>
  <c r="N102" i="36"/>
  <c r="L102" i="36"/>
  <c r="B102" i="36"/>
  <c r="X101" i="36"/>
  <c r="Z101" i="36" s="1"/>
  <c r="N101" i="36"/>
  <c r="L101" i="36"/>
  <c r="B101" i="36"/>
  <c r="X100" i="36"/>
  <c r="Z100" i="36" s="1"/>
  <c r="N100" i="36"/>
  <c r="L100" i="36"/>
  <c r="B100" i="36"/>
  <c r="Z99" i="36"/>
  <c r="X99" i="36"/>
  <c r="N99" i="36"/>
  <c r="L99" i="36"/>
  <c r="B99" i="36"/>
  <c r="Z98" i="36"/>
  <c r="T98" i="36"/>
  <c r="X98" i="36" s="1"/>
  <c r="P98" i="36"/>
  <c r="L98" i="36"/>
  <c r="H98" i="36"/>
  <c r="N98" i="36" s="1"/>
  <c r="D98" i="36"/>
  <c r="B98" i="36"/>
  <c r="Z97" i="36"/>
  <c r="X97" i="36"/>
  <c r="L97" i="36"/>
  <c r="N97" i="36" s="1"/>
  <c r="B97" i="36"/>
  <c r="Z96" i="36"/>
  <c r="X96" i="36"/>
  <c r="N96" i="36"/>
  <c r="L96" i="36"/>
  <c r="B96" i="36"/>
  <c r="T95" i="36"/>
  <c r="P95" i="36"/>
  <c r="X95" i="36" s="1"/>
  <c r="H95" i="36"/>
  <c r="D95" i="36"/>
  <c r="L95" i="36" s="1"/>
  <c r="B95" i="36"/>
  <c r="X94" i="36"/>
  <c r="Z94" i="36" s="1"/>
  <c r="N94" i="36"/>
  <c r="L94" i="36"/>
  <c r="B94" i="36"/>
  <c r="X93" i="36"/>
  <c r="Z93" i="36" s="1"/>
  <c r="L93" i="36"/>
  <c r="N93" i="36" s="1"/>
  <c r="B93" i="36"/>
  <c r="X92" i="36"/>
  <c r="Z92" i="36" s="1"/>
  <c r="L92" i="36"/>
  <c r="N92" i="36" s="1"/>
  <c r="B92" i="36"/>
  <c r="X91" i="36"/>
  <c r="Z91" i="36" s="1"/>
  <c r="N91" i="36"/>
  <c r="L91" i="36"/>
  <c r="B91" i="36"/>
  <c r="X90" i="36"/>
  <c r="Z90" i="36" s="1"/>
  <c r="N90" i="36"/>
  <c r="L90" i="36"/>
  <c r="B90" i="36"/>
  <c r="T89" i="36"/>
  <c r="Z89" i="36" s="1"/>
  <c r="P89" i="36"/>
  <c r="X89" i="36" s="1"/>
  <c r="L89" i="36"/>
  <c r="H89" i="36"/>
  <c r="D89" i="36"/>
  <c r="B89" i="36"/>
  <c r="X88" i="36"/>
  <c r="Z88" i="36" s="1"/>
  <c r="N88" i="36"/>
  <c r="L88" i="36"/>
  <c r="B88" i="36"/>
  <c r="Z87" i="36"/>
  <c r="X87" i="36"/>
  <c r="N87" i="36"/>
  <c r="L87" i="36"/>
  <c r="B87" i="36"/>
  <c r="Z86" i="36"/>
  <c r="T86" i="36"/>
  <c r="X86" i="36" s="1"/>
  <c r="P86" i="36"/>
  <c r="L86" i="36"/>
  <c r="H86" i="36"/>
  <c r="N86" i="36" s="1"/>
  <c r="D86" i="36"/>
  <c r="B86" i="36"/>
  <c r="Z85" i="36"/>
  <c r="X85" i="36"/>
  <c r="L85" i="36"/>
  <c r="N85" i="36" s="1"/>
  <c r="B85" i="36"/>
  <c r="Z84" i="36"/>
  <c r="X84" i="36"/>
  <c r="L84" i="36"/>
  <c r="N84" i="36" s="1"/>
  <c r="B84" i="36"/>
  <c r="Z83" i="36"/>
  <c r="X83" i="36"/>
  <c r="L83" i="36"/>
  <c r="N83" i="36" s="1"/>
  <c r="B83" i="36"/>
  <c r="T82" i="36"/>
  <c r="P82" i="36"/>
  <c r="X82" i="36" s="1"/>
  <c r="N82" i="36"/>
  <c r="H82" i="36"/>
  <c r="D82" i="36"/>
  <c r="L82" i="36" s="1"/>
  <c r="B82" i="36"/>
  <c r="X81" i="36"/>
  <c r="Z81" i="36" s="1"/>
  <c r="L81" i="36"/>
  <c r="N81" i="36" s="1"/>
  <c r="B81" i="36"/>
  <c r="T80" i="36"/>
  <c r="P80" i="36"/>
  <c r="X80" i="36" s="1"/>
  <c r="Z80" i="36" s="1"/>
  <c r="L80" i="36"/>
  <c r="H80" i="36"/>
  <c r="N80" i="36" s="1"/>
  <c r="D80" i="36"/>
  <c r="B80" i="36"/>
  <c r="Z79" i="36"/>
  <c r="X79" i="36"/>
  <c r="N79" i="36"/>
  <c r="L79" i="36"/>
  <c r="B79" i="36"/>
  <c r="Z78" i="36"/>
  <c r="T78" i="36"/>
  <c r="X78" i="36" s="1"/>
  <c r="P78" i="36"/>
  <c r="L78" i="36"/>
  <c r="H78" i="36"/>
  <c r="N78" i="36" s="1"/>
  <c r="D78" i="36"/>
  <c r="B78" i="36"/>
  <c r="Z77" i="36"/>
  <c r="X77" i="36"/>
  <c r="N77" i="36"/>
  <c r="L77" i="36"/>
  <c r="B77" i="36"/>
  <c r="Z76" i="36"/>
  <c r="T76" i="36"/>
  <c r="P76" i="36"/>
  <c r="X76" i="36" s="1"/>
  <c r="H76" i="36"/>
  <c r="N76" i="36" s="1"/>
  <c r="D76" i="36"/>
  <c r="L76" i="36" s="1"/>
  <c r="B76" i="36"/>
  <c r="X75" i="36"/>
  <c r="Z75" i="36" s="1"/>
  <c r="N75" i="36"/>
  <c r="L75" i="36"/>
  <c r="B75" i="36"/>
  <c r="X74" i="36"/>
  <c r="T74" i="36"/>
  <c r="Z74" i="36" s="1"/>
  <c r="P74" i="36"/>
  <c r="H74" i="36"/>
  <c r="D74" i="36"/>
  <c r="L74" i="36" s="1"/>
  <c r="N74" i="36" s="1"/>
  <c r="B74" i="36"/>
  <c r="X73" i="36"/>
  <c r="Z73" i="36" s="1"/>
  <c r="N73" i="36"/>
  <c r="L73" i="36"/>
  <c r="B73" i="36"/>
  <c r="X72" i="36"/>
  <c r="T72" i="36"/>
  <c r="Z72" i="36" s="1"/>
  <c r="P72" i="36"/>
  <c r="N72" i="36"/>
  <c r="H72" i="36"/>
  <c r="L72" i="36" s="1"/>
  <c r="D72" i="36"/>
  <c r="B72" i="36"/>
  <c r="Z71" i="36"/>
  <c r="X71" i="36"/>
  <c r="L71" i="36"/>
  <c r="N71" i="36" s="1"/>
  <c r="B71" i="36"/>
  <c r="Z70" i="36"/>
  <c r="X70" i="36"/>
  <c r="L70" i="36"/>
  <c r="N70" i="36" s="1"/>
  <c r="B70" i="36"/>
  <c r="T69" i="36"/>
  <c r="P69" i="36"/>
  <c r="X69" i="36" s="1"/>
  <c r="H69" i="36"/>
  <c r="D69" i="36"/>
  <c r="B69" i="36"/>
  <c r="X68" i="36"/>
  <c r="Z68" i="36" s="1"/>
  <c r="N68" i="36"/>
  <c r="L68" i="36"/>
  <c r="B68" i="36"/>
  <c r="X67" i="36"/>
  <c r="Z67" i="36" s="1"/>
  <c r="T67" i="36"/>
  <c r="P67" i="36"/>
  <c r="H67" i="36"/>
  <c r="N67" i="36" s="1"/>
  <c r="D67" i="36"/>
  <c r="L67" i="36" s="1"/>
  <c r="B67" i="36"/>
  <c r="Z66" i="36"/>
  <c r="X66" i="36"/>
  <c r="N66" i="36"/>
  <c r="L66" i="36"/>
  <c r="B66" i="36"/>
  <c r="T65" i="36"/>
  <c r="P65" i="36"/>
  <c r="N65" i="36"/>
  <c r="L65" i="36"/>
  <c r="H65" i="36"/>
  <c r="D65" i="36"/>
  <c r="B65" i="36"/>
  <c r="Z64" i="36"/>
  <c r="X64" i="36"/>
  <c r="L64" i="36"/>
  <c r="N64" i="36" s="1"/>
  <c r="B64" i="36"/>
  <c r="T63" i="36"/>
  <c r="P63" i="36"/>
  <c r="X63" i="36" s="1"/>
  <c r="H63" i="36"/>
  <c r="D63" i="36"/>
  <c r="L63" i="36" s="1"/>
  <c r="B63" i="36"/>
  <c r="X62" i="36"/>
  <c r="Z62" i="36" s="1"/>
  <c r="N62" i="36"/>
  <c r="L62" i="36"/>
  <c r="B62" i="36"/>
  <c r="T61" i="36"/>
  <c r="P61" i="36"/>
  <c r="X61" i="36" s="1"/>
  <c r="L61" i="36"/>
  <c r="N61" i="36" s="1"/>
  <c r="H61" i="36"/>
  <c r="D61" i="36"/>
  <c r="B61" i="36"/>
  <c r="X60" i="36"/>
  <c r="Z60" i="36" s="1"/>
  <c r="N60" i="36"/>
  <c r="L60" i="36"/>
  <c r="B60" i="36"/>
  <c r="Z59" i="36"/>
  <c r="X59" i="36"/>
  <c r="N59" i="36"/>
  <c r="L59" i="36"/>
  <c r="B59" i="36"/>
  <c r="Z58" i="36"/>
  <c r="X58" i="36"/>
  <c r="N58" i="36"/>
  <c r="L58" i="36"/>
  <c r="B58" i="36"/>
  <c r="X57" i="36"/>
  <c r="T57" i="36"/>
  <c r="P57" i="36"/>
  <c r="N57" i="36"/>
  <c r="L57" i="36"/>
  <c r="H57" i="36"/>
  <c r="D57" i="36"/>
  <c r="B57" i="36"/>
  <c r="Z56" i="36"/>
  <c r="X56" i="36"/>
  <c r="L56" i="36"/>
  <c r="N56" i="36" s="1"/>
  <c r="B56" i="36"/>
  <c r="T55" i="36"/>
  <c r="P55" i="36"/>
  <c r="H55" i="36"/>
  <c r="D55" i="36"/>
  <c r="L55" i="36" s="1"/>
  <c r="B55" i="36"/>
  <c r="X54" i="36"/>
  <c r="Z54" i="36" s="1"/>
  <c r="N54" i="36"/>
  <c r="L54" i="36"/>
  <c r="B54" i="36"/>
  <c r="T53" i="36"/>
  <c r="P53" i="36"/>
  <c r="X53" i="36" s="1"/>
  <c r="L53" i="36"/>
  <c r="N53" i="36" s="1"/>
  <c r="H53" i="36"/>
  <c r="D53" i="36"/>
  <c r="B53" i="36"/>
  <c r="X52" i="36"/>
  <c r="Z52" i="36" s="1"/>
  <c r="N52" i="36"/>
  <c r="L52" i="36"/>
  <c r="B52" i="36"/>
  <c r="Z51" i="36"/>
  <c r="X51" i="36"/>
  <c r="T51" i="36"/>
  <c r="P51" i="36"/>
  <c r="H51" i="36"/>
  <c r="D51" i="36"/>
  <c r="B51" i="36"/>
  <c r="Z50" i="36"/>
  <c r="X50" i="36"/>
  <c r="L50" i="36"/>
  <c r="N50" i="36" s="1"/>
  <c r="B50" i="36"/>
  <c r="Z49" i="36"/>
  <c r="X49" i="36"/>
  <c r="L49" i="36"/>
  <c r="N49" i="36" s="1"/>
  <c r="B49" i="36"/>
  <c r="Z48" i="36"/>
  <c r="X48" i="36"/>
  <c r="L48" i="36"/>
  <c r="N48" i="36" s="1"/>
  <c r="B48" i="36"/>
  <c r="Z47" i="36"/>
  <c r="X47" i="36"/>
  <c r="L47" i="36"/>
  <c r="N47" i="36" s="1"/>
  <c r="B47" i="36"/>
  <c r="Z46" i="36"/>
  <c r="X46" i="36"/>
  <c r="L46" i="36"/>
  <c r="N46" i="36" s="1"/>
  <c r="B46" i="36"/>
  <c r="Z45" i="36"/>
  <c r="X45" i="36"/>
  <c r="L45" i="36"/>
  <c r="N45" i="36" s="1"/>
  <c r="B45" i="36"/>
  <c r="Z44" i="36"/>
  <c r="X44" i="36"/>
  <c r="L44" i="36"/>
  <c r="N44" i="36" s="1"/>
  <c r="B44" i="36"/>
  <c r="T43" i="36"/>
  <c r="P43" i="36"/>
  <c r="X43" i="36" s="1"/>
  <c r="H43" i="36"/>
  <c r="D43" i="36"/>
  <c r="L43" i="36" s="1"/>
  <c r="B43" i="36"/>
  <c r="X42" i="36"/>
  <c r="Z42" i="36" s="1"/>
  <c r="N42" i="36"/>
  <c r="L42" i="36"/>
  <c r="B42" i="36"/>
  <c r="X41" i="36"/>
  <c r="Z41" i="36" s="1"/>
  <c r="L41" i="36"/>
  <c r="N41" i="36" s="1"/>
  <c r="B41" i="36"/>
  <c r="X40" i="36"/>
  <c r="Z40" i="36" s="1"/>
  <c r="L40" i="36"/>
  <c r="N40" i="36" s="1"/>
  <c r="B40" i="36"/>
  <c r="X39" i="36"/>
  <c r="Z39" i="36" s="1"/>
  <c r="L39" i="36"/>
  <c r="N39" i="36" s="1"/>
  <c r="B39" i="36"/>
  <c r="X38" i="36"/>
  <c r="Z38" i="36" s="1"/>
  <c r="N38" i="36"/>
  <c r="L38" i="36"/>
  <c r="B38" i="36"/>
  <c r="X37" i="36"/>
  <c r="Z37" i="36" s="1"/>
  <c r="L37" i="36"/>
  <c r="N37" i="36" s="1"/>
  <c r="B37" i="36"/>
  <c r="X36" i="36"/>
  <c r="Z36" i="36" s="1"/>
  <c r="L36" i="36"/>
  <c r="N36" i="36" s="1"/>
  <c r="B36" i="36"/>
  <c r="X35" i="36"/>
  <c r="Z35" i="36" s="1"/>
  <c r="N35" i="36"/>
  <c r="L35" i="36"/>
  <c r="B35" i="36"/>
  <c r="X34" i="36"/>
  <c r="Z34" i="36" s="1"/>
  <c r="N34" i="36"/>
  <c r="L34" i="36"/>
  <c r="B34" i="36"/>
  <c r="T33" i="36"/>
  <c r="P33" i="36"/>
  <c r="X33" i="36" s="1"/>
  <c r="H33" i="36"/>
  <c r="D33" i="36"/>
  <c r="L33" i="36" s="1"/>
  <c r="N33" i="36" s="1"/>
  <c r="B33" i="36"/>
  <c r="T32" i="36"/>
  <c r="R32" i="36"/>
  <c r="P32" i="36"/>
  <c r="H32" i="36"/>
  <c r="D32" i="36"/>
  <c r="X28" i="36"/>
  <c r="Z28" i="36" s="1"/>
  <c r="N28" i="36"/>
  <c r="L28" i="36"/>
  <c r="B28" i="36"/>
  <c r="Z27" i="36"/>
  <c r="X27" i="36"/>
  <c r="R27" i="36"/>
  <c r="N27" i="36"/>
  <c r="L27" i="36"/>
  <c r="B27" i="36"/>
  <c r="T26" i="36"/>
  <c r="P26" i="36"/>
  <c r="X26" i="36" s="1"/>
  <c r="L26" i="36"/>
  <c r="H26" i="36"/>
  <c r="D26" i="36"/>
  <c r="Z24" i="36"/>
  <c r="X24" i="36"/>
  <c r="T24" i="36"/>
  <c r="P24" i="36"/>
  <c r="L24" i="36"/>
  <c r="H24" i="36"/>
  <c r="N24" i="36" s="1"/>
  <c r="D24" i="36"/>
  <c r="B24" i="36"/>
  <c r="T23" i="36"/>
  <c r="P23" i="36"/>
  <c r="X23" i="36" s="1"/>
  <c r="Z23" i="36" s="1"/>
  <c r="N23" i="36"/>
  <c r="H23" i="36"/>
  <c r="D23" i="36"/>
  <c r="L23" i="36" s="1"/>
  <c r="B23" i="36"/>
  <c r="T22" i="36"/>
  <c r="P22" i="36"/>
  <c r="X22" i="36" s="1"/>
  <c r="Z22" i="36" s="1"/>
  <c r="N22" i="36"/>
  <c r="H22" i="36"/>
  <c r="D22" i="36"/>
  <c r="L22" i="36" s="1"/>
  <c r="B22" i="36"/>
  <c r="T21" i="36"/>
  <c r="Z21" i="36" s="1"/>
  <c r="P21" i="36"/>
  <c r="X21" i="36" s="1"/>
  <c r="H21" i="36"/>
  <c r="D21" i="36"/>
  <c r="L21" i="36" s="1"/>
  <c r="N21" i="36" s="1"/>
  <c r="B21" i="36"/>
  <c r="T20" i="36"/>
  <c r="P20" i="36"/>
  <c r="X20" i="36" s="1"/>
  <c r="Z20" i="36" s="1"/>
  <c r="H20" i="36"/>
  <c r="D20" i="36"/>
  <c r="L20" i="36" s="1"/>
  <c r="B20" i="36"/>
  <c r="T19" i="36"/>
  <c r="P19" i="36"/>
  <c r="H19" i="36"/>
  <c r="D19" i="36"/>
  <c r="B19" i="36"/>
  <c r="T18" i="36"/>
  <c r="P18" i="36"/>
  <c r="X18" i="36" s="1"/>
  <c r="Z18" i="36" s="1"/>
  <c r="L18" i="36"/>
  <c r="H18" i="36"/>
  <c r="D18" i="36"/>
  <c r="B18" i="36"/>
  <c r="Z17" i="36"/>
  <c r="X17" i="36"/>
  <c r="T17" i="36"/>
  <c r="P17" i="36"/>
  <c r="H17" i="36"/>
  <c r="N17" i="36" s="1"/>
  <c r="D17" i="36"/>
  <c r="B17" i="36"/>
  <c r="Z16" i="36"/>
  <c r="X16" i="36"/>
  <c r="T16" i="36"/>
  <c r="P16" i="36"/>
  <c r="N16" i="36"/>
  <c r="L16" i="36"/>
  <c r="H16" i="36"/>
  <c r="D16" i="36"/>
  <c r="B16" i="36"/>
  <c r="T15" i="36"/>
  <c r="P15" i="36"/>
  <c r="X15" i="36" s="1"/>
  <c r="Z15" i="36" s="1"/>
  <c r="N15" i="36"/>
  <c r="H15" i="36"/>
  <c r="D15" i="36"/>
  <c r="L15" i="36" s="1"/>
  <c r="B15" i="36"/>
  <c r="T14" i="36"/>
  <c r="P14" i="36"/>
  <c r="P12" i="36" s="1"/>
  <c r="R101" i="36" s="1"/>
  <c r="H14" i="36"/>
  <c r="D14" i="36"/>
  <c r="L14" i="36" s="1"/>
  <c r="B14" i="36"/>
  <c r="X13" i="36"/>
  <c r="T13" i="36"/>
  <c r="P13" i="36"/>
  <c r="H13" i="36"/>
  <c r="H12" i="36" s="1"/>
  <c r="D13" i="36"/>
  <c r="D12" i="36" s="1"/>
  <c r="F41" i="36" s="1"/>
  <c r="B13" i="36"/>
  <c r="D4" i="36"/>
  <c r="X95" i="33"/>
  <c r="Z95" i="33" s="1"/>
  <c r="V95" i="33"/>
  <c r="L95" i="33"/>
  <c r="N95" i="33" s="1"/>
  <c r="T91" i="33"/>
  <c r="Z91" i="33" s="1"/>
  <c r="P91" i="33"/>
  <c r="X91" i="33" s="1"/>
  <c r="N91" i="33"/>
  <c r="H91" i="33"/>
  <c r="D91" i="33"/>
  <c r="L91" i="33" s="1"/>
  <c r="B91" i="33"/>
  <c r="T90" i="33"/>
  <c r="Z90" i="33" s="1"/>
  <c r="P90" i="33"/>
  <c r="X90" i="33" s="1"/>
  <c r="H90" i="33"/>
  <c r="N90" i="33" s="1"/>
  <c r="D90" i="33"/>
  <c r="L90" i="33" s="1"/>
  <c r="B90" i="33"/>
  <c r="T89" i="33"/>
  <c r="P89" i="33"/>
  <c r="L89" i="33"/>
  <c r="H89" i="33"/>
  <c r="N89" i="33" s="1"/>
  <c r="D89" i="33"/>
  <c r="B89" i="33"/>
  <c r="V88" i="33"/>
  <c r="T88" i="33"/>
  <c r="P88" i="33"/>
  <c r="N88" i="33"/>
  <c r="H88" i="33"/>
  <c r="D88" i="33"/>
  <c r="L88" i="33" s="1"/>
  <c r="B88" i="33"/>
  <c r="X87" i="33"/>
  <c r="Z87" i="33" s="1"/>
  <c r="V87" i="33"/>
  <c r="T87" i="33"/>
  <c r="P87" i="33"/>
  <c r="H87" i="33"/>
  <c r="N87" i="33" s="1"/>
  <c r="D87" i="33"/>
  <c r="L87" i="33" s="1"/>
  <c r="B87" i="33"/>
  <c r="Z86" i="33"/>
  <c r="X86" i="33"/>
  <c r="T86" i="33"/>
  <c r="P86" i="33"/>
  <c r="H86" i="33"/>
  <c r="N86" i="33" s="1"/>
  <c r="D86" i="33"/>
  <c r="L86" i="33" s="1"/>
  <c r="B86" i="33"/>
  <c r="D85" i="33"/>
  <c r="Z83" i="33"/>
  <c r="X83" i="33"/>
  <c r="N83" i="33"/>
  <c r="L83" i="33"/>
  <c r="B83" i="33"/>
  <c r="T82" i="33"/>
  <c r="P82" i="33"/>
  <c r="N82" i="33"/>
  <c r="H82" i="33"/>
  <c r="D82" i="33"/>
  <c r="L82" i="33" s="1"/>
  <c r="B82" i="33"/>
  <c r="X81" i="33"/>
  <c r="Z81" i="33" s="1"/>
  <c r="V81" i="33"/>
  <c r="L81" i="33"/>
  <c r="N81" i="33" s="1"/>
  <c r="B81" i="33"/>
  <c r="T80" i="33"/>
  <c r="Z80" i="33" s="1"/>
  <c r="P80" i="33"/>
  <c r="X80" i="33" s="1"/>
  <c r="H80" i="33"/>
  <c r="N80" i="33" s="1"/>
  <c r="D80" i="33"/>
  <c r="L80" i="33" s="1"/>
  <c r="B80" i="33"/>
  <c r="Z79" i="33"/>
  <c r="X79" i="33"/>
  <c r="N79" i="33"/>
  <c r="L79" i="33"/>
  <c r="B79" i="33"/>
  <c r="X78" i="33"/>
  <c r="Z78" i="33" s="1"/>
  <c r="L78" i="33"/>
  <c r="N78" i="33" s="1"/>
  <c r="B78" i="33"/>
  <c r="X77" i="33"/>
  <c r="Z77" i="33" s="1"/>
  <c r="L77" i="33"/>
  <c r="N77" i="33" s="1"/>
  <c r="B77" i="33"/>
  <c r="Z76" i="33"/>
  <c r="X76" i="33"/>
  <c r="N76" i="33"/>
  <c r="L76" i="33"/>
  <c r="B76" i="33"/>
  <c r="Z75" i="33"/>
  <c r="X75" i="33"/>
  <c r="N75" i="33"/>
  <c r="L75" i="33"/>
  <c r="B75" i="33"/>
  <c r="T74" i="33"/>
  <c r="Z74" i="33" s="1"/>
  <c r="P74" i="33"/>
  <c r="X74" i="33" s="1"/>
  <c r="N74" i="33"/>
  <c r="L74" i="33"/>
  <c r="H74" i="33"/>
  <c r="D74" i="33"/>
  <c r="B74" i="33"/>
  <c r="X73" i="33"/>
  <c r="Z73" i="33" s="1"/>
  <c r="V73" i="33"/>
  <c r="L73" i="33"/>
  <c r="N73" i="33" s="1"/>
  <c r="B73" i="33"/>
  <c r="T72" i="33"/>
  <c r="P72" i="33"/>
  <c r="X72" i="33" s="1"/>
  <c r="Z72" i="33" s="1"/>
  <c r="H72" i="33"/>
  <c r="D72" i="33"/>
  <c r="B72" i="33"/>
  <c r="Z71" i="33"/>
  <c r="X71" i="33"/>
  <c r="N71" i="33"/>
  <c r="L71" i="33"/>
  <c r="B71" i="33"/>
  <c r="X70" i="33"/>
  <c r="Z70" i="33" s="1"/>
  <c r="L70" i="33"/>
  <c r="N70" i="33" s="1"/>
  <c r="B70" i="33"/>
  <c r="X69" i="33"/>
  <c r="Z69" i="33" s="1"/>
  <c r="V69" i="33"/>
  <c r="T69" i="33"/>
  <c r="P69" i="33"/>
  <c r="H69" i="33"/>
  <c r="D69" i="33"/>
  <c r="L69" i="33" s="1"/>
  <c r="N69" i="33" s="1"/>
  <c r="B69" i="33"/>
  <c r="X68" i="33"/>
  <c r="Z68" i="33" s="1"/>
  <c r="N68" i="33"/>
  <c r="L68" i="33"/>
  <c r="B68" i="33"/>
  <c r="T67" i="33"/>
  <c r="P67" i="33"/>
  <c r="L67" i="33"/>
  <c r="H67" i="33"/>
  <c r="N67" i="33" s="1"/>
  <c r="D67" i="33"/>
  <c r="B67" i="33"/>
  <c r="X66" i="33"/>
  <c r="Z66" i="33" s="1"/>
  <c r="V66" i="33"/>
  <c r="N66" i="33"/>
  <c r="L66" i="33"/>
  <c r="B66" i="33"/>
  <c r="V65" i="33"/>
  <c r="T65" i="33"/>
  <c r="Z65" i="33" s="1"/>
  <c r="P65" i="33"/>
  <c r="X65" i="33" s="1"/>
  <c r="N65" i="33"/>
  <c r="H65" i="33"/>
  <c r="D65" i="33"/>
  <c r="L65" i="33" s="1"/>
  <c r="B65" i="33"/>
  <c r="X64" i="33"/>
  <c r="Z64" i="33" s="1"/>
  <c r="N64" i="33"/>
  <c r="L64" i="33"/>
  <c r="B64" i="33"/>
  <c r="Z63" i="33"/>
  <c r="X63" i="33"/>
  <c r="N63" i="33"/>
  <c r="L63" i="33"/>
  <c r="B63" i="33"/>
  <c r="T62" i="33"/>
  <c r="Z62" i="33" s="1"/>
  <c r="P62" i="33"/>
  <c r="X62" i="33" s="1"/>
  <c r="H62" i="33"/>
  <c r="F62" i="33"/>
  <c r="D62" i="33"/>
  <c r="L62" i="33" s="1"/>
  <c r="B62" i="33"/>
  <c r="X61" i="33"/>
  <c r="Z61" i="33" s="1"/>
  <c r="L61" i="33"/>
  <c r="N61" i="33" s="1"/>
  <c r="B61" i="33"/>
  <c r="X60" i="33"/>
  <c r="Z60" i="33" s="1"/>
  <c r="T60" i="33"/>
  <c r="P60" i="33"/>
  <c r="H60" i="33"/>
  <c r="D60" i="33"/>
  <c r="L60" i="33" s="1"/>
  <c r="B60" i="33"/>
  <c r="Z59" i="33"/>
  <c r="X59" i="33"/>
  <c r="N59" i="33"/>
  <c r="L59" i="33"/>
  <c r="B59" i="33"/>
  <c r="T58" i="33"/>
  <c r="P58" i="33"/>
  <c r="H58" i="33"/>
  <c r="D58" i="33"/>
  <c r="L58" i="33" s="1"/>
  <c r="N58" i="33" s="1"/>
  <c r="B58" i="33"/>
  <c r="Z57" i="33"/>
  <c r="X57" i="33"/>
  <c r="V57" i="33"/>
  <c r="N57" i="33"/>
  <c r="L57" i="33"/>
  <c r="B57" i="33"/>
  <c r="T56" i="33"/>
  <c r="Z56" i="33" s="1"/>
  <c r="P56" i="33"/>
  <c r="X56" i="33" s="1"/>
  <c r="H56" i="33"/>
  <c r="N56" i="33" s="1"/>
  <c r="D56" i="33"/>
  <c r="L56" i="33" s="1"/>
  <c r="B56" i="33"/>
  <c r="Z55" i="33"/>
  <c r="X55" i="33"/>
  <c r="N55" i="33"/>
  <c r="L55" i="33"/>
  <c r="B55" i="33"/>
  <c r="T54" i="33"/>
  <c r="P54" i="33"/>
  <c r="X54" i="33" s="1"/>
  <c r="N54" i="33"/>
  <c r="L54" i="33"/>
  <c r="H54" i="33"/>
  <c r="D54" i="33"/>
  <c r="B54" i="33"/>
  <c r="X53" i="33"/>
  <c r="Z53" i="33" s="1"/>
  <c r="V53" i="33"/>
  <c r="L53" i="33"/>
  <c r="N53" i="33" s="1"/>
  <c r="B53" i="33"/>
  <c r="Z52" i="33"/>
  <c r="X52" i="33"/>
  <c r="L52" i="33"/>
  <c r="N52" i="33" s="1"/>
  <c r="B52" i="33"/>
  <c r="Z51" i="33"/>
  <c r="X51" i="33"/>
  <c r="N51" i="33"/>
  <c r="L51" i="33"/>
  <c r="B51" i="33"/>
  <c r="X50" i="33"/>
  <c r="Z50" i="33" s="1"/>
  <c r="V50" i="33"/>
  <c r="L50" i="33"/>
  <c r="N50" i="33" s="1"/>
  <c r="B50" i="33"/>
  <c r="V49" i="33"/>
  <c r="T49" i="33"/>
  <c r="Z49" i="33" s="1"/>
  <c r="P49" i="33"/>
  <c r="X49" i="33" s="1"/>
  <c r="H49" i="33"/>
  <c r="D49" i="33"/>
  <c r="L49" i="33" s="1"/>
  <c r="N49" i="33" s="1"/>
  <c r="B49" i="33"/>
  <c r="X48" i="33"/>
  <c r="Z48" i="33" s="1"/>
  <c r="N48" i="33"/>
  <c r="L48" i="33"/>
  <c r="B48" i="33"/>
  <c r="Z47" i="33"/>
  <c r="X47" i="33"/>
  <c r="N47" i="33"/>
  <c r="L47" i="33"/>
  <c r="B47" i="33"/>
  <c r="X46" i="33"/>
  <c r="Z46" i="33" s="1"/>
  <c r="V46" i="33"/>
  <c r="L46" i="33"/>
  <c r="N46" i="33" s="1"/>
  <c r="B46" i="33"/>
  <c r="X45" i="33"/>
  <c r="Z45" i="33" s="1"/>
  <c r="V45" i="33"/>
  <c r="L45" i="33"/>
  <c r="N45" i="33" s="1"/>
  <c r="B45" i="33"/>
  <c r="X44" i="33"/>
  <c r="Z44" i="33" s="1"/>
  <c r="L44" i="33"/>
  <c r="N44" i="33" s="1"/>
  <c r="B44" i="33"/>
  <c r="Z43" i="33"/>
  <c r="X43" i="33"/>
  <c r="N43" i="33"/>
  <c r="L43" i="33"/>
  <c r="B43" i="33"/>
  <c r="X42" i="33"/>
  <c r="Z42" i="33" s="1"/>
  <c r="V42" i="33"/>
  <c r="L42" i="33"/>
  <c r="N42" i="33" s="1"/>
  <c r="B42" i="33"/>
  <c r="X41" i="33"/>
  <c r="Z41" i="33" s="1"/>
  <c r="V41" i="33"/>
  <c r="L41" i="33"/>
  <c r="N41" i="33" s="1"/>
  <c r="B41" i="33"/>
  <c r="T40" i="33"/>
  <c r="P40" i="33"/>
  <c r="X40" i="33" s="1"/>
  <c r="H40" i="33"/>
  <c r="N40" i="33" s="1"/>
  <c r="D40" i="33"/>
  <c r="L40" i="33" s="1"/>
  <c r="B40" i="33"/>
  <c r="T39" i="33"/>
  <c r="P39" i="33"/>
  <c r="L39" i="33"/>
  <c r="H39" i="33"/>
  <c r="N39" i="33" s="1"/>
  <c r="D39" i="33"/>
  <c r="T37" i="33"/>
  <c r="Z35" i="33"/>
  <c r="X35" i="33"/>
  <c r="N35" i="33"/>
  <c r="L35" i="33"/>
  <c r="B35" i="33"/>
  <c r="Z34" i="33"/>
  <c r="X34" i="33"/>
  <c r="N34" i="33"/>
  <c r="L34" i="33"/>
  <c r="B34" i="33"/>
  <c r="X33" i="33"/>
  <c r="Z33" i="33" s="1"/>
  <c r="L33" i="33"/>
  <c r="N33" i="33" s="1"/>
  <c r="B33" i="33"/>
  <c r="Z32" i="33"/>
  <c r="X32" i="33"/>
  <c r="N32" i="33"/>
  <c r="L32" i="33"/>
  <c r="B32" i="33"/>
  <c r="Z31" i="33"/>
  <c r="X31" i="33"/>
  <c r="N31" i="33"/>
  <c r="L31" i="33"/>
  <c r="B31" i="33"/>
  <c r="T30" i="33"/>
  <c r="Z30" i="33" s="1"/>
  <c r="P30" i="33"/>
  <c r="X30" i="33" s="1"/>
  <c r="L30" i="33"/>
  <c r="N30" i="33" s="1"/>
  <c r="H30" i="33"/>
  <c r="D30" i="33"/>
  <c r="T28" i="33"/>
  <c r="Z28" i="33" s="1"/>
  <c r="P28" i="33"/>
  <c r="X28" i="33" s="1"/>
  <c r="H28" i="33"/>
  <c r="N28" i="33" s="1"/>
  <c r="D28" i="33"/>
  <c r="B28" i="33"/>
  <c r="X27" i="33"/>
  <c r="T27" i="33"/>
  <c r="Z27" i="33" s="1"/>
  <c r="P27" i="33"/>
  <c r="H27" i="33"/>
  <c r="N27" i="33" s="1"/>
  <c r="D27" i="33"/>
  <c r="B27" i="33"/>
  <c r="Z26" i="33"/>
  <c r="X26" i="33"/>
  <c r="T26" i="33"/>
  <c r="P26" i="33"/>
  <c r="N26" i="33"/>
  <c r="L26" i="33"/>
  <c r="H26" i="33"/>
  <c r="D26" i="33"/>
  <c r="B26" i="33"/>
  <c r="T25" i="33"/>
  <c r="P25" i="33"/>
  <c r="X25" i="33" s="1"/>
  <c r="Z25" i="33" s="1"/>
  <c r="N25" i="33"/>
  <c r="H25" i="33"/>
  <c r="D25" i="33"/>
  <c r="L25" i="33" s="1"/>
  <c r="B25" i="33"/>
  <c r="T24" i="33"/>
  <c r="Z24" i="33" s="1"/>
  <c r="P24" i="33"/>
  <c r="X24" i="33" s="1"/>
  <c r="H24" i="33"/>
  <c r="N24" i="33" s="1"/>
  <c r="D24" i="33"/>
  <c r="B24" i="33"/>
  <c r="X23" i="33"/>
  <c r="T23" i="33"/>
  <c r="Z23" i="33" s="1"/>
  <c r="P23" i="33"/>
  <c r="H23" i="33"/>
  <c r="D23" i="33"/>
  <c r="B23" i="33"/>
  <c r="X22" i="33"/>
  <c r="Z22" i="33" s="1"/>
  <c r="T22" i="33"/>
  <c r="P22" i="33"/>
  <c r="N22" i="33"/>
  <c r="L22" i="33"/>
  <c r="H22" i="33"/>
  <c r="D22" i="33"/>
  <c r="B22" i="33"/>
  <c r="T21" i="33"/>
  <c r="P21" i="33"/>
  <c r="X21" i="33" s="1"/>
  <c r="Z21" i="33" s="1"/>
  <c r="H21" i="33"/>
  <c r="D21" i="33"/>
  <c r="L21" i="33" s="1"/>
  <c r="N21" i="33" s="1"/>
  <c r="B21" i="33"/>
  <c r="T20" i="33"/>
  <c r="Z20" i="33" s="1"/>
  <c r="P20" i="33"/>
  <c r="X20" i="33" s="1"/>
  <c r="H20" i="33"/>
  <c r="H12" i="33" s="1"/>
  <c r="D20" i="33"/>
  <c r="B20" i="33"/>
  <c r="X19" i="33"/>
  <c r="T19" i="33"/>
  <c r="Z19" i="33" s="1"/>
  <c r="P19" i="33"/>
  <c r="H19" i="33"/>
  <c r="N19" i="33" s="1"/>
  <c r="D19" i="33"/>
  <c r="B19" i="33"/>
  <c r="Z18" i="33"/>
  <c r="X18" i="33"/>
  <c r="T18" i="33"/>
  <c r="P18" i="33"/>
  <c r="N18" i="33"/>
  <c r="L18" i="33"/>
  <c r="H18" i="33"/>
  <c r="D18" i="33"/>
  <c r="B18" i="33"/>
  <c r="T17" i="33"/>
  <c r="P17" i="33"/>
  <c r="X17" i="33" s="1"/>
  <c r="Z17" i="33" s="1"/>
  <c r="N17" i="33"/>
  <c r="H17" i="33"/>
  <c r="D17" i="33"/>
  <c r="L17" i="33" s="1"/>
  <c r="B17" i="33"/>
  <c r="T16" i="33"/>
  <c r="Z16" i="33" s="1"/>
  <c r="P16" i="33"/>
  <c r="X16" i="33" s="1"/>
  <c r="H16" i="33"/>
  <c r="D16" i="33"/>
  <c r="L16" i="33" s="1"/>
  <c r="B16" i="33"/>
  <c r="X15" i="33"/>
  <c r="T15" i="33"/>
  <c r="Z15" i="33" s="1"/>
  <c r="P15" i="33"/>
  <c r="H15" i="33"/>
  <c r="D15" i="33"/>
  <c r="B15" i="33"/>
  <c r="X14" i="33"/>
  <c r="Z14" i="33" s="1"/>
  <c r="T14" i="33"/>
  <c r="P14" i="33"/>
  <c r="N14" i="33"/>
  <c r="L14" i="33"/>
  <c r="H14" i="33"/>
  <c r="D14" i="33"/>
  <c r="B14" i="33"/>
  <c r="T13" i="33"/>
  <c r="P13" i="33"/>
  <c r="H13" i="33"/>
  <c r="D13" i="33"/>
  <c r="L13" i="33" s="1"/>
  <c r="N13" i="33" s="1"/>
  <c r="B13" i="33"/>
  <c r="T12" i="33"/>
  <c r="V86" i="33" s="1"/>
  <c r="D12" i="33"/>
  <c r="D4" i="33"/>
  <c r="Z151" i="30"/>
  <c r="X151" i="30"/>
  <c r="L151" i="30"/>
  <c r="N151" i="30" s="1"/>
  <c r="Z147" i="30"/>
  <c r="T147" i="30"/>
  <c r="X147" i="30" s="1"/>
  <c r="P147" i="30"/>
  <c r="H147" i="30"/>
  <c r="D147" i="30"/>
  <c r="B147" i="30"/>
  <c r="P146" i="30"/>
  <c r="D146" i="30"/>
  <c r="Z144" i="30"/>
  <c r="X144" i="30"/>
  <c r="L144" i="30"/>
  <c r="N144" i="30" s="1"/>
  <c r="B144" i="30"/>
  <c r="X143" i="30"/>
  <c r="T143" i="30"/>
  <c r="Z143" i="30" s="1"/>
  <c r="P143" i="30"/>
  <c r="H143" i="30"/>
  <c r="D143" i="30"/>
  <c r="L143" i="30" s="1"/>
  <c r="B143" i="30"/>
  <c r="Z142" i="30"/>
  <c r="X142" i="30"/>
  <c r="N142" i="30"/>
  <c r="L142" i="30"/>
  <c r="B142" i="30"/>
  <c r="Z141" i="30"/>
  <c r="X141" i="30"/>
  <c r="N141" i="30"/>
  <c r="L141" i="30"/>
  <c r="B141" i="30"/>
  <c r="T140" i="30"/>
  <c r="P140" i="30"/>
  <c r="N140" i="30"/>
  <c r="L140" i="30"/>
  <c r="H140" i="30"/>
  <c r="D140" i="30"/>
  <c r="B140" i="30"/>
  <c r="X139" i="30"/>
  <c r="Z139" i="30" s="1"/>
  <c r="L139" i="30"/>
  <c r="N139" i="30" s="1"/>
  <c r="B139" i="30"/>
  <c r="T138" i="30"/>
  <c r="P138" i="30"/>
  <c r="X138" i="30" s="1"/>
  <c r="Z138" i="30" s="1"/>
  <c r="N138" i="30"/>
  <c r="H138" i="30"/>
  <c r="L138" i="30" s="1"/>
  <c r="D138" i="30"/>
  <c r="B138" i="30"/>
  <c r="Z137" i="30"/>
  <c r="X137" i="30"/>
  <c r="N137" i="30"/>
  <c r="L137" i="30"/>
  <c r="B137" i="30"/>
  <c r="T136" i="30"/>
  <c r="X136" i="30" s="1"/>
  <c r="Z136" i="30" s="1"/>
  <c r="P136" i="30"/>
  <c r="L136" i="30"/>
  <c r="N136" i="30" s="1"/>
  <c r="H136" i="30"/>
  <c r="D136" i="30"/>
  <c r="B136" i="30"/>
  <c r="X135" i="30"/>
  <c r="Z135" i="30" s="1"/>
  <c r="N135" i="30"/>
  <c r="L135" i="30"/>
  <c r="B135" i="30"/>
  <c r="X134" i="30"/>
  <c r="Z134" i="30" s="1"/>
  <c r="N134" i="30"/>
  <c r="L134" i="30"/>
  <c r="B134" i="30"/>
  <c r="X133" i="30"/>
  <c r="Z133" i="30" s="1"/>
  <c r="N133" i="30"/>
  <c r="L133" i="30"/>
  <c r="B133" i="30"/>
  <c r="X132" i="30"/>
  <c r="Z132" i="30" s="1"/>
  <c r="N132" i="30"/>
  <c r="L132" i="30"/>
  <c r="B132" i="30"/>
  <c r="X131" i="30"/>
  <c r="Z131" i="30" s="1"/>
  <c r="N131" i="30"/>
  <c r="L131" i="30"/>
  <c r="B131" i="30"/>
  <c r="X130" i="30"/>
  <c r="Z130" i="30" s="1"/>
  <c r="N130" i="30"/>
  <c r="L130" i="30"/>
  <c r="B130" i="30"/>
  <c r="X129" i="30"/>
  <c r="T129" i="30"/>
  <c r="P129" i="30"/>
  <c r="L129" i="30"/>
  <c r="N129" i="30" s="1"/>
  <c r="H129" i="30"/>
  <c r="D129" i="30"/>
  <c r="B129" i="30"/>
  <c r="Z128" i="30"/>
  <c r="X128" i="30"/>
  <c r="N128" i="30"/>
  <c r="L128" i="30"/>
  <c r="B128" i="30"/>
  <c r="X127" i="30"/>
  <c r="Z127" i="30" s="1"/>
  <c r="N127" i="30"/>
  <c r="L127" i="30"/>
  <c r="B127" i="30"/>
  <c r="T126" i="30"/>
  <c r="P126" i="30"/>
  <c r="X126" i="30" s="1"/>
  <c r="Z126" i="30" s="1"/>
  <c r="N126" i="30"/>
  <c r="H126" i="30"/>
  <c r="L126" i="30" s="1"/>
  <c r="D126" i="30"/>
  <c r="B126" i="30"/>
  <c r="Z125" i="30"/>
  <c r="X125" i="30"/>
  <c r="L125" i="30"/>
  <c r="N125" i="30" s="1"/>
  <c r="B125" i="30"/>
  <c r="Z124" i="30"/>
  <c r="X124" i="30"/>
  <c r="L124" i="30"/>
  <c r="N124" i="30" s="1"/>
  <c r="B124" i="30"/>
  <c r="X123" i="30"/>
  <c r="Z123" i="30" s="1"/>
  <c r="L123" i="30"/>
  <c r="N123" i="30" s="1"/>
  <c r="B123" i="30"/>
  <c r="T122" i="30"/>
  <c r="P122" i="30"/>
  <c r="X122" i="30" s="1"/>
  <c r="Z122" i="30" s="1"/>
  <c r="H122" i="30"/>
  <c r="D122" i="30"/>
  <c r="L122" i="30" s="1"/>
  <c r="N122" i="30" s="1"/>
  <c r="B122" i="30"/>
  <c r="Z121" i="30"/>
  <c r="X121" i="30"/>
  <c r="N121" i="30"/>
  <c r="L121" i="30"/>
  <c r="B121" i="30"/>
  <c r="X120" i="30"/>
  <c r="Z120" i="30" s="1"/>
  <c r="N120" i="30"/>
  <c r="L120" i="30"/>
  <c r="B120" i="30"/>
  <c r="X119" i="30"/>
  <c r="Z119" i="30" s="1"/>
  <c r="T119" i="30"/>
  <c r="P119" i="30"/>
  <c r="N119" i="30"/>
  <c r="L119" i="30"/>
  <c r="H119" i="30"/>
  <c r="D119" i="30"/>
  <c r="B119" i="30"/>
  <c r="Z118" i="30"/>
  <c r="X118" i="30"/>
  <c r="N118" i="30"/>
  <c r="L118" i="30"/>
  <c r="B118" i="30"/>
  <c r="Z117" i="30"/>
  <c r="X117" i="30"/>
  <c r="N117" i="30"/>
  <c r="L117" i="30"/>
  <c r="B117" i="30"/>
  <c r="Z116" i="30"/>
  <c r="X116" i="30"/>
  <c r="N116" i="30"/>
  <c r="L116" i="30"/>
  <c r="B116" i="30"/>
  <c r="T115" i="30"/>
  <c r="P115" i="30"/>
  <c r="H115" i="30"/>
  <c r="L115" i="30" s="1"/>
  <c r="N115" i="30" s="1"/>
  <c r="D115" i="30"/>
  <c r="B115" i="30"/>
  <c r="X114" i="30"/>
  <c r="Z114" i="30" s="1"/>
  <c r="N114" i="30"/>
  <c r="L114" i="30"/>
  <c r="B114" i="30"/>
  <c r="T113" i="30"/>
  <c r="Z113" i="30" s="1"/>
  <c r="P113" i="30"/>
  <c r="X113" i="30" s="1"/>
  <c r="L113" i="30"/>
  <c r="H113" i="30"/>
  <c r="N113" i="30" s="1"/>
  <c r="D113" i="30"/>
  <c r="B113" i="30"/>
  <c r="X112" i="30"/>
  <c r="Z112" i="30" s="1"/>
  <c r="N112" i="30"/>
  <c r="L112" i="30"/>
  <c r="B112" i="30"/>
  <c r="X111" i="30"/>
  <c r="T111" i="30"/>
  <c r="Z111" i="30" s="1"/>
  <c r="P111" i="30"/>
  <c r="H111" i="30"/>
  <c r="N111" i="30" s="1"/>
  <c r="D111" i="30"/>
  <c r="B111" i="30"/>
  <c r="Z110" i="30"/>
  <c r="X110" i="30"/>
  <c r="L110" i="30"/>
  <c r="N110" i="30" s="1"/>
  <c r="B110" i="30"/>
  <c r="Z109" i="30"/>
  <c r="T109" i="30"/>
  <c r="X109" i="30" s="1"/>
  <c r="P109" i="30"/>
  <c r="H109" i="30"/>
  <c r="D109" i="30"/>
  <c r="B109" i="30"/>
  <c r="Z108" i="30"/>
  <c r="X108" i="30"/>
  <c r="L108" i="30"/>
  <c r="N108" i="30" s="1"/>
  <c r="B108" i="30"/>
  <c r="X107" i="30"/>
  <c r="T107" i="30"/>
  <c r="P107" i="30"/>
  <c r="H107" i="30"/>
  <c r="N107" i="30" s="1"/>
  <c r="D107" i="30"/>
  <c r="L107" i="30" s="1"/>
  <c r="B107" i="30"/>
  <c r="Z106" i="30"/>
  <c r="X106" i="30"/>
  <c r="N106" i="30"/>
  <c r="L106" i="30"/>
  <c r="B106" i="30"/>
  <c r="T105" i="30"/>
  <c r="P105" i="30"/>
  <c r="L105" i="30"/>
  <c r="H105" i="30"/>
  <c r="N105" i="30" s="1"/>
  <c r="D105" i="30"/>
  <c r="B105" i="30"/>
  <c r="Z104" i="30"/>
  <c r="X104" i="30"/>
  <c r="N104" i="30"/>
  <c r="L104" i="30"/>
  <c r="B104" i="30"/>
  <c r="X103" i="30"/>
  <c r="Z103" i="30" s="1"/>
  <c r="L103" i="30"/>
  <c r="N103" i="30" s="1"/>
  <c r="B103" i="30"/>
  <c r="Z102" i="30"/>
  <c r="T102" i="30"/>
  <c r="P102" i="30"/>
  <c r="X102" i="30" s="1"/>
  <c r="N102" i="30"/>
  <c r="H102" i="30"/>
  <c r="D102" i="30"/>
  <c r="L102" i="30" s="1"/>
  <c r="B102" i="30"/>
  <c r="X101" i="30"/>
  <c r="Z101" i="30" s="1"/>
  <c r="L101" i="30"/>
  <c r="N101" i="30" s="1"/>
  <c r="F101" i="30"/>
  <c r="B101" i="30"/>
  <c r="T100" i="30"/>
  <c r="P100" i="30"/>
  <c r="X100" i="30" s="1"/>
  <c r="Z100" i="30" s="1"/>
  <c r="L100" i="30"/>
  <c r="N100" i="30" s="1"/>
  <c r="H100" i="30"/>
  <c r="D100" i="30"/>
  <c r="B100" i="30"/>
  <c r="X99" i="30"/>
  <c r="Z99" i="30" s="1"/>
  <c r="N99" i="30"/>
  <c r="L99" i="30"/>
  <c r="B99" i="30"/>
  <c r="Z98" i="30"/>
  <c r="X98" i="30"/>
  <c r="T98" i="30"/>
  <c r="P98" i="30"/>
  <c r="H98" i="30"/>
  <c r="N98" i="30" s="1"/>
  <c r="D98" i="30"/>
  <c r="L98" i="30" s="1"/>
  <c r="B98" i="30"/>
  <c r="Z97" i="30"/>
  <c r="X97" i="30"/>
  <c r="L97" i="30"/>
  <c r="N97" i="30" s="1"/>
  <c r="B97" i="30"/>
  <c r="Z96" i="30"/>
  <c r="X96" i="30"/>
  <c r="N96" i="30"/>
  <c r="L96" i="30"/>
  <c r="B96" i="30"/>
  <c r="T95" i="30"/>
  <c r="P95" i="30"/>
  <c r="H95" i="30"/>
  <c r="L95" i="30" s="1"/>
  <c r="D95" i="30"/>
  <c r="B95" i="30"/>
  <c r="X94" i="30"/>
  <c r="Z94" i="30" s="1"/>
  <c r="N94" i="30"/>
  <c r="L94" i="30"/>
  <c r="B94" i="30"/>
  <c r="T93" i="30"/>
  <c r="P93" i="30"/>
  <c r="X93" i="30" s="1"/>
  <c r="H93" i="30"/>
  <c r="D93" i="30"/>
  <c r="L93" i="30" s="1"/>
  <c r="B93" i="30"/>
  <c r="Z92" i="30"/>
  <c r="X92" i="30"/>
  <c r="N92" i="30"/>
  <c r="L92" i="30"/>
  <c r="B92" i="30"/>
  <c r="X91" i="30"/>
  <c r="T91" i="30"/>
  <c r="Z91" i="30" s="1"/>
  <c r="P91" i="30"/>
  <c r="H91" i="30"/>
  <c r="D91" i="30"/>
  <c r="B91" i="30"/>
  <c r="Z90" i="30"/>
  <c r="X90" i="30"/>
  <c r="L90" i="30"/>
  <c r="N90" i="30" s="1"/>
  <c r="B90" i="30"/>
  <c r="Z89" i="30"/>
  <c r="T89" i="30"/>
  <c r="X89" i="30" s="1"/>
  <c r="P89" i="30"/>
  <c r="H89" i="30"/>
  <c r="D89" i="30"/>
  <c r="B89" i="30"/>
  <c r="Z88" i="30"/>
  <c r="X88" i="30"/>
  <c r="N88" i="30"/>
  <c r="L88" i="30"/>
  <c r="B88" i="30"/>
  <c r="X87" i="30"/>
  <c r="Z87" i="30" s="1"/>
  <c r="L87" i="30"/>
  <c r="N87" i="30" s="1"/>
  <c r="B87" i="30"/>
  <c r="X86" i="30"/>
  <c r="Z86" i="30" s="1"/>
  <c r="N86" i="30"/>
  <c r="L86" i="30"/>
  <c r="B86" i="30"/>
  <c r="X85" i="30"/>
  <c r="Z85" i="30" s="1"/>
  <c r="N85" i="30"/>
  <c r="L85" i="30"/>
  <c r="B85" i="30"/>
  <c r="Z84" i="30"/>
  <c r="X84" i="30"/>
  <c r="N84" i="30"/>
  <c r="L84" i="30"/>
  <c r="B84" i="30"/>
  <c r="X83" i="30"/>
  <c r="Z83" i="30" s="1"/>
  <c r="L83" i="30"/>
  <c r="N83" i="30" s="1"/>
  <c r="B83" i="30"/>
  <c r="X82" i="30"/>
  <c r="Z82" i="30" s="1"/>
  <c r="T82" i="30"/>
  <c r="P82" i="30"/>
  <c r="H82" i="30"/>
  <c r="D82" i="30"/>
  <c r="L82" i="30" s="1"/>
  <c r="N82" i="30" s="1"/>
  <c r="B82" i="30"/>
  <c r="Z81" i="30"/>
  <c r="X81" i="30"/>
  <c r="N81" i="30"/>
  <c r="L81" i="30"/>
  <c r="B81" i="30"/>
  <c r="X80" i="30"/>
  <c r="Z80" i="30" s="1"/>
  <c r="N80" i="30"/>
  <c r="L80" i="30"/>
  <c r="B80" i="30"/>
  <c r="X79" i="30"/>
  <c r="Z79" i="30" s="1"/>
  <c r="L79" i="30"/>
  <c r="N79" i="30" s="1"/>
  <c r="B79" i="30"/>
  <c r="Z78" i="30"/>
  <c r="X78" i="30"/>
  <c r="N78" i="30"/>
  <c r="L78" i="30"/>
  <c r="B78" i="30"/>
  <c r="Z77" i="30"/>
  <c r="X77" i="30"/>
  <c r="N77" i="30"/>
  <c r="L77" i="30"/>
  <c r="B77" i="30"/>
  <c r="X76" i="30"/>
  <c r="Z76" i="30" s="1"/>
  <c r="N76" i="30"/>
  <c r="L76" i="30"/>
  <c r="B76" i="30"/>
  <c r="X75" i="30"/>
  <c r="Z75" i="30" s="1"/>
  <c r="L75" i="30"/>
  <c r="N75" i="30" s="1"/>
  <c r="B75" i="30"/>
  <c r="X74" i="30"/>
  <c r="Z74" i="30" s="1"/>
  <c r="N74" i="30"/>
  <c r="L74" i="30"/>
  <c r="B74" i="30"/>
  <c r="X73" i="30"/>
  <c r="T73" i="30"/>
  <c r="Z73" i="30" s="1"/>
  <c r="P73" i="30"/>
  <c r="L73" i="30"/>
  <c r="H73" i="30"/>
  <c r="D73" i="30"/>
  <c r="B73" i="30"/>
  <c r="T72" i="30"/>
  <c r="P72" i="30"/>
  <c r="N72" i="30"/>
  <c r="H72" i="30"/>
  <c r="D72" i="30"/>
  <c r="L72" i="30" s="1"/>
  <c r="Z68" i="30"/>
  <c r="X68" i="30"/>
  <c r="L68" i="30"/>
  <c r="N68" i="30" s="1"/>
  <c r="B68" i="30"/>
  <c r="X67" i="30"/>
  <c r="Z67" i="30" s="1"/>
  <c r="N67" i="30"/>
  <c r="L67" i="30"/>
  <c r="B67" i="30"/>
  <c r="Z66" i="30"/>
  <c r="X66" i="30"/>
  <c r="N66" i="30"/>
  <c r="L66" i="30"/>
  <c r="B66" i="30"/>
  <c r="Z65" i="30"/>
  <c r="X65" i="30"/>
  <c r="L65" i="30"/>
  <c r="N65" i="30" s="1"/>
  <c r="B65" i="30"/>
  <c r="Z64" i="30"/>
  <c r="X64" i="30"/>
  <c r="L64" i="30"/>
  <c r="N64" i="30" s="1"/>
  <c r="B64" i="30"/>
  <c r="Z63" i="30"/>
  <c r="X63" i="30"/>
  <c r="L63" i="30"/>
  <c r="N63" i="30" s="1"/>
  <c r="B63" i="30"/>
  <c r="Z62" i="30"/>
  <c r="X62" i="30"/>
  <c r="N62" i="30"/>
  <c r="L62" i="30"/>
  <c r="B62" i="30"/>
  <c r="Z61" i="30"/>
  <c r="X61" i="30"/>
  <c r="L61" i="30"/>
  <c r="N61" i="30" s="1"/>
  <c r="B61" i="30"/>
  <c r="Z60" i="30"/>
  <c r="X60" i="30"/>
  <c r="L60" i="30"/>
  <c r="N60" i="30" s="1"/>
  <c r="B60" i="30"/>
  <c r="X59" i="30"/>
  <c r="Z59" i="30" s="1"/>
  <c r="L59" i="30"/>
  <c r="N59" i="30" s="1"/>
  <c r="B59" i="30"/>
  <c r="Z58" i="30"/>
  <c r="X58" i="30"/>
  <c r="N58" i="30"/>
  <c r="L58" i="30"/>
  <c r="B58" i="30"/>
  <c r="Z57" i="30"/>
  <c r="X57" i="30"/>
  <c r="N57" i="30"/>
  <c r="L57" i="30"/>
  <c r="B57" i="30"/>
  <c r="Z56" i="30"/>
  <c r="X56" i="30"/>
  <c r="L56" i="30"/>
  <c r="N56" i="30" s="1"/>
  <c r="B56" i="30"/>
  <c r="Z55" i="30"/>
  <c r="X55" i="30"/>
  <c r="L55" i="30"/>
  <c r="N55" i="30" s="1"/>
  <c r="B55" i="30"/>
  <c r="Z54" i="30"/>
  <c r="X54" i="30"/>
  <c r="N54" i="30"/>
  <c r="L54" i="30"/>
  <c r="B54" i="30"/>
  <c r="Z53" i="30"/>
  <c r="X53" i="30"/>
  <c r="L53" i="30"/>
  <c r="N53" i="30" s="1"/>
  <c r="B53" i="30"/>
  <c r="Z52" i="30"/>
  <c r="X52" i="30"/>
  <c r="L52" i="30"/>
  <c r="N52" i="30" s="1"/>
  <c r="B52" i="30"/>
  <c r="Z51" i="30"/>
  <c r="X51" i="30"/>
  <c r="L51" i="30"/>
  <c r="N51" i="30" s="1"/>
  <c r="B51" i="30"/>
  <c r="Z50" i="30"/>
  <c r="X50" i="30"/>
  <c r="N50" i="30"/>
  <c r="L50" i="30"/>
  <c r="B50" i="30"/>
  <c r="Z49" i="30"/>
  <c r="X49" i="30"/>
  <c r="L49" i="30"/>
  <c r="N49" i="30" s="1"/>
  <c r="B49" i="30"/>
  <c r="Z48" i="30"/>
  <c r="X48" i="30"/>
  <c r="N48" i="30"/>
  <c r="L48" i="30"/>
  <c r="B48" i="30"/>
  <c r="Z47" i="30"/>
  <c r="X47" i="30"/>
  <c r="L47" i="30"/>
  <c r="N47" i="30" s="1"/>
  <c r="B47" i="30"/>
  <c r="Z46" i="30"/>
  <c r="X46" i="30"/>
  <c r="N46" i="30"/>
  <c r="L46" i="30"/>
  <c r="B46" i="30"/>
  <c r="T45" i="30"/>
  <c r="P45" i="30"/>
  <c r="X45" i="30" s="1"/>
  <c r="H45" i="30"/>
  <c r="N45" i="30" s="1"/>
  <c r="D45" i="30"/>
  <c r="L45" i="30" s="1"/>
  <c r="X43" i="30"/>
  <c r="T43" i="30"/>
  <c r="Z43" i="30" s="1"/>
  <c r="P43" i="30"/>
  <c r="H43" i="30"/>
  <c r="D43" i="30"/>
  <c r="B43" i="30"/>
  <c r="T42" i="30"/>
  <c r="P42" i="30"/>
  <c r="H42" i="30"/>
  <c r="D42" i="30"/>
  <c r="B42" i="30"/>
  <c r="X41" i="30"/>
  <c r="Z41" i="30" s="1"/>
  <c r="T41" i="30"/>
  <c r="P41" i="30"/>
  <c r="H41" i="30"/>
  <c r="N41" i="30" s="1"/>
  <c r="D41" i="30"/>
  <c r="B41" i="30"/>
  <c r="T40" i="30"/>
  <c r="Z40" i="30" s="1"/>
  <c r="P40" i="30"/>
  <c r="H40" i="30"/>
  <c r="N40" i="30" s="1"/>
  <c r="D40" i="30"/>
  <c r="B40" i="30"/>
  <c r="X39" i="30"/>
  <c r="T39" i="30"/>
  <c r="P39" i="30"/>
  <c r="H39" i="30"/>
  <c r="D39" i="30"/>
  <c r="L39" i="30" s="1"/>
  <c r="B39" i="30"/>
  <c r="T38" i="30"/>
  <c r="P38" i="30"/>
  <c r="H38" i="30"/>
  <c r="D38" i="30"/>
  <c r="B38" i="30"/>
  <c r="X37" i="30"/>
  <c r="T37" i="30"/>
  <c r="Z37" i="30" s="1"/>
  <c r="P37" i="30"/>
  <c r="H37" i="30"/>
  <c r="D37" i="30"/>
  <c r="B37" i="30"/>
  <c r="T36" i="30"/>
  <c r="P36" i="30"/>
  <c r="N36" i="30"/>
  <c r="H36" i="30"/>
  <c r="D36" i="30"/>
  <c r="L36" i="30" s="1"/>
  <c r="B36" i="30"/>
  <c r="X35" i="30"/>
  <c r="Z35" i="30" s="1"/>
  <c r="T35" i="30"/>
  <c r="P35" i="30"/>
  <c r="H35" i="30"/>
  <c r="D35" i="30"/>
  <c r="L35" i="30" s="1"/>
  <c r="B35" i="30"/>
  <c r="X34" i="30"/>
  <c r="T34" i="30"/>
  <c r="Z34" i="30" s="1"/>
  <c r="P34" i="30"/>
  <c r="L34" i="30"/>
  <c r="N34" i="30" s="1"/>
  <c r="H34" i="30"/>
  <c r="D34" i="30"/>
  <c r="B34" i="30"/>
  <c r="Z33" i="30"/>
  <c r="T33" i="30"/>
  <c r="X33" i="30" s="1"/>
  <c r="P33" i="30"/>
  <c r="N33" i="30"/>
  <c r="L33" i="30"/>
  <c r="H33" i="30"/>
  <c r="D33" i="30"/>
  <c r="B33" i="30"/>
  <c r="T32" i="30"/>
  <c r="P32" i="30"/>
  <c r="X32" i="30" s="1"/>
  <c r="Z32" i="30" s="1"/>
  <c r="L32" i="30"/>
  <c r="N32" i="30" s="1"/>
  <c r="H32" i="30"/>
  <c r="D32" i="30"/>
  <c r="B32" i="30"/>
  <c r="T31" i="30"/>
  <c r="P31" i="30"/>
  <c r="H31" i="30"/>
  <c r="D31" i="30"/>
  <c r="B31" i="30"/>
  <c r="X30" i="30"/>
  <c r="T30" i="30"/>
  <c r="Z30" i="30" s="1"/>
  <c r="P30" i="30"/>
  <c r="L30" i="30"/>
  <c r="N30" i="30" s="1"/>
  <c r="H30" i="30"/>
  <c r="D30" i="30"/>
  <c r="B30" i="30"/>
  <c r="T29" i="30"/>
  <c r="P29" i="30"/>
  <c r="N29" i="30"/>
  <c r="L29" i="30"/>
  <c r="H29" i="30"/>
  <c r="D29" i="30"/>
  <c r="B29" i="30"/>
  <c r="T28" i="30"/>
  <c r="P28" i="30"/>
  <c r="X28" i="30" s="1"/>
  <c r="Z28" i="30" s="1"/>
  <c r="L28" i="30"/>
  <c r="N28" i="30" s="1"/>
  <c r="H28" i="30"/>
  <c r="D28" i="30"/>
  <c r="B28" i="30"/>
  <c r="T27" i="30"/>
  <c r="P27" i="30"/>
  <c r="H27" i="30"/>
  <c r="D27" i="30"/>
  <c r="L27" i="30" s="1"/>
  <c r="B27" i="30"/>
  <c r="X26" i="30"/>
  <c r="T26" i="30"/>
  <c r="Z26" i="30" s="1"/>
  <c r="P26" i="30"/>
  <c r="L26" i="30"/>
  <c r="N26" i="30" s="1"/>
  <c r="H26" i="30"/>
  <c r="D26" i="30"/>
  <c r="B26" i="30"/>
  <c r="Z25" i="30"/>
  <c r="T25" i="30"/>
  <c r="X25" i="30" s="1"/>
  <c r="P25" i="30"/>
  <c r="N25" i="30"/>
  <c r="L25" i="30"/>
  <c r="H25" i="30"/>
  <c r="D25" i="30"/>
  <c r="B25" i="30"/>
  <c r="Z24" i="30"/>
  <c r="T24" i="30"/>
  <c r="P24" i="30"/>
  <c r="X24" i="30" s="1"/>
  <c r="N24" i="30"/>
  <c r="L24" i="30"/>
  <c r="H24" i="30"/>
  <c r="D24" i="30"/>
  <c r="B24" i="30"/>
  <c r="T23" i="30"/>
  <c r="P23" i="30"/>
  <c r="H23" i="30"/>
  <c r="D23" i="30"/>
  <c r="B23" i="30"/>
  <c r="X22" i="30"/>
  <c r="T22" i="30"/>
  <c r="Z22" i="30" s="1"/>
  <c r="P22" i="30"/>
  <c r="L22" i="30"/>
  <c r="N22" i="30" s="1"/>
  <c r="H22" i="30"/>
  <c r="D22" i="30"/>
  <c r="B22" i="30"/>
  <c r="Z21" i="30"/>
  <c r="T21" i="30"/>
  <c r="X21" i="30" s="1"/>
  <c r="P21" i="30"/>
  <c r="N21" i="30"/>
  <c r="L21" i="30"/>
  <c r="H21" i="30"/>
  <c r="D21" i="30"/>
  <c r="B21" i="30"/>
  <c r="T20" i="30"/>
  <c r="P20" i="30"/>
  <c r="X20" i="30" s="1"/>
  <c r="Z20" i="30" s="1"/>
  <c r="L20" i="30"/>
  <c r="N20" i="30" s="1"/>
  <c r="H20" i="30"/>
  <c r="D20" i="30"/>
  <c r="B20" i="30"/>
  <c r="T19" i="30"/>
  <c r="P19" i="30"/>
  <c r="H19" i="30"/>
  <c r="D19" i="30"/>
  <c r="B19" i="30"/>
  <c r="X18" i="30"/>
  <c r="T18" i="30"/>
  <c r="Z18" i="30" s="1"/>
  <c r="P18" i="30"/>
  <c r="L18" i="30"/>
  <c r="N18" i="30" s="1"/>
  <c r="H18" i="30"/>
  <c r="D18" i="30"/>
  <c r="B18" i="30"/>
  <c r="Z17" i="30"/>
  <c r="T17" i="30"/>
  <c r="X17" i="30" s="1"/>
  <c r="P17" i="30"/>
  <c r="N17" i="30"/>
  <c r="L17" i="30"/>
  <c r="H17" i="30"/>
  <c r="D17" i="30"/>
  <c r="B17" i="30"/>
  <c r="T16" i="30"/>
  <c r="P16" i="30"/>
  <c r="X16" i="30" s="1"/>
  <c r="Z16" i="30" s="1"/>
  <c r="N16" i="30"/>
  <c r="L16" i="30"/>
  <c r="H16" i="30"/>
  <c r="D16" i="30"/>
  <c r="B16" i="30"/>
  <c r="T15" i="30"/>
  <c r="P15" i="30"/>
  <c r="H15" i="30"/>
  <c r="D15" i="30"/>
  <c r="D12" i="30" s="1"/>
  <c r="B15" i="30"/>
  <c r="X14" i="30"/>
  <c r="T14" i="30"/>
  <c r="Z14" i="30" s="1"/>
  <c r="P14" i="30"/>
  <c r="N14" i="30"/>
  <c r="L14" i="30"/>
  <c r="H14" i="30"/>
  <c r="D14" i="30"/>
  <c r="B14" i="30"/>
  <c r="T13" i="30"/>
  <c r="P13" i="30"/>
  <c r="N13" i="30"/>
  <c r="L13" i="30"/>
  <c r="H13" i="30"/>
  <c r="D13" i="30"/>
  <c r="B13" i="30"/>
  <c r="D4" i="30"/>
  <c r="Z120" i="27"/>
  <c r="X120" i="27"/>
  <c r="N120" i="27"/>
  <c r="L120" i="27"/>
  <c r="X116" i="27"/>
  <c r="Z116" i="27" s="1"/>
  <c r="T116" i="27"/>
  <c r="P116" i="27"/>
  <c r="H116" i="27"/>
  <c r="D116" i="27"/>
  <c r="L116" i="27" s="1"/>
  <c r="B116" i="27"/>
  <c r="T115" i="27"/>
  <c r="Z115" i="27" s="1"/>
  <c r="P115" i="27"/>
  <c r="X115" i="27" s="1"/>
  <c r="H115" i="27"/>
  <c r="D115" i="27"/>
  <c r="B115" i="27"/>
  <c r="X114" i="27"/>
  <c r="T114" i="27"/>
  <c r="Z114" i="27" s="1"/>
  <c r="P114" i="27"/>
  <c r="H114" i="27"/>
  <c r="D114" i="27"/>
  <c r="L114" i="27" s="1"/>
  <c r="N114" i="27" s="1"/>
  <c r="B114" i="27"/>
  <c r="P113" i="27"/>
  <c r="X111" i="27"/>
  <c r="Z111" i="27" s="1"/>
  <c r="N111" i="27"/>
  <c r="L111" i="27"/>
  <c r="B111" i="27"/>
  <c r="X110" i="27"/>
  <c r="Z110" i="27" s="1"/>
  <c r="T110" i="27"/>
  <c r="P110" i="27"/>
  <c r="J110" i="27"/>
  <c r="H110" i="27"/>
  <c r="N110" i="27" s="1"/>
  <c r="D110" i="27"/>
  <c r="L110" i="27" s="1"/>
  <c r="B110" i="27"/>
  <c r="Z109" i="27"/>
  <c r="X109" i="27"/>
  <c r="N109" i="27"/>
  <c r="L109" i="27"/>
  <c r="B109" i="27"/>
  <c r="T108" i="27"/>
  <c r="P108" i="27"/>
  <c r="X108" i="27" s="1"/>
  <c r="Z108" i="27" s="1"/>
  <c r="H108" i="27"/>
  <c r="D108" i="27"/>
  <c r="L108" i="27" s="1"/>
  <c r="N108" i="27" s="1"/>
  <c r="B108" i="27"/>
  <c r="X107" i="27"/>
  <c r="Z107" i="27" s="1"/>
  <c r="L107" i="27"/>
  <c r="N107" i="27" s="1"/>
  <c r="B107" i="27"/>
  <c r="Z106" i="27"/>
  <c r="X106" i="27"/>
  <c r="N106" i="27"/>
  <c r="L106" i="27"/>
  <c r="B106" i="27"/>
  <c r="T105" i="27"/>
  <c r="P105" i="27"/>
  <c r="H105" i="27"/>
  <c r="D105" i="27"/>
  <c r="L105" i="27" s="1"/>
  <c r="N105" i="27" s="1"/>
  <c r="B105" i="27"/>
  <c r="Z104" i="27"/>
  <c r="X104" i="27"/>
  <c r="N104" i="27"/>
  <c r="L104" i="27"/>
  <c r="B104" i="27"/>
  <c r="X103" i="27"/>
  <c r="Z103" i="27" s="1"/>
  <c r="L103" i="27"/>
  <c r="N103" i="27" s="1"/>
  <c r="B103" i="27"/>
  <c r="X102" i="27"/>
  <c r="Z102" i="27" s="1"/>
  <c r="N102" i="27"/>
  <c r="L102" i="27"/>
  <c r="B102" i="27"/>
  <c r="X101" i="27"/>
  <c r="Z101" i="27" s="1"/>
  <c r="N101" i="27"/>
  <c r="L101" i="27"/>
  <c r="B101" i="27"/>
  <c r="T100" i="27"/>
  <c r="Z100" i="27" s="1"/>
  <c r="R100" i="27"/>
  <c r="P100" i="27"/>
  <c r="X100" i="27" s="1"/>
  <c r="L100" i="27"/>
  <c r="N100" i="27" s="1"/>
  <c r="H100" i="27"/>
  <c r="D100" i="27"/>
  <c r="B100" i="27"/>
  <c r="X99" i="27"/>
  <c r="Z99" i="27" s="1"/>
  <c r="L99" i="27"/>
  <c r="N99" i="27" s="1"/>
  <c r="B99" i="27"/>
  <c r="T98" i="27"/>
  <c r="R98" i="27"/>
  <c r="P98" i="27"/>
  <c r="X98" i="27" s="1"/>
  <c r="Z98" i="27" s="1"/>
  <c r="H98" i="27"/>
  <c r="D98" i="27"/>
  <c r="L98" i="27" s="1"/>
  <c r="N98" i="27" s="1"/>
  <c r="B98" i="27"/>
  <c r="Z97" i="27"/>
  <c r="X97" i="27"/>
  <c r="L97" i="27"/>
  <c r="N97" i="27" s="1"/>
  <c r="B97" i="27"/>
  <c r="X96" i="27"/>
  <c r="Z96" i="27" s="1"/>
  <c r="N96" i="27"/>
  <c r="L96" i="27"/>
  <c r="B96" i="27"/>
  <c r="T95" i="27"/>
  <c r="P95" i="27"/>
  <c r="X95" i="27" s="1"/>
  <c r="Z95" i="27" s="1"/>
  <c r="H95" i="27"/>
  <c r="D95" i="27"/>
  <c r="L95" i="27" s="1"/>
  <c r="B95" i="27"/>
  <c r="X94" i="27"/>
  <c r="Z94" i="27" s="1"/>
  <c r="N94" i="27"/>
  <c r="L94" i="27"/>
  <c r="B94" i="27"/>
  <c r="X93" i="27"/>
  <c r="T93" i="27"/>
  <c r="P93" i="27"/>
  <c r="H93" i="27"/>
  <c r="D93" i="27"/>
  <c r="L93" i="27" s="1"/>
  <c r="N93" i="27" s="1"/>
  <c r="B93" i="27"/>
  <c r="Z92" i="27"/>
  <c r="X92" i="27"/>
  <c r="L92" i="27"/>
  <c r="N92" i="27" s="1"/>
  <c r="B92" i="27"/>
  <c r="T91" i="27"/>
  <c r="P91" i="27"/>
  <c r="H91" i="27"/>
  <c r="D91" i="27"/>
  <c r="L91" i="27" s="1"/>
  <c r="B91" i="27"/>
  <c r="Z90" i="27"/>
  <c r="X90" i="27"/>
  <c r="L90" i="27"/>
  <c r="N90" i="27" s="1"/>
  <c r="B90" i="27"/>
  <c r="Z89" i="27"/>
  <c r="X89" i="27"/>
  <c r="L89" i="27"/>
  <c r="N89" i="27" s="1"/>
  <c r="B89" i="27"/>
  <c r="T88" i="27"/>
  <c r="P88" i="27"/>
  <c r="N88" i="27"/>
  <c r="H88" i="27"/>
  <c r="D88" i="27"/>
  <c r="L88" i="27" s="1"/>
  <c r="B88" i="27"/>
  <c r="X87" i="27"/>
  <c r="Z87" i="27" s="1"/>
  <c r="L87" i="27"/>
  <c r="N87" i="27" s="1"/>
  <c r="B87" i="27"/>
  <c r="X86" i="27"/>
  <c r="Z86" i="27" s="1"/>
  <c r="T86" i="27"/>
  <c r="P86" i="27"/>
  <c r="H86" i="27"/>
  <c r="N86" i="27" s="1"/>
  <c r="D86" i="27"/>
  <c r="L86" i="27" s="1"/>
  <c r="B86" i="27"/>
  <c r="Z85" i="27"/>
  <c r="X85" i="27"/>
  <c r="N85" i="27"/>
  <c r="L85" i="27"/>
  <c r="B85" i="27"/>
  <c r="Z84" i="27"/>
  <c r="T84" i="27"/>
  <c r="X84" i="27" s="1"/>
  <c r="P84" i="27"/>
  <c r="N84" i="27"/>
  <c r="H84" i="27"/>
  <c r="D84" i="27"/>
  <c r="L84" i="27" s="1"/>
  <c r="B84" i="27"/>
  <c r="X83" i="27"/>
  <c r="Z83" i="27" s="1"/>
  <c r="L83" i="27"/>
  <c r="N83" i="27" s="1"/>
  <c r="B83" i="27"/>
  <c r="Z82" i="27"/>
  <c r="X82" i="27"/>
  <c r="L82" i="27"/>
  <c r="N82" i="27" s="1"/>
  <c r="B82" i="27"/>
  <c r="T81" i="27"/>
  <c r="P81" i="27"/>
  <c r="X81" i="27" s="1"/>
  <c r="H81" i="27"/>
  <c r="D81" i="27"/>
  <c r="L81" i="27" s="1"/>
  <c r="N81" i="27" s="1"/>
  <c r="B81" i="27"/>
  <c r="Z80" i="27"/>
  <c r="X80" i="27"/>
  <c r="N80" i="27"/>
  <c r="L80" i="27"/>
  <c r="B80" i="27"/>
  <c r="T79" i="27"/>
  <c r="P79" i="27"/>
  <c r="X79" i="27" s="1"/>
  <c r="Z79" i="27" s="1"/>
  <c r="L79" i="27"/>
  <c r="H79" i="27"/>
  <c r="D79" i="27"/>
  <c r="B79" i="27"/>
  <c r="Z78" i="27"/>
  <c r="X78" i="27"/>
  <c r="N78" i="27"/>
  <c r="L78" i="27"/>
  <c r="B78" i="27"/>
  <c r="Z77" i="27"/>
  <c r="X77" i="27"/>
  <c r="N77" i="27"/>
  <c r="L77" i="27"/>
  <c r="B77" i="27"/>
  <c r="Z76" i="27"/>
  <c r="X76" i="27"/>
  <c r="L76" i="27"/>
  <c r="N76" i="27" s="1"/>
  <c r="B76" i="27"/>
  <c r="X75" i="27"/>
  <c r="Z75" i="27" s="1"/>
  <c r="L75" i="27"/>
  <c r="N75" i="27" s="1"/>
  <c r="B75" i="27"/>
  <c r="Z74" i="27"/>
  <c r="X74" i="27"/>
  <c r="N74" i="27"/>
  <c r="L74" i="27"/>
  <c r="J74" i="27"/>
  <c r="B74" i="27"/>
  <c r="T73" i="27"/>
  <c r="P73" i="27"/>
  <c r="X73" i="27" s="1"/>
  <c r="L73" i="27"/>
  <c r="H73" i="27"/>
  <c r="D73" i="27"/>
  <c r="B73" i="27"/>
  <c r="X72" i="27"/>
  <c r="Z72" i="27" s="1"/>
  <c r="N72" i="27"/>
  <c r="L72" i="27"/>
  <c r="J72" i="27"/>
  <c r="B72" i="27"/>
  <c r="X71" i="27"/>
  <c r="Z71" i="27" s="1"/>
  <c r="L71" i="27"/>
  <c r="N71" i="27" s="1"/>
  <c r="B71" i="27"/>
  <c r="Z70" i="27"/>
  <c r="X70" i="27"/>
  <c r="L70" i="27"/>
  <c r="N70" i="27" s="1"/>
  <c r="B70" i="27"/>
  <c r="Z69" i="27"/>
  <c r="X69" i="27"/>
  <c r="L69" i="27"/>
  <c r="N69" i="27" s="1"/>
  <c r="B69" i="27"/>
  <c r="X68" i="27"/>
  <c r="Z68" i="27" s="1"/>
  <c r="N68" i="27"/>
  <c r="L68" i="27"/>
  <c r="B68" i="27"/>
  <c r="X67" i="27"/>
  <c r="Z67" i="27" s="1"/>
  <c r="L67" i="27"/>
  <c r="N67" i="27" s="1"/>
  <c r="B67" i="27"/>
  <c r="Z66" i="27"/>
  <c r="X66" i="27"/>
  <c r="L66" i="27"/>
  <c r="N66" i="27" s="1"/>
  <c r="B66" i="27"/>
  <c r="Z65" i="27"/>
  <c r="X65" i="27"/>
  <c r="L65" i="27"/>
  <c r="N65" i="27" s="1"/>
  <c r="B65" i="27"/>
  <c r="X64" i="27"/>
  <c r="Z64" i="27" s="1"/>
  <c r="N64" i="27"/>
  <c r="L64" i="27"/>
  <c r="J64" i="27"/>
  <c r="B64" i="27"/>
  <c r="T63" i="27"/>
  <c r="P63" i="27"/>
  <c r="X63" i="27" s="1"/>
  <c r="Z63" i="27" s="1"/>
  <c r="H63" i="27"/>
  <c r="D63" i="27"/>
  <c r="B63" i="27"/>
  <c r="X62" i="27"/>
  <c r="Z62" i="27" s="1"/>
  <c r="T62" i="27"/>
  <c r="P62" i="27"/>
  <c r="H62" i="27"/>
  <c r="D62" i="27"/>
  <c r="L62" i="27" s="1"/>
  <c r="Z58" i="27"/>
  <c r="X58" i="27"/>
  <c r="N58" i="27"/>
  <c r="L58" i="27"/>
  <c r="B58" i="27"/>
  <c r="X57" i="27"/>
  <c r="Z57" i="27" s="1"/>
  <c r="N57" i="27"/>
  <c r="L57" i="27"/>
  <c r="B57" i="27"/>
  <c r="Z56" i="27"/>
  <c r="X56" i="27"/>
  <c r="N56" i="27"/>
  <c r="L56" i="27"/>
  <c r="B56" i="27"/>
  <c r="X55" i="27"/>
  <c r="Z55" i="27" s="1"/>
  <c r="L55" i="27"/>
  <c r="N55" i="27" s="1"/>
  <c r="B55" i="27"/>
  <c r="X54" i="27"/>
  <c r="Z54" i="27" s="1"/>
  <c r="N54" i="27"/>
  <c r="L54" i="27"/>
  <c r="B54" i="27"/>
  <c r="X53" i="27"/>
  <c r="Z53" i="27" s="1"/>
  <c r="N53" i="27"/>
  <c r="L53" i="27"/>
  <c r="B53" i="27"/>
  <c r="Z52" i="27"/>
  <c r="X52" i="27"/>
  <c r="N52" i="27"/>
  <c r="L52" i="27"/>
  <c r="B52" i="27"/>
  <c r="X51" i="27"/>
  <c r="Z51" i="27" s="1"/>
  <c r="L51" i="27"/>
  <c r="N51" i="27" s="1"/>
  <c r="B51" i="27"/>
  <c r="X50" i="27"/>
  <c r="Z50" i="27" s="1"/>
  <c r="N50" i="27"/>
  <c r="L50" i="27"/>
  <c r="B50" i="27"/>
  <c r="X49" i="27"/>
  <c r="Z49" i="27" s="1"/>
  <c r="N49" i="27"/>
  <c r="L49" i="27"/>
  <c r="B49" i="27"/>
  <c r="Z48" i="27"/>
  <c r="X48" i="27"/>
  <c r="N48" i="27"/>
  <c r="L48" i="27"/>
  <c r="B48" i="27"/>
  <c r="X47" i="27"/>
  <c r="Z47" i="27" s="1"/>
  <c r="L47" i="27"/>
  <c r="N47" i="27" s="1"/>
  <c r="B47" i="27"/>
  <c r="X46" i="27"/>
  <c r="Z46" i="27" s="1"/>
  <c r="N46" i="27"/>
  <c r="L46" i="27"/>
  <c r="B46" i="27"/>
  <c r="X45" i="27"/>
  <c r="Z45" i="27" s="1"/>
  <c r="N45" i="27"/>
  <c r="L45" i="27"/>
  <c r="B45" i="27"/>
  <c r="Z44" i="27"/>
  <c r="X44" i="27"/>
  <c r="N44" i="27"/>
  <c r="L44" i="27"/>
  <c r="B44" i="27"/>
  <c r="X43" i="27"/>
  <c r="Z43" i="27" s="1"/>
  <c r="L43" i="27"/>
  <c r="N43" i="27" s="1"/>
  <c r="B43" i="27"/>
  <c r="X42" i="27"/>
  <c r="Z42" i="27" s="1"/>
  <c r="T42" i="27"/>
  <c r="P42" i="27"/>
  <c r="H42" i="27"/>
  <c r="D42" i="27"/>
  <c r="L42" i="27" s="1"/>
  <c r="X40" i="27"/>
  <c r="Z40" i="27" s="1"/>
  <c r="T40" i="27"/>
  <c r="P40" i="27"/>
  <c r="N40" i="27"/>
  <c r="L40" i="27"/>
  <c r="H40" i="27"/>
  <c r="D40" i="27"/>
  <c r="B40" i="27"/>
  <c r="X39" i="27"/>
  <c r="Z39" i="27" s="1"/>
  <c r="T39" i="27"/>
  <c r="P39" i="27"/>
  <c r="N39" i="27"/>
  <c r="H39" i="27"/>
  <c r="D39" i="27"/>
  <c r="L39" i="27" s="1"/>
  <c r="B39" i="27"/>
  <c r="T38" i="27"/>
  <c r="P38" i="27"/>
  <c r="X38" i="27" s="1"/>
  <c r="N38" i="27"/>
  <c r="H38" i="27"/>
  <c r="D38" i="27"/>
  <c r="L38" i="27" s="1"/>
  <c r="B38" i="27"/>
  <c r="X37" i="27"/>
  <c r="T37" i="27"/>
  <c r="Z37" i="27" s="1"/>
  <c r="P37" i="27"/>
  <c r="L37" i="27"/>
  <c r="H37" i="27"/>
  <c r="D37" i="27"/>
  <c r="B37" i="27"/>
  <c r="X36" i="27"/>
  <c r="Z36" i="27" s="1"/>
  <c r="T36" i="27"/>
  <c r="P36" i="27"/>
  <c r="N36" i="27"/>
  <c r="L36" i="27"/>
  <c r="H36" i="27"/>
  <c r="D36" i="27"/>
  <c r="B36" i="27"/>
  <c r="X35" i="27"/>
  <c r="Z35" i="27" s="1"/>
  <c r="T35" i="27"/>
  <c r="P35" i="27"/>
  <c r="H35" i="27"/>
  <c r="D35" i="27"/>
  <c r="L35" i="27" s="1"/>
  <c r="N35" i="27" s="1"/>
  <c r="B35" i="27"/>
  <c r="T34" i="27"/>
  <c r="P34" i="27"/>
  <c r="X34" i="27" s="1"/>
  <c r="N34" i="27"/>
  <c r="H34" i="27"/>
  <c r="D34" i="27"/>
  <c r="L34" i="27" s="1"/>
  <c r="B34" i="27"/>
  <c r="X33" i="27"/>
  <c r="T33" i="27"/>
  <c r="Z33" i="27" s="1"/>
  <c r="P33" i="27"/>
  <c r="H33" i="27"/>
  <c r="N33" i="27" s="1"/>
  <c r="D33" i="27"/>
  <c r="L33" i="27" s="1"/>
  <c r="B33" i="27"/>
  <c r="X32" i="27"/>
  <c r="Z32" i="27" s="1"/>
  <c r="T32" i="27"/>
  <c r="P32" i="27"/>
  <c r="N32" i="27"/>
  <c r="L32" i="27"/>
  <c r="H32" i="27"/>
  <c r="D32" i="27"/>
  <c r="B32" i="27"/>
  <c r="X31" i="27"/>
  <c r="Z31" i="27" s="1"/>
  <c r="T31" i="27"/>
  <c r="P31" i="27"/>
  <c r="N31" i="27"/>
  <c r="H31" i="27"/>
  <c r="D31" i="27"/>
  <c r="L31" i="27" s="1"/>
  <c r="B31" i="27"/>
  <c r="T30" i="27"/>
  <c r="P30" i="27"/>
  <c r="X30" i="27" s="1"/>
  <c r="N30" i="27"/>
  <c r="H30" i="27"/>
  <c r="D30" i="27"/>
  <c r="L30" i="27" s="1"/>
  <c r="B30" i="27"/>
  <c r="X29" i="27"/>
  <c r="T29" i="27"/>
  <c r="Z29" i="27" s="1"/>
  <c r="P29" i="27"/>
  <c r="H29" i="27"/>
  <c r="D29" i="27"/>
  <c r="L29" i="27" s="1"/>
  <c r="B29" i="27"/>
  <c r="X28" i="27"/>
  <c r="Z28" i="27" s="1"/>
  <c r="T28" i="27"/>
  <c r="P28" i="27"/>
  <c r="N28" i="27"/>
  <c r="L28" i="27"/>
  <c r="H28" i="27"/>
  <c r="D28" i="27"/>
  <c r="B28" i="27"/>
  <c r="X27" i="27"/>
  <c r="Z27" i="27" s="1"/>
  <c r="T27" i="27"/>
  <c r="P27" i="27"/>
  <c r="N27" i="27"/>
  <c r="H27" i="27"/>
  <c r="D27" i="27"/>
  <c r="L27" i="27" s="1"/>
  <c r="B27" i="27"/>
  <c r="T26" i="27"/>
  <c r="P26" i="27"/>
  <c r="X26" i="27" s="1"/>
  <c r="N26" i="27"/>
  <c r="H26" i="27"/>
  <c r="D26" i="27"/>
  <c r="L26" i="27" s="1"/>
  <c r="B26" i="27"/>
  <c r="X25" i="27"/>
  <c r="T25" i="27"/>
  <c r="Z25" i="27" s="1"/>
  <c r="P25" i="27"/>
  <c r="H25" i="27"/>
  <c r="N25" i="27" s="1"/>
  <c r="D25" i="27"/>
  <c r="L25" i="27" s="1"/>
  <c r="B25" i="27"/>
  <c r="X24" i="27"/>
  <c r="Z24" i="27" s="1"/>
  <c r="T24" i="27"/>
  <c r="P24" i="27"/>
  <c r="N24" i="27"/>
  <c r="L24" i="27"/>
  <c r="H24" i="27"/>
  <c r="D24" i="27"/>
  <c r="B24" i="27"/>
  <c r="X23" i="27"/>
  <c r="Z23" i="27" s="1"/>
  <c r="T23" i="27"/>
  <c r="P23" i="27"/>
  <c r="H23" i="27"/>
  <c r="D23" i="27"/>
  <c r="L23" i="27" s="1"/>
  <c r="N23" i="27" s="1"/>
  <c r="B23" i="27"/>
  <c r="T22" i="27"/>
  <c r="P22" i="27"/>
  <c r="H22" i="27"/>
  <c r="D22" i="27"/>
  <c r="L22" i="27" s="1"/>
  <c r="N22" i="27" s="1"/>
  <c r="B22" i="27"/>
  <c r="X21" i="27"/>
  <c r="T21" i="27"/>
  <c r="Z21" i="27" s="1"/>
  <c r="P21" i="27"/>
  <c r="H21" i="27"/>
  <c r="D21" i="27"/>
  <c r="L21" i="27" s="1"/>
  <c r="B21" i="27"/>
  <c r="X20" i="27"/>
  <c r="Z20" i="27" s="1"/>
  <c r="T20" i="27"/>
  <c r="P20" i="27"/>
  <c r="N20" i="27"/>
  <c r="L20" i="27"/>
  <c r="H20" i="27"/>
  <c r="D20" i="27"/>
  <c r="B20" i="27"/>
  <c r="X19" i="27"/>
  <c r="Z19" i="27" s="1"/>
  <c r="T19" i="27"/>
  <c r="P19" i="27"/>
  <c r="H19" i="27"/>
  <c r="D19" i="27"/>
  <c r="L19" i="27" s="1"/>
  <c r="N19" i="27" s="1"/>
  <c r="B19" i="27"/>
  <c r="T18" i="27"/>
  <c r="P18" i="27"/>
  <c r="X18" i="27" s="1"/>
  <c r="H18" i="27"/>
  <c r="D18" i="27"/>
  <c r="L18" i="27" s="1"/>
  <c r="N18" i="27" s="1"/>
  <c r="B18" i="27"/>
  <c r="X17" i="27"/>
  <c r="T17" i="27"/>
  <c r="Z17" i="27" s="1"/>
  <c r="P17" i="27"/>
  <c r="H17" i="27"/>
  <c r="D17" i="27"/>
  <c r="L17" i="27" s="1"/>
  <c r="B17" i="27"/>
  <c r="X16" i="27"/>
  <c r="Z16" i="27" s="1"/>
  <c r="T16" i="27"/>
  <c r="P16" i="27"/>
  <c r="N16" i="27"/>
  <c r="L16" i="27"/>
  <c r="H16" i="27"/>
  <c r="D16" i="27"/>
  <c r="B16" i="27"/>
  <c r="X15" i="27"/>
  <c r="T15" i="27"/>
  <c r="P15" i="27"/>
  <c r="N15" i="27"/>
  <c r="H15" i="27"/>
  <c r="D15" i="27"/>
  <c r="L15" i="27" s="1"/>
  <c r="B15" i="27"/>
  <c r="T14" i="27"/>
  <c r="P14" i="27"/>
  <c r="P12" i="27" s="1"/>
  <c r="H14" i="27"/>
  <c r="D14" i="27"/>
  <c r="L14" i="27" s="1"/>
  <c r="N14" i="27" s="1"/>
  <c r="B14" i="27"/>
  <c r="X13" i="27"/>
  <c r="T13" i="27"/>
  <c r="P13" i="27"/>
  <c r="H13" i="27"/>
  <c r="H12" i="27" s="1"/>
  <c r="J96" i="27" s="1"/>
  <c r="D13" i="27"/>
  <c r="B13" i="27"/>
  <c r="D4" i="27"/>
  <c r="Z138" i="24"/>
  <c r="X138" i="24"/>
  <c r="L138" i="24"/>
  <c r="N138" i="24" s="1"/>
  <c r="X134" i="24"/>
  <c r="T134" i="24"/>
  <c r="P134" i="24"/>
  <c r="H134" i="24"/>
  <c r="N134" i="24" s="1"/>
  <c r="D134" i="24"/>
  <c r="L134" i="24" s="1"/>
  <c r="B134" i="24"/>
  <c r="P133" i="24"/>
  <c r="Z131" i="24"/>
  <c r="X131" i="24"/>
  <c r="N131" i="24"/>
  <c r="L131" i="24"/>
  <c r="B131" i="24"/>
  <c r="T130" i="24"/>
  <c r="Z130" i="24" s="1"/>
  <c r="P130" i="24"/>
  <c r="X130" i="24" s="1"/>
  <c r="N130" i="24"/>
  <c r="H130" i="24"/>
  <c r="D130" i="24"/>
  <c r="L130" i="24" s="1"/>
  <c r="B130" i="24"/>
  <c r="Z129" i="24"/>
  <c r="X129" i="24"/>
  <c r="N129" i="24"/>
  <c r="L129" i="24"/>
  <c r="B129" i="24"/>
  <c r="Z128" i="24"/>
  <c r="T128" i="24"/>
  <c r="P128" i="24"/>
  <c r="X128" i="24" s="1"/>
  <c r="N128" i="24"/>
  <c r="L128" i="24"/>
  <c r="H128" i="24"/>
  <c r="D128" i="24"/>
  <c r="B128" i="24"/>
  <c r="Z127" i="24"/>
  <c r="X127" i="24"/>
  <c r="N127" i="24"/>
  <c r="L127" i="24"/>
  <c r="B127" i="24"/>
  <c r="T126" i="24"/>
  <c r="Z126" i="24" s="1"/>
  <c r="P126" i="24"/>
  <c r="X126" i="24" s="1"/>
  <c r="H126" i="24"/>
  <c r="D126" i="24"/>
  <c r="B126" i="24"/>
  <c r="X125" i="24"/>
  <c r="Z125" i="24" s="1"/>
  <c r="N125" i="24"/>
  <c r="L125" i="24"/>
  <c r="B125" i="24"/>
  <c r="Z124" i="24"/>
  <c r="X124" i="24"/>
  <c r="N124" i="24"/>
  <c r="L124" i="24"/>
  <c r="B124" i="24"/>
  <c r="Z123" i="24"/>
  <c r="X123" i="24"/>
  <c r="L123" i="24"/>
  <c r="N123" i="24" s="1"/>
  <c r="B123" i="24"/>
  <c r="T122" i="24"/>
  <c r="P122" i="24"/>
  <c r="X122" i="24" s="1"/>
  <c r="H122" i="24"/>
  <c r="D122" i="24"/>
  <c r="L122" i="24" s="1"/>
  <c r="N122" i="24" s="1"/>
  <c r="B122" i="24"/>
  <c r="Z121" i="24"/>
  <c r="X121" i="24"/>
  <c r="N121" i="24"/>
  <c r="L121" i="24"/>
  <c r="B121" i="24"/>
  <c r="T120" i="24"/>
  <c r="P120" i="24"/>
  <c r="X120" i="24" s="1"/>
  <c r="Z120" i="24" s="1"/>
  <c r="N120" i="24"/>
  <c r="L120" i="24"/>
  <c r="H120" i="24"/>
  <c r="D120" i="24"/>
  <c r="B120" i="24"/>
  <c r="Z119" i="24"/>
  <c r="X119" i="24"/>
  <c r="N119" i="24"/>
  <c r="L119" i="24"/>
  <c r="B119" i="24"/>
  <c r="Z118" i="24"/>
  <c r="X118" i="24"/>
  <c r="N118" i="24"/>
  <c r="L118" i="24"/>
  <c r="F118" i="24"/>
  <c r="B118" i="24"/>
  <c r="T117" i="24"/>
  <c r="X117" i="24" s="1"/>
  <c r="Z117" i="24" s="1"/>
  <c r="P117" i="24"/>
  <c r="H117" i="24"/>
  <c r="F117" i="24"/>
  <c r="D117" i="24"/>
  <c r="L117" i="24" s="1"/>
  <c r="N117" i="24" s="1"/>
  <c r="B117" i="24"/>
  <c r="Z116" i="24"/>
  <c r="X116" i="24"/>
  <c r="L116" i="24"/>
  <c r="N116" i="24" s="1"/>
  <c r="B116" i="24"/>
  <c r="Z115" i="24"/>
  <c r="X115" i="24"/>
  <c r="L115" i="24"/>
  <c r="N115" i="24" s="1"/>
  <c r="B115" i="24"/>
  <c r="T114" i="24"/>
  <c r="P114" i="24"/>
  <c r="H114" i="24"/>
  <c r="D114" i="24"/>
  <c r="L114" i="24" s="1"/>
  <c r="N114" i="24" s="1"/>
  <c r="B114" i="24"/>
  <c r="Z113" i="24"/>
  <c r="X113" i="24"/>
  <c r="N113" i="24"/>
  <c r="L113" i="24"/>
  <c r="B113" i="24"/>
  <c r="T112" i="24"/>
  <c r="P112" i="24"/>
  <c r="X112" i="24" s="1"/>
  <c r="Z112" i="24" s="1"/>
  <c r="N112" i="24"/>
  <c r="L112" i="24"/>
  <c r="H112" i="24"/>
  <c r="D112" i="24"/>
  <c r="B112" i="24"/>
  <c r="Z111" i="24"/>
  <c r="X111" i="24"/>
  <c r="N111" i="24"/>
  <c r="L111" i="24"/>
  <c r="B111" i="24"/>
  <c r="T110" i="24"/>
  <c r="P110" i="24"/>
  <c r="H110" i="24"/>
  <c r="N110" i="24" s="1"/>
  <c r="D110" i="24"/>
  <c r="B110" i="24"/>
  <c r="X109" i="24"/>
  <c r="Z109" i="24" s="1"/>
  <c r="N109" i="24"/>
  <c r="L109" i="24"/>
  <c r="B109" i="24"/>
  <c r="T108" i="24"/>
  <c r="P108" i="24"/>
  <c r="X108" i="24" s="1"/>
  <c r="Z108" i="24" s="1"/>
  <c r="H108" i="24"/>
  <c r="D108" i="24"/>
  <c r="B108" i="24"/>
  <c r="X107" i="24"/>
  <c r="Z107" i="24" s="1"/>
  <c r="N107" i="24"/>
  <c r="L107" i="24"/>
  <c r="B107" i="24"/>
  <c r="X106" i="24"/>
  <c r="T106" i="24"/>
  <c r="P106" i="24"/>
  <c r="H106" i="24"/>
  <c r="D106" i="24"/>
  <c r="L106" i="24" s="1"/>
  <c r="N106" i="24" s="1"/>
  <c r="B106" i="24"/>
  <c r="Z105" i="24"/>
  <c r="X105" i="24"/>
  <c r="N105" i="24"/>
  <c r="L105" i="24"/>
  <c r="B105" i="24"/>
  <c r="T104" i="24"/>
  <c r="P104" i="24"/>
  <c r="H104" i="24"/>
  <c r="N104" i="24" s="1"/>
  <c r="D104" i="24"/>
  <c r="L104" i="24" s="1"/>
  <c r="B104" i="24"/>
  <c r="Z103" i="24"/>
  <c r="X103" i="24"/>
  <c r="N103" i="24"/>
  <c r="L103" i="24"/>
  <c r="B103" i="24"/>
  <c r="T102" i="24"/>
  <c r="P102" i="24"/>
  <c r="X102" i="24" s="1"/>
  <c r="N102" i="24"/>
  <c r="H102" i="24"/>
  <c r="D102" i="24"/>
  <c r="L102" i="24" s="1"/>
  <c r="B102" i="24"/>
  <c r="Z101" i="24"/>
  <c r="X101" i="24"/>
  <c r="N101" i="24"/>
  <c r="L101" i="24"/>
  <c r="B101" i="24"/>
  <c r="X100" i="24"/>
  <c r="Z100" i="24" s="1"/>
  <c r="L100" i="24"/>
  <c r="N100" i="24" s="1"/>
  <c r="F100" i="24"/>
  <c r="B100" i="24"/>
  <c r="X99" i="24"/>
  <c r="Z99" i="24" s="1"/>
  <c r="T99" i="24"/>
  <c r="P99" i="24"/>
  <c r="H99" i="24"/>
  <c r="F99" i="24"/>
  <c r="D99" i="24"/>
  <c r="L99" i="24" s="1"/>
  <c r="B99" i="24"/>
  <c r="Z98" i="24"/>
  <c r="X98" i="24"/>
  <c r="N98" i="24"/>
  <c r="L98" i="24"/>
  <c r="F98" i="24"/>
  <c r="B98" i="24"/>
  <c r="Z97" i="24"/>
  <c r="T97" i="24"/>
  <c r="X97" i="24" s="1"/>
  <c r="P97" i="24"/>
  <c r="H97" i="24"/>
  <c r="F97" i="24"/>
  <c r="D97" i="24"/>
  <c r="L97" i="24" s="1"/>
  <c r="N97" i="24" s="1"/>
  <c r="B97" i="24"/>
  <c r="Z96" i="24"/>
  <c r="X96" i="24"/>
  <c r="L96" i="24"/>
  <c r="N96" i="24" s="1"/>
  <c r="B96" i="24"/>
  <c r="Z95" i="24"/>
  <c r="T95" i="24"/>
  <c r="P95" i="24"/>
  <c r="X95" i="24" s="1"/>
  <c r="H95" i="24"/>
  <c r="D95" i="24"/>
  <c r="B95" i="24"/>
  <c r="X94" i="24"/>
  <c r="Z94" i="24" s="1"/>
  <c r="N94" i="24"/>
  <c r="L94" i="24"/>
  <c r="F94" i="24"/>
  <c r="B94" i="24"/>
  <c r="X93" i="24"/>
  <c r="Z93" i="24" s="1"/>
  <c r="N93" i="24"/>
  <c r="L93" i="24"/>
  <c r="B93" i="24"/>
  <c r="Z92" i="24"/>
  <c r="X92" i="24"/>
  <c r="N92" i="24"/>
  <c r="L92" i="24"/>
  <c r="F92" i="24"/>
  <c r="B92" i="24"/>
  <c r="Z91" i="24"/>
  <c r="X91" i="24"/>
  <c r="N91" i="24"/>
  <c r="L91" i="24"/>
  <c r="B91" i="24"/>
  <c r="X90" i="24"/>
  <c r="Z90" i="24" s="1"/>
  <c r="N90" i="24"/>
  <c r="L90" i="24"/>
  <c r="F90" i="24"/>
  <c r="B90" i="24"/>
  <c r="T89" i="24"/>
  <c r="P89" i="24"/>
  <c r="X89" i="24" s="1"/>
  <c r="L89" i="24"/>
  <c r="N89" i="24" s="1"/>
  <c r="H89" i="24"/>
  <c r="F89" i="24"/>
  <c r="D89" i="24"/>
  <c r="B89" i="24"/>
  <c r="X88" i="24"/>
  <c r="Z88" i="24" s="1"/>
  <c r="R88" i="24"/>
  <c r="N88" i="24"/>
  <c r="L88" i="24"/>
  <c r="B88" i="24"/>
  <c r="Z87" i="24"/>
  <c r="X87" i="24"/>
  <c r="N87" i="24"/>
  <c r="L87" i="24"/>
  <c r="B87" i="24"/>
  <c r="Z86" i="24"/>
  <c r="X86" i="24"/>
  <c r="N86" i="24"/>
  <c r="L86" i="24"/>
  <c r="F86" i="24"/>
  <c r="B86" i="24"/>
  <c r="Z85" i="24"/>
  <c r="X85" i="24"/>
  <c r="L85" i="24"/>
  <c r="N85" i="24" s="1"/>
  <c r="B85" i="24"/>
  <c r="X84" i="24"/>
  <c r="Z84" i="24" s="1"/>
  <c r="R84" i="24"/>
  <c r="N84" i="24"/>
  <c r="L84" i="24"/>
  <c r="B84" i="24"/>
  <c r="Z83" i="24"/>
  <c r="X83" i="24"/>
  <c r="N83" i="24"/>
  <c r="L83" i="24"/>
  <c r="B83" i="24"/>
  <c r="Z82" i="24"/>
  <c r="X82" i="24"/>
  <c r="N82" i="24"/>
  <c r="L82" i="24"/>
  <c r="F82" i="24"/>
  <c r="B82" i="24"/>
  <c r="Z81" i="24"/>
  <c r="X81" i="24"/>
  <c r="L81" i="24"/>
  <c r="N81" i="24" s="1"/>
  <c r="B81" i="24"/>
  <c r="X80" i="24"/>
  <c r="T80" i="24"/>
  <c r="P80" i="24"/>
  <c r="H80" i="24"/>
  <c r="D80" i="24"/>
  <c r="L80" i="24" s="1"/>
  <c r="B80" i="24"/>
  <c r="T79" i="24"/>
  <c r="P79" i="24"/>
  <c r="X79" i="24" s="1"/>
  <c r="Z79" i="24" s="1"/>
  <c r="H79" i="24"/>
  <c r="N79" i="24" s="1"/>
  <c r="D79" i="24"/>
  <c r="L79" i="24" s="1"/>
  <c r="Z75" i="24"/>
  <c r="X75" i="24"/>
  <c r="L75" i="24"/>
  <c r="N75" i="24" s="1"/>
  <c r="B75" i="24"/>
  <c r="Z74" i="24"/>
  <c r="X74" i="24"/>
  <c r="R74" i="24"/>
  <c r="L74" i="24"/>
  <c r="N74" i="24" s="1"/>
  <c r="B74" i="24"/>
  <c r="X73" i="24"/>
  <c r="Z73" i="24" s="1"/>
  <c r="L73" i="24"/>
  <c r="N73" i="24" s="1"/>
  <c r="B73" i="24"/>
  <c r="Z72" i="24"/>
  <c r="X72" i="24"/>
  <c r="N72" i="24"/>
  <c r="L72" i="24"/>
  <c r="B72" i="24"/>
  <c r="Z71" i="24"/>
  <c r="X71" i="24"/>
  <c r="N71" i="24"/>
  <c r="L71" i="24"/>
  <c r="B71" i="24"/>
  <c r="Z70" i="24"/>
  <c r="X70" i="24"/>
  <c r="R70" i="24"/>
  <c r="L70" i="24"/>
  <c r="N70" i="24" s="1"/>
  <c r="B70" i="24"/>
  <c r="X69" i="24"/>
  <c r="Z69" i="24" s="1"/>
  <c r="L69" i="24"/>
  <c r="N69" i="24" s="1"/>
  <c r="B69" i="24"/>
  <c r="Z68" i="24"/>
  <c r="X68" i="24"/>
  <c r="L68" i="24"/>
  <c r="N68" i="24" s="1"/>
  <c r="B68" i="24"/>
  <c r="Z67" i="24"/>
  <c r="X67" i="24"/>
  <c r="L67" i="24"/>
  <c r="N67" i="24" s="1"/>
  <c r="B67" i="24"/>
  <c r="Z66" i="24"/>
  <c r="X66" i="24"/>
  <c r="L66" i="24"/>
  <c r="N66" i="24" s="1"/>
  <c r="B66" i="24"/>
  <c r="X65" i="24"/>
  <c r="Z65" i="24" s="1"/>
  <c r="L65" i="24"/>
  <c r="N65" i="24" s="1"/>
  <c r="B65" i="24"/>
  <c r="Z64" i="24"/>
  <c r="X64" i="24"/>
  <c r="L64" i="24"/>
  <c r="N64" i="24" s="1"/>
  <c r="B64" i="24"/>
  <c r="Z63" i="24"/>
  <c r="X63" i="24"/>
  <c r="L63" i="24"/>
  <c r="N63" i="24" s="1"/>
  <c r="B63" i="24"/>
  <c r="Z62" i="24"/>
  <c r="X62" i="24"/>
  <c r="R62" i="24"/>
  <c r="L62" i="24"/>
  <c r="N62" i="24" s="1"/>
  <c r="B62" i="24"/>
  <c r="X61" i="24"/>
  <c r="Z61" i="24" s="1"/>
  <c r="L61" i="24"/>
  <c r="N61" i="24" s="1"/>
  <c r="B61" i="24"/>
  <c r="Z60" i="24"/>
  <c r="X60" i="24"/>
  <c r="L60" i="24"/>
  <c r="N60" i="24" s="1"/>
  <c r="B60" i="24"/>
  <c r="Z59" i="24"/>
  <c r="X59" i="24"/>
  <c r="L59" i="24"/>
  <c r="N59" i="24" s="1"/>
  <c r="B59" i="24"/>
  <c r="Z58" i="24"/>
  <c r="X58" i="24"/>
  <c r="L58" i="24"/>
  <c r="N58" i="24" s="1"/>
  <c r="B58" i="24"/>
  <c r="X57" i="24"/>
  <c r="Z57" i="24" s="1"/>
  <c r="L57" i="24"/>
  <c r="N57" i="24" s="1"/>
  <c r="B57" i="24"/>
  <c r="Z56" i="24"/>
  <c r="X56" i="24"/>
  <c r="L56" i="24"/>
  <c r="N56" i="24" s="1"/>
  <c r="B56" i="24"/>
  <c r="Z55" i="24"/>
  <c r="X55" i="24"/>
  <c r="L55" i="24"/>
  <c r="N55" i="24" s="1"/>
  <c r="B55" i="24"/>
  <c r="Z54" i="24"/>
  <c r="X54" i="24"/>
  <c r="R54" i="24"/>
  <c r="N54" i="24"/>
  <c r="L54" i="24"/>
  <c r="B54" i="24"/>
  <c r="Z53" i="24"/>
  <c r="X53" i="24"/>
  <c r="N53" i="24"/>
  <c r="L53" i="24"/>
  <c r="B53" i="24"/>
  <c r="T52" i="24"/>
  <c r="P52" i="24"/>
  <c r="X52" i="24" s="1"/>
  <c r="Z52" i="24" s="1"/>
  <c r="H52" i="24"/>
  <c r="D52" i="24"/>
  <c r="L52" i="24" s="1"/>
  <c r="T50" i="24"/>
  <c r="Z50" i="24" s="1"/>
  <c r="P50" i="24"/>
  <c r="L50" i="24"/>
  <c r="H50" i="24"/>
  <c r="N50" i="24" s="1"/>
  <c r="D50" i="24"/>
  <c r="B50" i="24"/>
  <c r="T49" i="24"/>
  <c r="Z49" i="24" s="1"/>
  <c r="P49" i="24"/>
  <c r="X49" i="24" s="1"/>
  <c r="N49" i="24"/>
  <c r="L49" i="24"/>
  <c r="H49" i="24"/>
  <c r="D49" i="24"/>
  <c r="B49" i="24"/>
  <c r="T48" i="24"/>
  <c r="P48" i="24"/>
  <c r="X48" i="24" s="1"/>
  <c r="Z48" i="24" s="1"/>
  <c r="L48" i="24"/>
  <c r="H48" i="24"/>
  <c r="N48" i="24" s="1"/>
  <c r="D48" i="24"/>
  <c r="B48" i="24"/>
  <c r="T47" i="24"/>
  <c r="P47" i="24"/>
  <c r="H47" i="24"/>
  <c r="N47" i="24" s="1"/>
  <c r="D47" i="24"/>
  <c r="L47" i="24" s="1"/>
  <c r="B47" i="24"/>
  <c r="T46" i="24"/>
  <c r="P46" i="24"/>
  <c r="L46" i="24"/>
  <c r="H46" i="24"/>
  <c r="N46" i="24" s="1"/>
  <c r="D46" i="24"/>
  <c r="B46" i="24"/>
  <c r="T45" i="24"/>
  <c r="P45" i="24"/>
  <c r="L45" i="24"/>
  <c r="N45" i="24" s="1"/>
  <c r="H45" i="24"/>
  <c r="D45" i="24"/>
  <c r="B45" i="24"/>
  <c r="T44" i="24"/>
  <c r="P44" i="24"/>
  <c r="X44" i="24" s="1"/>
  <c r="Z44" i="24" s="1"/>
  <c r="L44" i="24"/>
  <c r="H44" i="24"/>
  <c r="D44" i="24"/>
  <c r="B44" i="24"/>
  <c r="T43" i="24"/>
  <c r="P43" i="24"/>
  <c r="H43" i="24"/>
  <c r="N43" i="24" s="1"/>
  <c r="D43" i="24"/>
  <c r="L43" i="24" s="1"/>
  <c r="B43" i="24"/>
  <c r="T42" i="24"/>
  <c r="P42" i="24"/>
  <c r="L42" i="24"/>
  <c r="H42" i="24"/>
  <c r="N42" i="24" s="1"/>
  <c r="D42" i="24"/>
  <c r="B42" i="24"/>
  <c r="T41" i="24"/>
  <c r="P41" i="24"/>
  <c r="L41" i="24"/>
  <c r="N41" i="24" s="1"/>
  <c r="H41" i="24"/>
  <c r="D41" i="24"/>
  <c r="B41" i="24"/>
  <c r="T40" i="24"/>
  <c r="P40" i="24"/>
  <c r="X40" i="24" s="1"/>
  <c r="Z40" i="24" s="1"/>
  <c r="L40" i="24"/>
  <c r="H40" i="24"/>
  <c r="D40" i="24"/>
  <c r="B40" i="24"/>
  <c r="T39" i="24"/>
  <c r="P39" i="24"/>
  <c r="H39" i="24"/>
  <c r="D39" i="24"/>
  <c r="L39" i="24" s="1"/>
  <c r="B39" i="24"/>
  <c r="T38" i="24"/>
  <c r="P38" i="24"/>
  <c r="L38" i="24"/>
  <c r="H38" i="24"/>
  <c r="N38" i="24" s="1"/>
  <c r="D38" i="24"/>
  <c r="B38" i="24"/>
  <c r="T37" i="24"/>
  <c r="P37" i="24"/>
  <c r="L37" i="24"/>
  <c r="N37" i="24" s="1"/>
  <c r="H37" i="24"/>
  <c r="D37" i="24"/>
  <c r="B37" i="24"/>
  <c r="T36" i="24"/>
  <c r="P36" i="24"/>
  <c r="X36" i="24" s="1"/>
  <c r="Z36" i="24" s="1"/>
  <c r="L36" i="24"/>
  <c r="H36" i="24"/>
  <c r="D36" i="24"/>
  <c r="B36" i="24"/>
  <c r="T35" i="24"/>
  <c r="P35" i="24"/>
  <c r="H35" i="24"/>
  <c r="D35" i="24"/>
  <c r="L35" i="24" s="1"/>
  <c r="B35" i="24"/>
  <c r="T34" i="24"/>
  <c r="P34" i="24"/>
  <c r="L34" i="24"/>
  <c r="H34" i="24"/>
  <c r="N34" i="24" s="1"/>
  <c r="D34" i="24"/>
  <c r="B34" i="24"/>
  <c r="T33" i="24"/>
  <c r="P33" i="24"/>
  <c r="L33" i="24"/>
  <c r="N33" i="24" s="1"/>
  <c r="H33" i="24"/>
  <c r="D33" i="24"/>
  <c r="B33" i="24"/>
  <c r="T32" i="24"/>
  <c r="P32" i="24"/>
  <c r="X32" i="24" s="1"/>
  <c r="Z32" i="24" s="1"/>
  <c r="L32" i="24"/>
  <c r="H32" i="24"/>
  <c r="D32" i="24"/>
  <c r="B32" i="24"/>
  <c r="T31" i="24"/>
  <c r="P31" i="24"/>
  <c r="H31" i="24"/>
  <c r="D31" i="24"/>
  <c r="L31" i="24" s="1"/>
  <c r="B31" i="24"/>
  <c r="T30" i="24"/>
  <c r="P30" i="24"/>
  <c r="L30" i="24"/>
  <c r="H30" i="24"/>
  <c r="N30" i="24" s="1"/>
  <c r="D30" i="24"/>
  <c r="B30" i="24"/>
  <c r="T29" i="24"/>
  <c r="P29" i="24"/>
  <c r="L29" i="24"/>
  <c r="N29" i="24" s="1"/>
  <c r="H29" i="24"/>
  <c r="D29" i="24"/>
  <c r="B29" i="24"/>
  <c r="T28" i="24"/>
  <c r="P28" i="24"/>
  <c r="X28" i="24" s="1"/>
  <c r="Z28" i="24" s="1"/>
  <c r="L28" i="24"/>
  <c r="H28" i="24"/>
  <c r="D28" i="24"/>
  <c r="B28" i="24"/>
  <c r="T27" i="24"/>
  <c r="P27" i="24"/>
  <c r="H27" i="24"/>
  <c r="D27" i="24"/>
  <c r="L27" i="24" s="1"/>
  <c r="B27" i="24"/>
  <c r="T26" i="24"/>
  <c r="P26" i="24"/>
  <c r="L26" i="24"/>
  <c r="H26" i="24"/>
  <c r="N26" i="24" s="1"/>
  <c r="D26" i="24"/>
  <c r="B26" i="24"/>
  <c r="T25" i="24"/>
  <c r="P25" i="24"/>
  <c r="L25" i="24"/>
  <c r="N25" i="24" s="1"/>
  <c r="H25" i="24"/>
  <c r="D25" i="24"/>
  <c r="B25" i="24"/>
  <c r="T24" i="24"/>
  <c r="P24" i="24"/>
  <c r="X24" i="24" s="1"/>
  <c r="Z24" i="24" s="1"/>
  <c r="L24" i="24"/>
  <c r="H24" i="24"/>
  <c r="D24" i="24"/>
  <c r="B24" i="24"/>
  <c r="T23" i="24"/>
  <c r="P23" i="24"/>
  <c r="H23" i="24"/>
  <c r="D23" i="24"/>
  <c r="L23" i="24" s="1"/>
  <c r="B23" i="24"/>
  <c r="T22" i="24"/>
  <c r="P22" i="24"/>
  <c r="L22" i="24"/>
  <c r="H22" i="24"/>
  <c r="N22" i="24" s="1"/>
  <c r="D22" i="24"/>
  <c r="B22" i="24"/>
  <c r="T21" i="24"/>
  <c r="P21" i="24"/>
  <c r="L21" i="24"/>
  <c r="N21" i="24" s="1"/>
  <c r="H21" i="24"/>
  <c r="D21" i="24"/>
  <c r="B21" i="24"/>
  <c r="T20" i="24"/>
  <c r="P20" i="24"/>
  <c r="X20" i="24" s="1"/>
  <c r="Z20" i="24" s="1"/>
  <c r="L20" i="24"/>
  <c r="H20" i="24"/>
  <c r="D20" i="24"/>
  <c r="B20" i="24"/>
  <c r="T19" i="24"/>
  <c r="P19" i="24"/>
  <c r="H19" i="24"/>
  <c r="D19" i="24"/>
  <c r="L19" i="24" s="1"/>
  <c r="B19" i="24"/>
  <c r="T18" i="24"/>
  <c r="P18" i="24"/>
  <c r="L18" i="24"/>
  <c r="H18" i="24"/>
  <c r="N18" i="24" s="1"/>
  <c r="D18" i="24"/>
  <c r="B18" i="24"/>
  <c r="T17" i="24"/>
  <c r="P17" i="24"/>
  <c r="L17" i="24"/>
  <c r="N17" i="24" s="1"/>
  <c r="H17" i="24"/>
  <c r="D17" i="24"/>
  <c r="B17" i="24"/>
  <c r="T16" i="24"/>
  <c r="P16" i="24"/>
  <c r="X16" i="24" s="1"/>
  <c r="Z16" i="24" s="1"/>
  <c r="L16" i="24"/>
  <c r="H16" i="24"/>
  <c r="D16" i="24"/>
  <c r="B16" i="24"/>
  <c r="T15" i="24"/>
  <c r="P15" i="24"/>
  <c r="H15" i="24"/>
  <c r="D15" i="24"/>
  <c r="L15" i="24" s="1"/>
  <c r="B15" i="24"/>
  <c r="T14" i="24"/>
  <c r="P14" i="24"/>
  <c r="L14" i="24"/>
  <c r="H14" i="24"/>
  <c r="N14" i="24" s="1"/>
  <c r="D14" i="24"/>
  <c r="B14" i="24"/>
  <c r="T13" i="24"/>
  <c r="P13" i="24"/>
  <c r="N13" i="24"/>
  <c r="L13" i="24"/>
  <c r="H13" i="24"/>
  <c r="D13" i="24"/>
  <c r="B13" i="24"/>
  <c r="P12" i="24"/>
  <c r="D12" i="24"/>
  <c r="D4" i="24"/>
  <c r="Z105" i="21"/>
  <c r="X105" i="21"/>
  <c r="N105" i="21"/>
  <c r="L105" i="21"/>
  <c r="Z101" i="21"/>
  <c r="X101" i="21"/>
  <c r="T101" i="21"/>
  <c r="P101" i="21"/>
  <c r="H101" i="21"/>
  <c r="N101" i="21" s="1"/>
  <c r="D101" i="21"/>
  <c r="L101" i="21" s="1"/>
  <c r="X99" i="21"/>
  <c r="Z99" i="21" s="1"/>
  <c r="N99" i="21"/>
  <c r="L99" i="21"/>
  <c r="B99" i="21"/>
  <c r="X98" i="21"/>
  <c r="T98" i="21"/>
  <c r="P98" i="21"/>
  <c r="L98" i="21"/>
  <c r="N98" i="21" s="1"/>
  <c r="H98" i="21"/>
  <c r="D98" i="21"/>
  <c r="B98" i="21"/>
  <c r="Z97" i="21"/>
  <c r="X97" i="21"/>
  <c r="L97" i="21"/>
  <c r="N97" i="21" s="1"/>
  <c r="B97" i="21"/>
  <c r="T96" i="21"/>
  <c r="P96" i="21"/>
  <c r="H96" i="21"/>
  <c r="N96" i="21" s="1"/>
  <c r="D96" i="21"/>
  <c r="L96" i="21" s="1"/>
  <c r="B96" i="21"/>
  <c r="Z95" i="21"/>
  <c r="X95" i="21"/>
  <c r="L95" i="21"/>
  <c r="N95" i="21" s="1"/>
  <c r="B95" i="21"/>
  <c r="T94" i="21"/>
  <c r="P94" i="21"/>
  <c r="X94" i="21" s="1"/>
  <c r="H94" i="21"/>
  <c r="D94" i="21"/>
  <c r="L94" i="21" s="1"/>
  <c r="N94" i="21" s="1"/>
  <c r="B94" i="21"/>
  <c r="X93" i="21"/>
  <c r="Z93" i="21" s="1"/>
  <c r="N93" i="21"/>
  <c r="L93" i="21"/>
  <c r="B93" i="21"/>
  <c r="X92" i="21"/>
  <c r="Z92" i="21" s="1"/>
  <c r="L92" i="21"/>
  <c r="N92" i="21" s="1"/>
  <c r="B92" i="21"/>
  <c r="X91" i="21"/>
  <c r="Z91" i="21" s="1"/>
  <c r="N91" i="21"/>
  <c r="L91" i="21"/>
  <c r="B91" i="21"/>
  <c r="X90" i="21"/>
  <c r="Z90" i="21" s="1"/>
  <c r="N90" i="21"/>
  <c r="L90" i="21"/>
  <c r="B90" i="21"/>
  <c r="X89" i="21"/>
  <c r="Z89" i="21" s="1"/>
  <c r="N89" i="21"/>
  <c r="L89" i="21"/>
  <c r="B89" i="21"/>
  <c r="X88" i="21"/>
  <c r="Z88" i="21" s="1"/>
  <c r="L88" i="21"/>
  <c r="N88" i="21" s="1"/>
  <c r="B88" i="21"/>
  <c r="X87" i="21"/>
  <c r="Z87" i="21" s="1"/>
  <c r="N87" i="21"/>
  <c r="L87" i="21"/>
  <c r="B87" i="21"/>
  <c r="X86" i="21"/>
  <c r="T86" i="21"/>
  <c r="Z86" i="21" s="1"/>
  <c r="P86" i="21"/>
  <c r="L86" i="21"/>
  <c r="H86" i="21"/>
  <c r="N86" i="21" s="1"/>
  <c r="D86" i="21"/>
  <c r="B86" i="21"/>
  <c r="Z85" i="21"/>
  <c r="X85" i="21"/>
  <c r="N85" i="21"/>
  <c r="L85" i="21"/>
  <c r="B85" i="21"/>
  <c r="X84" i="21"/>
  <c r="Z84" i="21" s="1"/>
  <c r="N84" i="21"/>
  <c r="L84" i="21"/>
  <c r="B84" i="21"/>
  <c r="X83" i="21"/>
  <c r="Z83" i="21" s="1"/>
  <c r="T83" i="21"/>
  <c r="P83" i="21"/>
  <c r="H83" i="21"/>
  <c r="L83" i="21" s="1"/>
  <c r="D83" i="21"/>
  <c r="B83" i="21"/>
  <c r="Z82" i="21"/>
  <c r="X82" i="21"/>
  <c r="L82" i="21"/>
  <c r="N82" i="21" s="1"/>
  <c r="B82" i="21"/>
  <c r="Z81" i="21"/>
  <c r="X81" i="21"/>
  <c r="L81" i="21"/>
  <c r="N81" i="21" s="1"/>
  <c r="B81" i="21"/>
  <c r="Z80" i="21"/>
  <c r="X80" i="21"/>
  <c r="L80" i="21"/>
  <c r="N80" i="21" s="1"/>
  <c r="B80" i="21"/>
  <c r="Z79" i="21"/>
  <c r="X79" i="21"/>
  <c r="L79" i="21"/>
  <c r="N79" i="21" s="1"/>
  <c r="B79" i="21"/>
  <c r="T78" i="21"/>
  <c r="P78" i="21"/>
  <c r="X78" i="21" s="1"/>
  <c r="H78" i="21"/>
  <c r="D78" i="21"/>
  <c r="L78" i="21" s="1"/>
  <c r="N78" i="21" s="1"/>
  <c r="B78" i="21"/>
  <c r="X77" i="21"/>
  <c r="Z77" i="21" s="1"/>
  <c r="N77" i="21"/>
  <c r="L77" i="21"/>
  <c r="B77" i="21"/>
  <c r="X76" i="21"/>
  <c r="T76" i="21"/>
  <c r="Z76" i="21" s="1"/>
  <c r="P76" i="21"/>
  <c r="L76" i="21"/>
  <c r="H76" i="21"/>
  <c r="N76" i="21" s="1"/>
  <c r="D76" i="21"/>
  <c r="B76" i="21"/>
  <c r="Z75" i="21"/>
  <c r="X75" i="21"/>
  <c r="N75" i="21"/>
  <c r="L75" i="21"/>
  <c r="B75" i="21"/>
  <c r="Z74" i="21"/>
  <c r="X74" i="21"/>
  <c r="N74" i="21"/>
  <c r="L74" i="21"/>
  <c r="B74" i="21"/>
  <c r="Z73" i="21"/>
  <c r="X73" i="21"/>
  <c r="N73" i="21"/>
  <c r="L73" i="21"/>
  <c r="B73" i="21"/>
  <c r="X72" i="21"/>
  <c r="T72" i="21"/>
  <c r="P72" i="21"/>
  <c r="N72" i="21"/>
  <c r="H72" i="21"/>
  <c r="D72" i="21"/>
  <c r="L72" i="21" s="1"/>
  <c r="B72" i="21"/>
  <c r="Z71" i="21"/>
  <c r="X71" i="21"/>
  <c r="L71" i="21"/>
  <c r="N71" i="21" s="1"/>
  <c r="B71" i="21"/>
  <c r="T70" i="21"/>
  <c r="Z70" i="21" s="1"/>
  <c r="P70" i="21"/>
  <c r="X70" i="21" s="1"/>
  <c r="H70" i="21"/>
  <c r="D70" i="21"/>
  <c r="L70" i="21" s="1"/>
  <c r="N70" i="21" s="1"/>
  <c r="B70" i="21"/>
  <c r="X69" i="21"/>
  <c r="Z69" i="21" s="1"/>
  <c r="N69" i="21"/>
  <c r="L69" i="21"/>
  <c r="B69" i="21"/>
  <c r="X68" i="21"/>
  <c r="T68" i="21"/>
  <c r="Z68" i="21" s="1"/>
  <c r="P68" i="21"/>
  <c r="L68" i="21"/>
  <c r="H68" i="21"/>
  <c r="N68" i="21" s="1"/>
  <c r="D68" i="21"/>
  <c r="B68" i="21"/>
  <c r="Z67" i="21"/>
  <c r="X67" i="21"/>
  <c r="N67" i="21"/>
  <c r="L67" i="21"/>
  <c r="B67" i="21"/>
  <c r="T66" i="21"/>
  <c r="X66" i="21" s="1"/>
  <c r="P66" i="21"/>
  <c r="H66" i="21"/>
  <c r="D66" i="21"/>
  <c r="B66" i="21"/>
  <c r="Z65" i="21"/>
  <c r="X65" i="21"/>
  <c r="L65" i="21"/>
  <c r="N65" i="21" s="1"/>
  <c r="B65" i="21"/>
  <c r="T64" i="21"/>
  <c r="P64" i="21"/>
  <c r="X64" i="21" s="1"/>
  <c r="Z64" i="21" s="1"/>
  <c r="H64" i="21"/>
  <c r="D64" i="21"/>
  <c r="B64" i="21"/>
  <c r="X63" i="21"/>
  <c r="Z63" i="21" s="1"/>
  <c r="N63" i="21"/>
  <c r="L63" i="21"/>
  <c r="B63" i="21"/>
  <c r="X62" i="21"/>
  <c r="T62" i="21"/>
  <c r="P62" i="21"/>
  <c r="L62" i="21"/>
  <c r="H62" i="21"/>
  <c r="D62" i="21"/>
  <c r="B62" i="21"/>
  <c r="Z61" i="21"/>
  <c r="X61" i="21"/>
  <c r="N61" i="21"/>
  <c r="L61" i="21"/>
  <c r="B61" i="21"/>
  <c r="X60" i="21"/>
  <c r="T60" i="21"/>
  <c r="P60" i="21"/>
  <c r="N60" i="21"/>
  <c r="H60" i="21"/>
  <c r="L60" i="21" s="1"/>
  <c r="D60" i="21"/>
  <c r="B60" i="21"/>
  <c r="Z59" i="21"/>
  <c r="X59" i="21"/>
  <c r="L59" i="21"/>
  <c r="N59" i="21" s="1"/>
  <c r="B59" i="21"/>
  <c r="T58" i="21"/>
  <c r="Z58" i="21" s="1"/>
  <c r="P58" i="21"/>
  <c r="X58" i="21" s="1"/>
  <c r="H58" i="21"/>
  <c r="D58" i="21"/>
  <c r="L58" i="21" s="1"/>
  <c r="N58" i="21" s="1"/>
  <c r="B58" i="21"/>
  <c r="X57" i="21"/>
  <c r="Z57" i="21" s="1"/>
  <c r="N57" i="21"/>
  <c r="L57" i="21"/>
  <c r="B57" i="21"/>
  <c r="X56" i="21"/>
  <c r="T56" i="21"/>
  <c r="Z56" i="21" s="1"/>
  <c r="P56" i="21"/>
  <c r="L56" i="21"/>
  <c r="H56" i="21"/>
  <c r="N56" i="21" s="1"/>
  <c r="D56" i="21"/>
  <c r="B56" i="21"/>
  <c r="Z55" i="21"/>
  <c r="X55" i="21"/>
  <c r="N55" i="21"/>
  <c r="L55" i="21"/>
  <c r="B55" i="21"/>
  <c r="Z54" i="21"/>
  <c r="X54" i="21"/>
  <c r="N54" i="21"/>
  <c r="L54" i="21"/>
  <c r="B54" i="21"/>
  <c r="Z53" i="21"/>
  <c r="T53" i="21"/>
  <c r="X53" i="21" s="1"/>
  <c r="P53" i="21"/>
  <c r="N53" i="21"/>
  <c r="L53" i="21"/>
  <c r="H53" i="21"/>
  <c r="D53" i="21"/>
  <c r="B53" i="21"/>
  <c r="Z52" i="21"/>
  <c r="X52" i="21"/>
  <c r="L52" i="21"/>
  <c r="N52" i="21" s="1"/>
  <c r="B52" i="21"/>
  <c r="Z51" i="21"/>
  <c r="T51" i="21"/>
  <c r="P51" i="21"/>
  <c r="X51" i="21" s="1"/>
  <c r="H51" i="21"/>
  <c r="D51" i="21"/>
  <c r="B51" i="21"/>
  <c r="X50" i="21"/>
  <c r="Z50" i="21" s="1"/>
  <c r="N50" i="21"/>
  <c r="L50" i="21"/>
  <c r="B50" i="21"/>
  <c r="T49" i="21"/>
  <c r="P49" i="21"/>
  <c r="X49" i="21" s="1"/>
  <c r="L49" i="21"/>
  <c r="N49" i="21" s="1"/>
  <c r="H49" i="21"/>
  <c r="D49" i="21"/>
  <c r="B49" i="21"/>
  <c r="X48" i="21"/>
  <c r="Z48" i="21" s="1"/>
  <c r="N48" i="21"/>
  <c r="L48" i="21"/>
  <c r="B48" i="21"/>
  <c r="Z47" i="21"/>
  <c r="X47" i="21"/>
  <c r="T47" i="21"/>
  <c r="P47" i="21"/>
  <c r="H47" i="21"/>
  <c r="D47" i="21"/>
  <c r="B47" i="21"/>
  <c r="Z46" i="21"/>
  <c r="X46" i="21"/>
  <c r="L46" i="21"/>
  <c r="N46" i="21" s="1"/>
  <c r="B46" i="21"/>
  <c r="X45" i="21"/>
  <c r="Z45" i="21" s="1"/>
  <c r="L45" i="21"/>
  <c r="N45" i="21" s="1"/>
  <c r="B45" i="21"/>
  <c r="Z44" i="21"/>
  <c r="X44" i="21"/>
  <c r="L44" i="21"/>
  <c r="N44" i="21" s="1"/>
  <c r="B44" i="21"/>
  <c r="Z43" i="21"/>
  <c r="X43" i="21"/>
  <c r="L43" i="21"/>
  <c r="N43" i="21" s="1"/>
  <c r="B43" i="21"/>
  <c r="Z42" i="21"/>
  <c r="X42" i="21"/>
  <c r="N42" i="21"/>
  <c r="L42" i="21"/>
  <c r="B42" i="21"/>
  <c r="X41" i="21"/>
  <c r="Z41" i="21" s="1"/>
  <c r="L41" i="21"/>
  <c r="N41" i="21" s="1"/>
  <c r="B41" i="21"/>
  <c r="Z40" i="21"/>
  <c r="T40" i="21"/>
  <c r="P40" i="21"/>
  <c r="X40" i="21" s="1"/>
  <c r="H40" i="21"/>
  <c r="D40" i="21"/>
  <c r="B40" i="21"/>
  <c r="X39" i="21"/>
  <c r="Z39" i="21" s="1"/>
  <c r="N39" i="21"/>
  <c r="L39" i="21"/>
  <c r="B39" i="21"/>
  <c r="X38" i="21"/>
  <c r="Z38" i="21" s="1"/>
  <c r="N38" i="21"/>
  <c r="L38" i="21"/>
  <c r="B38" i="21"/>
  <c r="X37" i="21"/>
  <c r="Z37" i="21" s="1"/>
  <c r="L37" i="21"/>
  <c r="N37" i="21" s="1"/>
  <c r="B37" i="21"/>
  <c r="X36" i="21"/>
  <c r="Z36" i="21" s="1"/>
  <c r="L36" i="21"/>
  <c r="N36" i="21" s="1"/>
  <c r="B36" i="21"/>
  <c r="X35" i="21"/>
  <c r="Z35" i="21" s="1"/>
  <c r="N35" i="21"/>
  <c r="L35" i="21"/>
  <c r="B35" i="21"/>
  <c r="X34" i="21"/>
  <c r="Z34" i="21" s="1"/>
  <c r="N34" i="21"/>
  <c r="L34" i="21"/>
  <c r="B34" i="21"/>
  <c r="X33" i="21"/>
  <c r="Z33" i="21" s="1"/>
  <c r="N33" i="21"/>
  <c r="L33" i="21"/>
  <c r="B33" i="21"/>
  <c r="X32" i="21"/>
  <c r="Z32" i="21" s="1"/>
  <c r="L32" i="21"/>
  <c r="N32" i="21" s="1"/>
  <c r="B32" i="21"/>
  <c r="T31" i="21"/>
  <c r="P31" i="21"/>
  <c r="X31" i="21" s="1"/>
  <c r="Z31" i="21" s="1"/>
  <c r="H31" i="21"/>
  <c r="D31" i="21"/>
  <c r="L31" i="21" s="1"/>
  <c r="B31" i="21"/>
  <c r="T30" i="21"/>
  <c r="P30" i="21"/>
  <c r="H30" i="21"/>
  <c r="D30" i="21"/>
  <c r="L30" i="21" s="1"/>
  <c r="Z26" i="21"/>
  <c r="X26" i="21"/>
  <c r="N26" i="21"/>
  <c r="L26" i="21"/>
  <c r="B26" i="21"/>
  <c r="X25" i="21"/>
  <c r="Z25" i="21" s="1"/>
  <c r="L25" i="21"/>
  <c r="N25" i="21" s="1"/>
  <c r="B25" i="21"/>
  <c r="T24" i="21"/>
  <c r="P24" i="21"/>
  <c r="X24" i="21" s="1"/>
  <c r="H24" i="21"/>
  <c r="D24" i="21"/>
  <c r="T22" i="21"/>
  <c r="P22" i="21"/>
  <c r="L22" i="21"/>
  <c r="H22" i="21"/>
  <c r="N22" i="21" s="1"/>
  <c r="D22" i="21"/>
  <c r="B22" i="21"/>
  <c r="X21" i="21"/>
  <c r="Z21" i="21" s="1"/>
  <c r="T21" i="21"/>
  <c r="P21" i="21"/>
  <c r="H21" i="21"/>
  <c r="D21" i="21"/>
  <c r="L21" i="21" s="1"/>
  <c r="N21" i="21" s="1"/>
  <c r="B21" i="21"/>
  <c r="T20" i="21"/>
  <c r="P20" i="21"/>
  <c r="X20" i="21" s="1"/>
  <c r="Z20" i="21" s="1"/>
  <c r="N20" i="21"/>
  <c r="H20" i="21"/>
  <c r="D20" i="21"/>
  <c r="L20" i="21" s="1"/>
  <c r="B20" i="21"/>
  <c r="T19" i="21"/>
  <c r="P19" i="21"/>
  <c r="X19" i="21" s="1"/>
  <c r="Z19" i="21" s="1"/>
  <c r="H19" i="21"/>
  <c r="D19" i="21"/>
  <c r="B19" i="21"/>
  <c r="T18" i="21"/>
  <c r="P18" i="21"/>
  <c r="H18" i="21"/>
  <c r="N18" i="21" s="1"/>
  <c r="D18" i="21"/>
  <c r="B18" i="21"/>
  <c r="X17" i="21"/>
  <c r="Z17" i="21" s="1"/>
  <c r="T17" i="21"/>
  <c r="P17" i="21"/>
  <c r="H17" i="21"/>
  <c r="D17" i="21"/>
  <c r="B17" i="21"/>
  <c r="Z16" i="21"/>
  <c r="T16" i="21"/>
  <c r="P16" i="21"/>
  <c r="X16" i="21" s="1"/>
  <c r="H16" i="21"/>
  <c r="D16" i="21"/>
  <c r="L16" i="21" s="1"/>
  <c r="N16" i="21" s="1"/>
  <c r="B16" i="21"/>
  <c r="T15" i="21"/>
  <c r="P15" i="21"/>
  <c r="H15" i="21"/>
  <c r="D15" i="21"/>
  <c r="L15" i="21" s="1"/>
  <c r="B15" i="21"/>
  <c r="T14" i="21"/>
  <c r="P14" i="21"/>
  <c r="X14" i="21" s="1"/>
  <c r="H14" i="21"/>
  <c r="N14" i="21" s="1"/>
  <c r="D14" i="21"/>
  <c r="B14" i="21"/>
  <c r="X13" i="21"/>
  <c r="Z13" i="21" s="1"/>
  <c r="T13" i="21"/>
  <c r="P13" i="21"/>
  <c r="H13" i="21"/>
  <c r="D13" i="21"/>
  <c r="L13" i="21" s="1"/>
  <c r="B13" i="21"/>
  <c r="D4" i="21"/>
  <c r="Z289" i="18"/>
  <c r="X289" i="18"/>
  <c r="N289" i="18"/>
  <c r="L289" i="18"/>
  <c r="T285" i="18"/>
  <c r="Z285" i="18" s="1"/>
  <c r="P285" i="18"/>
  <c r="X285" i="18" s="1"/>
  <c r="N285" i="18"/>
  <c r="L285" i="18"/>
  <c r="H285" i="18"/>
  <c r="D285" i="18"/>
  <c r="B285" i="18"/>
  <c r="T284" i="18"/>
  <c r="P284" i="18"/>
  <c r="X284" i="18" s="1"/>
  <c r="N284" i="18"/>
  <c r="L284" i="18"/>
  <c r="H284" i="18"/>
  <c r="D284" i="18"/>
  <c r="B284" i="18"/>
  <c r="Z283" i="18"/>
  <c r="T283" i="18"/>
  <c r="P283" i="18"/>
  <c r="X283" i="18" s="1"/>
  <c r="N283" i="18"/>
  <c r="H283" i="18"/>
  <c r="L283" i="18" s="1"/>
  <c r="D283" i="18"/>
  <c r="B283" i="18"/>
  <c r="T282" i="18"/>
  <c r="P282" i="18"/>
  <c r="X282" i="18" s="1"/>
  <c r="Z282" i="18" s="1"/>
  <c r="H282" i="18"/>
  <c r="N282" i="18" s="1"/>
  <c r="D282" i="18"/>
  <c r="L282" i="18" s="1"/>
  <c r="B282" i="18"/>
  <c r="T281" i="18"/>
  <c r="P281" i="18"/>
  <c r="N281" i="18"/>
  <c r="H281" i="18"/>
  <c r="D281" i="18"/>
  <c r="L281" i="18" s="1"/>
  <c r="B281" i="18"/>
  <c r="T280" i="18"/>
  <c r="P280" i="18"/>
  <c r="H280" i="18"/>
  <c r="D280" i="18"/>
  <c r="L280" i="18" s="1"/>
  <c r="B280" i="18"/>
  <c r="Z279" i="18"/>
  <c r="X279" i="18"/>
  <c r="T279" i="18"/>
  <c r="P279" i="18"/>
  <c r="H279" i="18"/>
  <c r="N279" i="18" s="1"/>
  <c r="D279" i="18"/>
  <c r="L279" i="18" s="1"/>
  <c r="B279" i="18"/>
  <c r="Z278" i="18"/>
  <c r="X278" i="18"/>
  <c r="T278" i="18"/>
  <c r="P278" i="18"/>
  <c r="H278" i="18"/>
  <c r="N278" i="18" s="1"/>
  <c r="D278" i="18"/>
  <c r="L278" i="18" s="1"/>
  <c r="B278" i="18"/>
  <c r="T277" i="18"/>
  <c r="X277" i="18" s="1"/>
  <c r="Z277" i="18" s="1"/>
  <c r="P277" i="18"/>
  <c r="N277" i="18"/>
  <c r="H277" i="18"/>
  <c r="D277" i="18"/>
  <c r="L277" i="18" s="1"/>
  <c r="B277" i="18"/>
  <c r="T276" i="18"/>
  <c r="P276" i="18"/>
  <c r="X276" i="18" s="1"/>
  <c r="N276" i="18"/>
  <c r="H276" i="18"/>
  <c r="D276" i="18"/>
  <c r="B276" i="18"/>
  <c r="T275" i="18"/>
  <c r="P275" i="18"/>
  <c r="X275" i="18" s="1"/>
  <c r="Z275" i="18" s="1"/>
  <c r="H275" i="18"/>
  <c r="D275" i="18"/>
  <c r="L275" i="18" s="1"/>
  <c r="B275" i="18"/>
  <c r="T274" i="18"/>
  <c r="Z274" i="18" s="1"/>
  <c r="P274" i="18"/>
  <c r="X274" i="18" s="1"/>
  <c r="H274" i="18"/>
  <c r="D274" i="18"/>
  <c r="B274" i="18"/>
  <c r="Z271" i="18"/>
  <c r="X271" i="18"/>
  <c r="N271" i="18"/>
  <c r="L271" i="18"/>
  <c r="B271" i="18"/>
  <c r="T270" i="18"/>
  <c r="Z270" i="18" s="1"/>
  <c r="P270" i="18"/>
  <c r="X270" i="18" s="1"/>
  <c r="H270" i="18"/>
  <c r="D270" i="18"/>
  <c r="L270" i="18" s="1"/>
  <c r="N270" i="18" s="1"/>
  <c r="B270" i="18"/>
  <c r="X269" i="18"/>
  <c r="Z269" i="18" s="1"/>
  <c r="L269" i="18"/>
  <c r="N269" i="18" s="1"/>
  <c r="B269" i="18"/>
  <c r="X268" i="18"/>
  <c r="Z268" i="18" s="1"/>
  <c r="N268" i="18"/>
  <c r="L268" i="18"/>
  <c r="B268" i="18"/>
  <c r="Z267" i="18"/>
  <c r="X267" i="18"/>
  <c r="N267" i="18"/>
  <c r="L267" i="18"/>
  <c r="B267" i="18"/>
  <c r="T266" i="18"/>
  <c r="P266" i="18"/>
  <c r="X266" i="18" s="1"/>
  <c r="N266" i="18"/>
  <c r="L266" i="18"/>
  <c r="H266" i="18"/>
  <c r="D266" i="18"/>
  <c r="B266" i="18"/>
  <c r="X265" i="18"/>
  <c r="Z265" i="18" s="1"/>
  <c r="L265" i="18"/>
  <c r="N265" i="18" s="1"/>
  <c r="B265" i="18"/>
  <c r="T264" i="18"/>
  <c r="P264" i="18"/>
  <c r="X264" i="18" s="1"/>
  <c r="H264" i="18"/>
  <c r="D264" i="18"/>
  <c r="B264" i="18"/>
  <c r="Z263" i="18"/>
  <c r="X263" i="18"/>
  <c r="N263" i="18"/>
  <c r="L263" i="18"/>
  <c r="B263" i="18"/>
  <c r="X262" i="18"/>
  <c r="Z262" i="18" s="1"/>
  <c r="N262" i="18"/>
  <c r="L262" i="18"/>
  <c r="B262" i="18"/>
  <c r="X261" i="18"/>
  <c r="Z261" i="18" s="1"/>
  <c r="T261" i="18"/>
  <c r="P261" i="18"/>
  <c r="H261" i="18"/>
  <c r="N261" i="18" s="1"/>
  <c r="D261" i="18"/>
  <c r="L261" i="18" s="1"/>
  <c r="B261" i="18"/>
  <c r="X260" i="18"/>
  <c r="Z260" i="18" s="1"/>
  <c r="N260" i="18"/>
  <c r="L260" i="18"/>
  <c r="B260" i="18"/>
  <c r="Z259" i="18"/>
  <c r="X259" i="18"/>
  <c r="N259" i="18"/>
  <c r="L259" i="18"/>
  <c r="B259" i="18"/>
  <c r="X258" i="18"/>
  <c r="Z258" i="18" s="1"/>
  <c r="L258" i="18"/>
  <c r="N258" i="18" s="1"/>
  <c r="B258" i="18"/>
  <c r="X257" i="18"/>
  <c r="Z257" i="18" s="1"/>
  <c r="L257" i="18"/>
  <c r="N257" i="18" s="1"/>
  <c r="B257" i="18"/>
  <c r="Z256" i="18"/>
  <c r="X256" i="18"/>
  <c r="L256" i="18"/>
  <c r="N256" i="18" s="1"/>
  <c r="B256" i="18"/>
  <c r="Z255" i="18"/>
  <c r="X255" i="18"/>
  <c r="N255" i="18"/>
  <c r="L255" i="18"/>
  <c r="B255" i="18"/>
  <c r="X254" i="18"/>
  <c r="Z254" i="18" s="1"/>
  <c r="L254" i="18"/>
  <c r="N254" i="18" s="1"/>
  <c r="B254" i="18"/>
  <c r="T253" i="18"/>
  <c r="P253" i="18"/>
  <c r="X253" i="18" s="1"/>
  <c r="Z253" i="18" s="1"/>
  <c r="H253" i="18"/>
  <c r="D253" i="18"/>
  <c r="L253" i="18" s="1"/>
  <c r="B253" i="18"/>
  <c r="X252" i="18"/>
  <c r="Z252" i="18" s="1"/>
  <c r="N252" i="18"/>
  <c r="L252" i="18"/>
  <c r="B252" i="18"/>
  <c r="Z251" i="18"/>
  <c r="X251" i="18"/>
  <c r="N251" i="18"/>
  <c r="L251" i="18"/>
  <c r="B251" i="18"/>
  <c r="T250" i="18"/>
  <c r="P250" i="18"/>
  <c r="L250" i="18"/>
  <c r="H250" i="18"/>
  <c r="N250" i="18" s="1"/>
  <c r="D250" i="18"/>
  <c r="B250" i="18"/>
  <c r="X249" i="18"/>
  <c r="Z249" i="18" s="1"/>
  <c r="L249" i="18"/>
  <c r="N249" i="18" s="1"/>
  <c r="B249" i="18"/>
  <c r="Z248" i="18"/>
  <c r="X248" i="18"/>
  <c r="L248" i="18"/>
  <c r="N248" i="18" s="1"/>
  <c r="B248" i="18"/>
  <c r="Z247" i="18"/>
  <c r="X247" i="18"/>
  <c r="N247" i="18"/>
  <c r="L247" i="18"/>
  <c r="B247" i="18"/>
  <c r="Z246" i="18"/>
  <c r="X246" i="18"/>
  <c r="L246" i="18"/>
  <c r="N246" i="18" s="1"/>
  <c r="B246" i="18"/>
  <c r="X245" i="18"/>
  <c r="Z245" i="18" s="1"/>
  <c r="T245" i="18"/>
  <c r="P245" i="18"/>
  <c r="H245" i="18"/>
  <c r="N245" i="18" s="1"/>
  <c r="D245" i="18"/>
  <c r="L245" i="18" s="1"/>
  <c r="B245" i="18"/>
  <c r="X244" i="18"/>
  <c r="Z244" i="18" s="1"/>
  <c r="L244" i="18"/>
  <c r="N244" i="18" s="1"/>
  <c r="B244" i="18"/>
  <c r="Z243" i="18"/>
  <c r="X243" i="18"/>
  <c r="N243" i="18"/>
  <c r="L243" i="18"/>
  <c r="B243" i="18"/>
  <c r="X242" i="18"/>
  <c r="Z242" i="18" s="1"/>
  <c r="L242" i="18"/>
  <c r="N242" i="18" s="1"/>
  <c r="B242" i="18"/>
  <c r="T241" i="18"/>
  <c r="P241" i="18"/>
  <c r="X241" i="18" s="1"/>
  <c r="Z241" i="18" s="1"/>
  <c r="H241" i="18"/>
  <c r="D241" i="18"/>
  <c r="L241" i="18" s="1"/>
  <c r="B241" i="18"/>
  <c r="X240" i="18"/>
  <c r="Z240" i="18" s="1"/>
  <c r="N240" i="18"/>
  <c r="L240" i="18"/>
  <c r="B240" i="18"/>
  <c r="Z239" i="18"/>
  <c r="X239" i="18"/>
  <c r="N239" i="18"/>
  <c r="L239" i="18"/>
  <c r="B239" i="18"/>
  <c r="X238" i="18"/>
  <c r="Z238" i="18" s="1"/>
  <c r="N238" i="18"/>
  <c r="L238" i="18"/>
  <c r="B238" i="18"/>
  <c r="T237" i="18"/>
  <c r="P237" i="18"/>
  <c r="X237" i="18" s="1"/>
  <c r="N237" i="18"/>
  <c r="L237" i="18"/>
  <c r="H237" i="18"/>
  <c r="D237" i="18"/>
  <c r="B237" i="18"/>
  <c r="Z236" i="18"/>
  <c r="X236" i="18"/>
  <c r="N236" i="18"/>
  <c r="L236" i="18"/>
  <c r="B236" i="18"/>
  <c r="T235" i="18"/>
  <c r="P235" i="18"/>
  <c r="X235" i="18" s="1"/>
  <c r="L235" i="18"/>
  <c r="N235" i="18" s="1"/>
  <c r="H235" i="18"/>
  <c r="D235" i="18"/>
  <c r="B235" i="18"/>
  <c r="X234" i="18"/>
  <c r="Z234" i="18" s="1"/>
  <c r="N234" i="18"/>
  <c r="L234" i="18"/>
  <c r="B234" i="18"/>
  <c r="T233" i="18"/>
  <c r="P233" i="18"/>
  <c r="X233" i="18" s="1"/>
  <c r="Z233" i="18" s="1"/>
  <c r="H233" i="18"/>
  <c r="N233" i="18" s="1"/>
  <c r="D233" i="18"/>
  <c r="L233" i="18" s="1"/>
  <c r="B233" i="18"/>
  <c r="X232" i="18"/>
  <c r="Z232" i="18" s="1"/>
  <c r="N232" i="18"/>
  <c r="L232" i="18"/>
  <c r="B232" i="18"/>
  <c r="Z231" i="18"/>
  <c r="X231" i="18"/>
  <c r="T231" i="18"/>
  <c r="P231" i="18"/>
  <c r="H231" i="18"/>
  <c r="D231" i="18"/>
  <c r="L231" i="18" s="1"/>
  <c r="B231" i="18"/>
  <c r="Z230" i="18"/>
  <c r="X230" i="18"/>
  <c r="L230" i="18"/>
  <c r="N230" i="18" s="1"/>
  <c r="B230" i="18"/>
  <c r="X229" i="18"/>
  <c r="Z229" i="18" s="1"/>
  <c r="T229" i="18"/>
  <c r="P229" i="18"/>
  <c r="H229" i="18"/>
  <c r="D229" i="18"/>
  <c r="L229" i="18" s="1"/>
  <c r="B229" i="18"/>
  <c r="X228" i="18"/>
  <c r="Z228" i="18" s="1"/>
  <c r="L228" i="18"/>
  <c r="N228" i="18" s="1"/>
  <c r="B228" i="18"/>
  <c r="T227" i="18"/>
  <c r="P227" i="18"/>
  <c r="H227" i="18"/>
  <c r="D227" i="18"/>
  <c r="L227" i="18" s="1"/>
  <c r="N227" i="18" s="1"/>
  <c r="B227" i="18"/>
  <c r="X226" i="18"/>
  <c r="Z226" i="18" s="1"/>
  <c r="N226" i="18"/>
  <c r="L226" i="18"/>
  <c r="B226" i="18"/>
  <c r="X225" i="18"/>
  <c r="Z225" i="18" s="1"/>
  <c r="L225" i="18"/>
  <c r="N225" i="18" s="1"/>
  <c r="B225" i="18"/>
  <c r="X224" i="18"/>
  <c r="Z224" i="18" s="1"/>
  <c r="T224" i="18"/>
  <c r="P224" i="18"/>
  <c r="H224" i="18"/>
  <c r="D224" i="18"/>
  <c r="B224" i="18"/>
  <c r="Z223" i="18"/>
  <c r="X223" i="18"/>
  <c r="N223" i="18"/>
  <c r="L223" i="18"/>
  <c r="B223" i="18"/>
  <c r="T222" i="18"/>
  <c r="P222" i="18"/>
  <c r="X222" i="18" s="1"/>
  <c r="H222" i="18"/>
  <c r="D222" i="18"/>
  <c r="L222" i="18" s="1"/>
  <c r="N222" i="18" s="1"/>
  <c r="B222" i="18"/>
  <c r="X221" i="18"/>
  <c r="Z221" i="18" s="1"/>
  <c r="L221" i="18"/>
  <c r="N221" i="18" s="1"/>
  <c r="B221" i="18"/>
  <c r="X220" i="18"/>
  <c r="Z220" i="18" s="1"/>
  <c r="T220" i="18"/>
  <c r="P220" i="18"/>
  <c r="H220" i="18"/>
  <c r="D220" i="18"/>
  <c r="L220" i="18" s="1"/>
  <c r="B220" i="18"/>
  <c r="Z219" i="18"/>
  <c r="X219" i="18"/>
  <c r="N219" i="18"/>
  <c r="L219" i="18"/>
  <c r="B219" i="18"/>
  <c r="T218" i="18"/>
  <c r="P218" i="18"/>
  <c r="L218" i="18"/>
  <c r="N218" i="18" s="1"/>
  <c r="H218" i="18"/>
  <c r="D218" i="18"/>
  <c r="B218" i="18"/>
  <c r="X217" i="18"/>
  <c r="Z217" i="18" s="1"/>
  <c r="L217" i="18"/>
  <c r="N217" i="18" s="1"/>
  <c r="B217" i="18"/>
  <c r="Z216" i="18"/>
  <c r="X216" i="18"/>
  <c r="L216" i="18"/>
  <c r="N216" i="18" s="1"/>
  <c r="B216" i="18"/>
  <c r="T215" i="18"/>
  <c r="P215" i="18"/>
  <c r="X215" i="18" s="1"/>
  <c r="L215" i="18"/>
  <c r="N215" i="18" s="1"/>
  <c r="H215" i="18"/>
  <c r="D215" i="18"/>
  <c r="B215" i="18"/>
  <c r="X214" i="18"/>
  <c r="Z214" i="18" s="1"/>
  <c r="L214" i="18"/>
  <c r="N214" i="18" s="1"/>
  <c r="B214" i="18"/>
  <c r="X213" i="18"/>
  <c r="Z213" i="18" s="1"/>
  <c r="L213" i="18"/>
  <c r="N213" i="18" s="1"/>
  <c r="B213" i="18"/>
  <c r="Z212" i="18"/>
  <c r="X212" i="18"/>
  <c r="T212" i="18"/>
  <c r="P212" i="18"/>
  <c r="H212" i="18"/>
  <c r="D212" i="18"/>
  <c r="L212" i="18" s="1"/>
  <c r="B212" i="18"/>
  <c r="Z211" i="18"/>
  <c r="X211" i="18"/>
  <c r="N211" i="18"/>
  <c r="L211" i="18"/>
  <c r="B211" i="18"/>
  <c r="T210" i="18"/>
  <c r="P210" i="18"/>
  <c r="L210" i="18"/>
  <c r="H210" i="18"/>
  <c r="N210" i="18" s="1"/>
  <c r="D210" i="18"/>
  <c r="B210" i="18"/>
  <c r="Z209" i="18"/>
  <c r="X209" i="18"/>
  <c r="N209" i="18"/>
  <c r="L209" i="18"/>
  <c r="B209" i="18"/>
  <c r="Z208" i="18"/>
  <c r="X208" i="18"/>
  <c r="L208" i="18"/>
  <c r="N208" i="18" s="1"/>
  <c r="B208" i="18"/>
  <c r="T207" i="18"/>
  <c r="P207" i="18"/>
  <c r="X207" i="18" s="1"/>
  <c r="L207" i="18"/>
  <c r="N207" i="18" s="1"/>
  <c r="H207" i="18"/>
  <c r="D207" i="18"/>
  <c r="B207" i="18"/>
  <c r="X206" i="18"/>
  <c r="Z206" i="18" s="1"/>
  <c r="L206" i="18"/>
  <c r="N206" i="18" s="1"/>
  <c r="B206" i="18"/>
  <c r="T205" i="18"/>
  <c r="P205" i="18"/>
  <c r="X205" i="18" s="1"/>
  <c r="Z205" i="18" s="1"/>
  <c r="H205" i="18"/>
  <c r="D205" i="18"/>
  <c r="L205" i="18" s="1"/>
  <c r="B205" i="18"/>
  <c r="X204" i="18"/>
  <c r="Z204" i="18" s="1"/>
  <c r="N204" i="18"/>
  <c r="L204" i="18"/>
  <c r="B204" i="18"/>
  <c r="Z203" i="18"/>
  <c r="X203" i="18"/>
  <c r="N203" i="18"/>
  <c r="L203" i="18"/>
  <c r="B203" i="18"/>
  <c r="X202" i="18"/>
  <c r="Z202" i="18" s="1"/>
  <c r="N202" i="18"/>
  <c r="L202" i="18"/>
  <c r="B202" i="18"/>
  <c r="X201" i="18"/>
  <c r="Z201" i="18" s="1"/>
  <c r="L201" i="18"/>
  <c r="N201" i="18" s="1"/>
  <c r="B201" i="18"/>
  <c r="X200" i="18"/>
  <c r="Z200" i="18" s="1"/>
  <c r="N200" i="18"/>
  <c r="L200" i="18"/>
  <c r="B200" i="18"/>
  <c r="Z199" i="18"/>
  <c r="X199" i="18"/>
  <c r="N199" i="18"/>
  <c r="L199" i="18"/>
  <c r="B199" i="18"/>
  <c r="X198" i="18"/>
  <c r="Z198" i="18" s="1"/>
  <c r="N198" i="18"/>
  <c r="L198" i="18"/>
  <c r="B198" i="18"/>
  <c r="T197" i="18"/>
  <c r="P197" i="18"/>
  <c r="X197" i="18" s="1"/>
  <c r="N197" i="18"/>
  <c r="L197" i="18"/>
  <c r="H197" i="18"/>
  <c r="D197" i="18"/>
  <c r="B197" i="18"/>
  <c r="Z196" i="18"/>
  <c r="X196" i="18"/>
  <c r="N196" i="18"/>
  <c r="L196" i="18"/>
  <c r="B196" i="18"/>
  <c r="Z195" i="18"/>
  <c r="X195" i="18"/>
  <c r="N195" i="18"/>
  <c r="L195" i="18"/>
  <c r="B195" i="18"/>
  <c r="Z194" i="18"/>
  <c r="X194" i="18"/>
  <c r="L194" i="18"/>
  <c r="N194" i="18" s="1"/>
  <c r="B194" i="18"/>
  <c r="X193" i="18"/>
  <c r="Z193" i="18" s="1"/>
  <c r="L193" i="18"/>
  <c r="N193" i="18" s="1"/>
  <c r="B193" i="18"/>
  <c r="Z192" i="18"/>
  <c r="X192" i="18"/>
  <c r="L192" i="18"/>
  <c r="N192" i="18" s="1"/>
  <c r="B192" i="18"/>
  <c r="Z191" i="18"/>
  <c r="X191" i="18"/>
  <c r="N191" i="18"/>
  <c r="L191" i="18"/>
  <c r="B191" i="18"/>
  <c r="Z190" i="18"/>
  <c r="X190" i="18"/>
  <c r="L190" i="18"/>
  <c r="N190" i="18" s="1"/>
  <c r="B190" i="18"/>
  <c r="X189" i="18"/>
  <c r="Z189" i="18" s="1"/>
  <c r="L189" i="18"/>
  <c r="N189" i="18" s="1"/>
  <c r="B189" i="18"/>
  <c r="Z188" i="18"/>
  <c r="X188" i="18"/>
  <c r="L188" i="18"/>
  <c r="N188" i="18" s="1"/>
  <c r="B188" i="18"/>
  <c r="T187" i="18"/>
  <c r="P187" i="18"/>
  <c r="X187" i="18" s="1"/>
  <c r="L187" i="18"/>
  <c r="N187" i="18" s="1"/>
  <c r="H187" i="18"/>
  <c r="D187" i="18"/>
  <c r="B187" i="18"/>
  <c r="T186" i="18"/>
  <c r="Z186" i="18" s="1"/>
  <c r="P186" i="18"/>
  <c r="X186" i="18" s="1"/>
  <c r="L186" i="18"/>
  <c r="N186" i="18" s="1"/>
  <c r="H186" i="18"/>
  <c r="D186" i="18"/>
  <c r="X182" i="18"/>
  <c r="Z182" i="18" s="1"/>
  <c r="N182" i="18"/>
  <c r="L182" i="18"/>
  <c r="B182" i="18"/>
  <c r="Z181" i="18"/>
  <c r="X181" i="18"/>
  <c r="N181" i="18"/>
  <c r="L181" i="18"/>
  <c r="B181" i="18"/>
  <c r="X180" i="18"/>
  <c r="Z180" i="18" s="1"/>
  <c r="N180" i="18"/>
  <c r="L180" i="18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L177" i="18"/>
  <c r="N177" i="18" s="1"/>
  <c r="B177" i="18"/>
  <c r="Z176" i="18"/>
  <c r="X176" i="18"/>
  <c r="N176" i="18"/>
  <c r="L176" i="18"/>
  <c r="B176" i="18"/>
  <c r="Z175" i="18"/>
  <c r="X175" i="18"/>
  <c r="N175" i="18"/>
  <c r="L175" i="18"/>
  <c r="B175" i="18"/>
  <c r="X174" i="18"/>
  <c r="Z174" i="18" s="1"/>
  <c r="L174" i="18"/>
  <c r="N174" i="18" s="1"/>
  <c r="B174" i="18"/>
  <c r="Z173" i="18"/>
  <c r="X173" i="18"/>
  <c r="L173" i="18"/>
  <c r="N173" i="18" s="1"/>
  <c r="B173" i="18"/>
  <c r="Z172" i="18"/>
  <c r="X172" i="18"/>
  <c r="L172" i="18"/>
  <c r="N172" i="18" s="1"/>
  <c r="B172" i="18"/>
  <c r="Z171" i="18"/>
  <c r="X171" i="18"/>
  <c r="N171" i="18"/>
  <c r="L171" i="18"/>
  <c r="B171" i="18"/>
  <c r="X170" i="18"/>
  <c r="Z170" i="18" s="1"/>
  <c r="L170" i="18"/>
  <c r="N170" i="18" s="1"/>
  <c r="F170" i="18"/>
  <c r="B170" i="18"/>
  <c r="Z169" i="18"/>
  <c r="X169" i="18"/>
  <c r="L169" i="18"/>
  <c r="N169" i="18" s="1"/>
  <c r="B169" i="18"/>
  <c r="X168" i="18"/>
  <c r="Z168" i="18" s="1"/>
  <c r="N168" i="18"/>
  <c r="L168" i="18"/>
  <c r="B168" i="18"/>
  <c r="Z167" i="18"/>
  <c r="X167" i="18"/>
  <c r="N167" i="18"/>
  <c r="L167" i="18"/>
  <c r="B167" i="18"/>
  <c r="X166" i="18"/>
  <c r="Z166" i="18" s="1"/>
  <c r="N166" i="18"/>
  <c r="L166" i="18"/>
  <c r="B166" i="18"/>
  <c r="Z165" i="18"/>
  <c r="X165" i="18"/>
  <c r="N165" i="18"/>
  <c r="L165" i="18"/>
  <c r="B165" i="18"/>
  <c r="Z164" i="18"/>
  <c r="X164" i="18"/>
  <c r="L164" i="18"/>
  <c r="N164" i="18" s="1"/>
  <c r="B164" i="18"/>
  <c r="Z163" i="18"/>
  <c r="X163" i="18"/>
  <c r="N163" i="18"/>
  <c r="L163" i="18"/>
  <c r="B163" i="18"/>
  <c r="X162" i="18"/>
  <c r="Z162" i="18" s="1"/>
  <c r="L162" i="18"/>
  <c r="N162" i="18" s="1"/>
  <c r="B162" i="18"/>
  <c r="Z161" i="18"/>
  <c r="X161" i="18"/>
  <c r="L161" i="18"/>
  <c r="N161" i="18" s="1"/>
  <c r="B161" i="18"/>
  <c r="Z160" i="18"/>
  <c r="X160" i="18"/>
  <c r="L160" i="18"/>
  <c r="N160" i="18" s="1"/>
  <c r="B160" i="18"/>
  <c r="Z159" i="18"/>
  <c r="X159" i="18"/>
  <c r="N159" i="18"/>
  <c r="L159" i="18"/>
  <c r="B159" i="18"/>
  <c r="X158" i="18"/>
  <c r="Z158" i="18" s="1"/>
  <c r="L158" i="18"/>
  <c r="N158" i="18" s="1"/>
  <c r="B158" i="18"/>
  <c r="Z157" i="18"/>
  <c r="X157" i="18"/>
  <c r="N157" i="18"/>
  <c r="L157" i="18"/>
  <c r="B157" i="18"/>
  <c r="Z156" i="18"/>
  <c r="X156" i="18"/>
  <c r="L156" i="18"/>
  <c r="N156" i="18" s="1"/>
  <c r="B156" i="18"/>
  <c r="Z155" i="18"/>
  <c r="X155" i="18"/>
  <c r="N155" i="18"/>
  <c r="L155" i="18"/>
  <c r="B155" i="18"/>
  <c r="X154" i="18"/>
  <c r="Z154" i="18" s="1"/>
  <c r="L154" i="18"/>
  <c r="N154" i="18" s="1"/>
  <c r="F154" i="18"/>
  <c r="B154" i="18"/>
  <c r="Z153" i="18"/>
  <c r="X153" i="18"/>
  <c r="L153" i="18"/>
  <c r="N153" i="18" s="1"/>
  <c r="B153" i="18"/>
  <c r="X152" i="18"/>
  <c r="Z152" i="18" s="1"/>
  <c r="L152" i="18"/>
  <c r="N152" i="18" s="1"/>
  <c r="B152" i="18"/>
  <c r="Z151" i="18"/>
  <c r="X151" i="18"/>
  <c r="N151" i="18"/>
  <c r="L151" i="18"/>
  <c r="B151" i="18"/>
  <c r="X150" i="18"/>
  <c r="Z150" i="18" s="1"/>
  <c r="L150" i="18"/>
  <c r="N150" i="18" s="1"/>
  <c r="B150" i="18"/>
  <c r="Z149" i="18"/>
  <c r="X149" i="18"/>
  <c r="L149" i="18"/>
  <c r="N149" i="18" s="1"/>
  <c r="B149" i="18"/>
  <c r="X148" i="18"/>
  <c r="Z148" i="18" s="1"/>
  <c r="L148" i="18"/>
  <c r="N148" i="18" s="1"/>
  <c r="B148" i="18"/>
  <c r="Z147" i="18"/>
  <c r="X147" i="18"/>
  <c r="N147" i="18"/>
  <c r="L147" i="18"/>
  <c r="B147" i="18"/>
  <c r="X146" i="18"/>
  <c r="Z146" i="18" s="1"/>
  <c r="L146" i="18"/>
  <c r="N146" i="18" s="1"/>
  <c r="B146" i="18"/>
  <c r="Z145" i="18"/>
  <c r="X145" i="18"/>
  <c r="L145" i="18"/>
  <c r="N145" i="18" s="1"/>
  <c r="B145" i="18"/>
  <c r="X144" i="18"/>
  <c r="Z144" i="18" s="1"/>
  <c r="L144" i="18"/>
  <c r="N144" i="18" s="1"/>
  <c r="B144" i="18"/>
  <c r="Z143" i="18"/>
  <c r="X143" i="18"/>
  <c r="N143" i="18"/>
  <c r="L143" i="18"/>
  <c r="B143" i="18"/>
  <c r="X142" i="18"/>
  <c r="Z142" i="18" s="1"/>
  <c r="L142" i="18"/>
  <c r="N142" i="18" s="1"/>
  <c r="B142" i="18"/>
  <c r="Z141" i="18"/>
  <c r="X141" i="18"/>
  <c r="L141" i="18"/>
  <c r="N141" i="18" s="1"/>
  <c r="B141" i="18"/>
  <c r="X140" i="18"/>
  <c r="Z140" i="18" s="1"/>
  <c r="L140" i="18"/>
  <c r="N140" i="18" s="1"/>
  <c r="B140" i="18"/>
  <c r="Z139" i="18"/>
  <c r="X139" i="18"/>
  <c r="N139" i="18"/>
  <c r="L139" i="18"/>
  <c r="B139" i="18"/>
  <c r="X138" i="18"/>
  <c r="Z138" i="18" s="1"/>
  <c r="L138" i="18"/>
  <c r="N138" i="18" s="1"/>
  <c r="B138" i="18"/>
  <c r="Z137" i="18"/>
  <c r="X137" i="18"/>
  <c r="L137" i="18"/>
  <c r="N137" i="18" s="1"/>
  <c r="B137" i="18"/>
  <c r="Z136" i="18"/>
  <c r="X136" i="18"/>
  <c r="L136" i="18"/>
  <c r="N136" i="18" s="1"/>
  <c r="B136" i="18"/>
  <c r="Z135" i="18"/>
  <c r="X135" i="18"/>
  <c r="N135" i="18"/>
  <c r="L135" i="18"/>
  <c r="B135" i="18"/>
  <c r="X134" i="18"/>
  <c r="Z134" i="18" s="1"/>
  <c r="L134" i="18"/>
  <c r="N134" i="18" s="1"/>
  <c r="B134" i="18"/>
  <c r="Z133" i="18"/>
  <c r="X133" i="18"/>
  <c r="N133" i="18"/>
  <c r="L133" i="18"/>
  <c r="B133" i="18"/>
  <c r="X132" i="18"/>
  <c r="Z132" i="18" s="1"/>
  <c r="L132" i="18"/>
  <c r="N132" i="18" s="1"/>
  <c r="B132" i="18"/>
  <c r="Z131" i="18"/>
  <c r="X131" i="18"/>
  <c r="N131" i="18"/>
  <c r="L131" i="18"/>
  <c r="B131" i="18"/>
  <c r="X130" i="18"/>
  <c r="Z130" i="18" s="1"/>
  <c r="L130" i="18"/>
  <c r="N130" i="18" s="1"/>
  <c r="B130" i="18"/>
  <c r="Z129" i="18"/>
  <c r="X129" i="18"/>
  <c r="L129" i="18"/>
  <c r="N129" i="18" s="1"/>
  <c r="B129" i="18"/>
  <c r="Z128" i="18"/>
  <c r="X128" i="18"/>
  <c r="L128" i="18"/>
  <c r="N128" i="18" s="1"/>
  <c r="B128" i="18"/>
  <c r="Z127" i="18"/>
  <c r="X127" i="18"/>
  <c r="N127" i="18"/>
  <c r="L127" i="18"/>
  <c r="B127" i="18"/>
  <c r="X126" i="18"/>
  <c r="Z126" i="18" s="1"/>
  <c r="L126" i="18"/>
  <c r="N126" i="18" s="1"/>
  <c r="B126" i="18"/>
  <c r="T125" i="18"/>
  <c r="P125" i="18"/>
  <c r="X125" i="18" s="1"/>
  <c r="Z125" i="18" s="1"/>
  <c r="H125" i="18"/>
  <c r="D125" i="18"/>
  <c r="L125" i="18" s="1"/>
  <c r="T123" i="18"/>
  <c r="X123" i="18" s="1"/>
  <c r="P123" i="18"/>
  <c r="L123" i="18"/>
  <c r="H123" i="18"/>
  <c r="D123" i="18"/>
  <c r="B123" i="18"/>
  <c r="Z122" i="18"/>
  <c r="X122" i="18"/>
  <c r="T122" i="18"/>
  <c r="P122" i="18"/>
  <c r="L122" i="18"/>
  <c r="N122" i="18" s="1"/>
  <c r="H122" i="18"/>
  <c r="D122" i="18"/>
  <c r="B122" i="18"/>
  <c r="T121" i="18"/>
  <c r="P121" i="18"/>
  <c r="N121" i="18"/>
  <c r="L121" i="18"/>
  <c r="H121" i="18"/>
  <c r="D121" i="18"/>
  <c r="B121" i="18"/>
  <c r="T120" i="18"/>
  <c r="Z120" i="18" s="1"/>
  <c r="P120" i="18"/>
  <c r="X120" i="18" s="1"/>
  <c r="L120" i="18"/>
  <c r="H120" i="18"/>
  <c r="N120" i="18" s="1"/>
  <c r="D120" i="18"/>
  <c r="B120" i="18"/>
  <c r="T119" i="18"/>
  <c r="X119" i="18" s="1"/>
  <c r="P119" i="18"/>
  <c r="L119" i="18"/>
  <c r="H119" i="18"/>
  <c r="N119" i="18" s="1"/>
  <c r="D119" i="18"/>
  <c r="B119" i="18"/>
  <c r="X118" i="18"/>
  <c r="Z118" i="18" s="1"/>
  <c r="T118" i="18"/>
  <c r="P118" i="18"/>
  <c r="L118" i="18"/>
  <c r="N118" i="18" s="1"/>
  <c r="H118" i="18"/>
  <c r="D118" i="18"/>
  <c r="B118" i="18"/>
  <c r="T117" i="18"/>
  <c r="P117" i="18"/>
  <c r="X117" i="18" s="1"/>
  <c r="N117" i="18"/>
  <c r="L117" i="18"/>
  <c r="H117" i="18"/>
  <c r="D117" i="18"/>
  <c r="B117" i="18"/>
  <c r="T116" i="18"/>
  <c r="Z116" i="18" s="1"/>
  <c r="P116" i="18"/>
  <c r="H116" i="18"/>
  <c r="N116" i="18" s="1"/>
  <c r="D116" i="18"/>
  <c r="L116" i="18" s="1"/>
  <c r="B116" i="18"/>
  <c r="T115" i="18"/>
  <c r="X115" i="18" s="1"/>
  <c r="P115" i="18"/>
  <c r="L115" i="18"/>
  <c r="H115" i="18"/>
  <c r="N115" i="18" s="1"/>
  <c r="D115" i="18"/>
  <c r="B115" i="18"/>
  <c r="X114" i="18"/>
  <c r="Z114" i="18" s="1"/>
  <c r="T114" i="18"/>
  <c r="P114" i="18"/>
  <c r="L114" i="18"/>
  <c r="N114" i="18" s="1"/>
  <c r="H114" i="18"/>
  <c r="D114" i="18"/>
  <c r="B114" i="18"/>
  <c r="T113" i="18"/>
  <c r="P113" i="18"/>
  <c r="X113" i="18" s="1"/>
  <c r="N113" i="18"/>
  <c r="L113" i="18"/>
  <c r="H113" i="18"/>
  <c r="D113" i="18"/>
  <c r="B113" i="18"/>
  <c r="T112" i="18"/>
  <c r="P112" i="18"/>
  <c r="X112" i="18" s="1"/>
  <c r="H112" i="18"/>
  <c r="N112" i="18" s="1"/>
  <c r="D112" i="18"/>
  <c r="B112" i="18"/>
  <c r="T111" i="18"/>
  <c r="X111" i="18" s="1"/>
  <c r="P111" i="18"/>
  <c r="L111" i="18"/>
  <c r="H111" i="18"/>
  <c r="N111" i="18" s="1"/>
  <c r="D111" i="18"/>
  <c r="B111" i="18"/>
  <c r="X110" i="18"/>
  <c r="Z110" i="18" s="1"/>
  <c r="T110" i="18"/>
  <c r="P110" i="18"/>
  <c r="L110" i="18"/>
  <c r="N110" i="18" s="1"/>
  <c r="H110" i="18"/>
  <c r="D110" i="18"/>
  <c r="B110" i="18"/>
  <c r="T109" i="18"/>
  <c r="P109" i="18"/>
  <c r="N109" i="18"/>
  <c r="L109" i="18"/>
  <c r="H109" i="18"/>
  <c r="D109" i="18"/>
  <c r="B109" i="18"/>
  <c r="T108" i="18"/>
  <c r="P108" i="18"/>
  <c r="H108" i="18"/>
  <c r="D108" i="18"/>
  <c r="L108" i="18" s="1"/>
  <c r="B108" i="18"/>
  <c r="T107" i="18"/>
  <c r="X107" i="18" s="1"/>
  <c r="P107" i="18"/>
  <c r="L107" i="18"/>
  <c r="H107" i="18"/>
  <c r="N107" i="18" s="1"/>
  <c r="D107" i="18"/>
  <c r="B107" i="18"/>
  <c r="Z106" i="18"/>
  <c r="X106" i="18"/>
  <c r="T106" i="18"/>
  <c r="P106" i="18"/>
  <c r="L106" i="18"/>
  <c r="N106" i="18" s="1"/>
  <c r="H106" i="18"/>
  <c r="D106" i="18"/>
  <c r="B106" i="18"/>
  <c r="T105" i="18"/>
  <c r="Z105" i="18" s="1"/>
  <c r="P105" i="18"/>
  <c r="N105" i="18"/>
  <c r="L105" i="18"/>
  <c r="H105" i="18"/>
  <c r="D105" i="18"/>
  <c r="B105" i="18"/>
  <c r="T104" i="18"/>
  <c r="Z104" i="18" s="1"/>
  <c r="P104" i="18"/>
  <c r="X104" i="18" s="1"/>
  <c r="H104" i="18"/>
  <c r="D104" i="18"/>
  <c r="B104" i="18"/>
  <c r="T103" i="18"/>
  <c r="X103" i="18" s="1"/>
  <c r="P103" i="18"/>
  <c r="L103" i="18"/>
  <c r="H103" i="18"/>
  <c r="N103" i="18" s="1"/>
  <c r="D103" i="18"/>
  <c r="B103" i="18"/>
  <c r="Z102" i="18"/>
  <c r="X102" i="18"/>
  <c r="T102" i="18"/>
  <c r="P102" i="18"/>
  <c r="L102" i="18"/>
  <c r="N102" i="18" s="1"/>
  <c r="H102" i="18"/>
  <c r="D102" i="18"/>
  <c r="B102" i="18"/>
  <c r="T101" i="18"/>
  <c r="P101" i="18"/>
  <c r="X101" i="18" s="1"/>
  <c r="N101" i="18"/>
  <c r="L101" i="18"/>
  <c r="H101" i="18"/>
  <c r="D101" i="18"/>
  <c r="B101" i="18"/>
  <c r="T100" i="18"/>
  <c r="P100" i="18"/>
  <c r="H100" i="18"/>
  <c r="D100" i="18"/>
  <c r="L100" i="18" s="1"/>
  <c r="B100" i="18"/>
  <c r="T99" i="18"/>
  <c r="X99" i="18" s="1"/>
  <c r="P99" i="18"/>
  <c r="L99" i="18"/>
  <c r="H99" i="18"/>
  <c r="N99" i="18" s="1"/>
  <c r="D99" i="18"/>
  <c r="B99" i="18"/>
  <c r="X98" i="18"/>
  <c r="Z98" i="18" s="1"/>
  <c r="T98" i="18"/>
  <c r="P98" i="18"/>
  <c r="L98" i="18"/>
  <c r="N98" i="18" s="1"/>
  <c r="H98" i="18"/>
  <c r="D98" i="18"/>
  <c r="B98" i="18"/>
  <c r="T97" i="18"/>
  <c r="P97" i="18"/>
  <c r="X97" i="18" s="1"/>
  <c r="N97" i="18"/>
  <c r="L97" i="18"/>
  <c r="H97" i="18"/>
  <c r="D97" i="18"/>
  <c r="B97" i="18"/>
  <c r="T96" i="18"/>
  <c r="P96" i="18"/>
  <c r="X96" i="18" s="1"/>
  <c r="H96" i="18"/>
  <c r="D96" i="18"/>
  <c r="B96" i="18"/>
  <c r="T95" i="18"/>
  <c r="X95" i="18" s="1"/>
  <c r="P95" i="18"/>
  <c r="L95" i="18"/>
  <c r="H95" i="18"/>
  <c r="N95" i="18" s="1"/>
  <c r="D95" i="18"/>
  <c r="B95" i="18"/>
  <c r="X94" i="18"/>
  <c r="Z94" i="18" s="1"/>
  <c r="T94" i="18"/>
  <c r="P94" i="18"/>
  <c r="N94" i="18"/>
  <c r="L94" i="18"/>
  <c r="H94" i="18"/>
  <c r="D94" i="18"/>
  <c r="B94" i="18"/>
  <c r="T93" i="18"/>
  <c r="P93" i="18"/>
  <c r="X93" i="18" s="1"/>
  <c r="N93" i="18"/>
  <c r="L93" i="18"/>
  <c r="H93" i="18"/>
  <c r="D93" i="18"/>
  <c r="B93" i="18"/>
  <c r="T92" i="18"/>
  <c r="P92" i="18"/>
  <c r="X92" i="18" s="1"/>
  <c r="H92" i="18"/>
  <c r="D92" i="18"/>
  <c r="L92" i="18" s="1"/>
  <c r="B92" i="18"/>
  <c r="T91" i="18"/>
  <c r="X91" i="18" s="1"/>
  <c r="P91" i="18"/>
  <c r="L91" i="18"/>
  <c r="H91" i="18"/>
  <c r="N91" i="18" s="1"/>
  <c r="D91" i="18"/>
  <c r="B91" i="18"/>
  <c r="X90" i="18"/>
  <c r="Z90" i="18" s="1"/>
  <c r="T90" i="18"/>
  <c r="P90" i="18"/>
  <c r="N90" i="18"/>
  <c r="L90" i="18"/>
  <c r="H90" i="18"/>
  <c r="D90" i="18"/>
  <c r="B90" i="18"/>
  <c r="T89" i="18"/>
  <c r="P89" i="18"/>
  <c r="N89" i="18"/>
  <c r="L89" i="18"/>
  <c r="H89" i="18"/>
  <c r="D89" i="18"/>
  <c r="B89" i="18"/>
  <c r="T88" i="18"/>
  <c r="P88" i="18"/>
  <c r="X88" i="18" s="1"/>
  <c r="L88" i="18"/>
  <c r="H88" i="18"/>
  <c r="N88" i="18" s="1"/>
  <c r="D88" i="18"/>
  <c r="B88" i="18"/>
  <c r="T87" i="18"/>
  <c r="X87" i="18" s="1"/>
  <c r="P87" i="18"/>
  <c r="L87" i="18"/>
  <c r="H87" i="18"/>
  <c r="N87" i="18" s="1"/>
  <c r="D87" i="18"/>
  <c r="B87" i="18"/>
  <c r="X86" i="18"/>
  <c r="Z86" i="18" s="1"/>
  <c r="T86" i="18"/>
  <c r="P86" i="18"/>
  <c r="N86" i="18"/>
  <c r="L86" i="18"/>
  <c r="H86" i="18"/>
  <c r="D86" i="18"/>
  <c r="B86" i="18"/>
  <c r="T85" i="18"/>
  <c r="P85" i="18"/>
  <c r="X85" i="18" s="1"/>
  <c r="N85" i="18"/>
  <c r="L85" i="18"/>
  <c r="H85" i="18"/>
  <c r="D85" i="18"/>
  <c r="B85" i="18"/>
  <c r="T84" i="18"/>
  <c r="P84" i="18"/>
  <c r="X84" i="18" s="1"/>
  <c r="H84" i="18"/>
  <c r="N84" i="18" s="1"/>
  <c r="D84" i="18"/>
  <c r="B84" i="18"/>
  <c r="T83" i="18"/>
  <c r="X83" i="18" s="1"/>
  <c r="P83" i="18"/>
  <c r="L83" i="18"/>
  <c r="H83" i="18"/>
  <c r="D83" i="18"/>
  <c r="B83" i="18"/>
  <c r="X82" i="18"/>
  <c r="Z82" i="18" s="1"/>
  <c r="T82" i="18"/>
  <c r="P82" i="18"/>
  <c r="L82" i="18"/>
  <c r="N82" i="18" s="1"/>
  <c r="H82" i="18"/>
  <c r="D82" i="18"/>
  <c r="B82" i="18"/>
  <c r="T81" i="18"/>
  <c r="P81" i="18"/>
  <c r="N81" i="18"/>
  <c r="L81" i="18"/>
  <c r="H81" i="18"/>
  <c r="D81" i="18"/>
  <c r="B81" i="18"/>
  <c r="T80" i="18"/>
  <c r="P80" i="18"/>
  <c r="H80" i="18"/>
  <c r="D80" i="18"/>
  <c r="L80" i="18" s="1"/>
  <c r="B80" i="18"/>
  <c r="T79" i="18"/>
  <c r="X79" i="18" s="1"/>
  <c r="P79" i="18"/>
  <c r="L79" i="18"/>
  <c r="H79" i="18"/>
  <c r="D79" i="18"/>
  <c r="B79" i="18"/>
  <c r="Z78" i="18"/>
  <c r="X78" i="18"/>
  <c r="T78" i="18"/>
  <c r="P78" i="18"/>
  <c r="L78" i="18"/>
  <c r="N78" i="18" s="1"/>
  <c r="H78" i="18"/>
  <c r="D78" i="18"/>
  <c r="B78" i="18"/>
  <c r="T77" i="18"/>
  <c r="P77" i="18"/>
  <c r="N77" i="18"/>
  <c r="L77" i="18"/>
  <c r="H77" i="18"/>
  <c r="D77" i="18"/>
  <c r="B77" i="18"/>
  <c r="T76" i="18"/>
  <c r="P76" i="18"/>
  <c r="H76" i="18"/>
  <c r="D76" i="18"/>
  <c r="B76" i="18"/>
  <c r="T75" i="18"/>
  <c r="X75" i="18" s="1"/>
  <c r="P75" i="18"/>
  <c r="L75" i="18"/>
  <c r="H75" i="18"/>
  <c r="N75" i="18" s="1"/>
  <c r="D75" i="18"/>
  <c r="B75" i="18"/>
  <c r="Z74" i="18"/>
  <c r="X74" i="18"/>
  <c r="T74" i="18"/>
  <c r="P74" i="18"/>
  <c r="L74" i="18"/>
  <c r="N74" i="18" s="1"/>
  <c r="H74" i="18"/>
  <c r="D74" i="18"/>
  <c r="B74" i="18"/>
  <c r="T73" i="18"/>
  <c r="P73" i="18"/>
  <c r="X73" i="18" s="1"/>
  <c r="N73" i="18"/>
  <c r="L73" i="18"/>
  <c r="H73" i="18"/>
  <c r="D73" i="18"/>
  <c r="B73" i="18"/>
  <c r="T72" i="18"/>
  <c r="P72" i="18"/>
  <c r="H72" i="18"/>
  <c r="D72" i="18"/>
  <c r="L72" i="18" s="1"/>
  <c r="B72" i="18"/>
  <c r="T71" i="18"/>
  <c r="X71" i="18" s="1"/>
  <c r="P71" i="18"/>
  <c r="L71" i="18"/>
  <c r="H71" i="18"/>
  <c r="N71" i="18" s="1"/>
  <c r="D71" i="18"/>
  <c r="B71" i="18"/>
  <c r="X70" i="18"/>
  <c r="Z70" i="18" s="1"/>
  <c r="T70" i="18"/>
  <c r="P70" i="18"/>
  <c r="L70" i="18"/>
  <c r="N70" i="18" s="1"/>
  <c r="H70" i="18"/>
  <c r="D70" i="18"/>
  <c r="B70" i="18"/>
  <c r="T69" i="18"/>
  <c r="P69" i="18"/>
  <c r="X69" i="18" s="1"/>
  <c r="N69" i="18"/>
  <c r="L69" i="18"/>
  <c r="H69" i="18"/>
  <c r="D69" i="18"/>
  <c r="B69" i="18"/>
  <c r="T68" i="18"/>
  <c r="P68" i="18"/>
  <c r="X68" i="18" s="1"/>
  <c r="H68" i="18"/>
  <c r="D68" i="18"/>
  <c r="B68" i="18"/>
  <c r="T67" i="18"/>
  <c r="P67" i="18"/>
  <c r="L67" i="18"/>
  <c r="H67" i="18"/>
  <c r="N67" i="18" s="1"/>
  <c r="D67" i="18"/>
  <c r="B67" i="18"/>
  <c r="X66" i="18"/>
  <c r="Z66" i="18" s="1"/>
  <c r="T66" i="18"/>
  <c r="P66" i="18"/>
  <c r="L66" i="18"/>
  <c r="N66" i="18" s="1"/>
  <c r="H66" i="18"/>
  <c r="D66" i="18"/>
  <c r="B66" i="18"/>
  <c r="T65" i="18"/>
  <c r="P65" i="18"/>
  <c r="N65" i="18"/>
  <c r="L65" i="18"/>
  <c r="H65" i="18"/>
  <c r="D65" i="18"/>
  <c r="B65" i="18"/>
  <c r="T64" i="18"/>
  <c r="P64" i="18"/>
  <c r="H64" i="18"/>
  <c r="D64" i="18"/>
  <c r="L64" i="18" s="1"/>
  <c r="B64" i="18"/>
  <c r="T63" i="18"/>
  <c r="P63" i="18"/>
  <c r="L63" i="18"/>
  <c r="H63" i="18"/>
  <c r="D63" i="18"/>
  <c r="B63" i="18"/>
  <c r="Z62" i="18"/>
  <c r="X62" i="18"/>
  <c r="T62" i="18"/>
  <c r="P62" i="18"/>
  <c r="L62" i="18"/>
  <c r="N62" i="18" s="1"/>
  <c r="H62" i="18"/>
  <c r="D62" i="18"/>
  <c r="B62" i="18"/>
  <c r="T61" i="18"/>
  <c r="P61" i="18"/>
  <c r="N61" i="18"/>
  <c r="L61" i="18"/>
  <c r="H61" i="18"/>
  <c r="D61" i="18"/>
  <c r="B61" i="18"/>
  <c r="T60" i="18"/>
  <c r="P60" i="18"/>
  <c r="H60" i="18"/>
  <c r="D60" i="18"/>
  <c r="B60" i="18"/>
  <c r="T59" i="18"/>
  <c r="P59" i="18"/>
  <c r="L59" i="18"/>
  <c r="H59" i="18"/>
  <c r="N59" i="18" s="1"/>
  <c r="D59" i="18"/>
  <c r="B59" i="18"/>
  <c r="Z58" i="18"/>
  <c r="X58" i="18"/>
  <c r="T58" i="18"/>
  <c r="P58" i="18"/>
  <c r="L58" i="18"/>
  <c r="N58" i="18" s="1"/>
  <c r="H58" i="18"/>
  <c r="D58" i="18"/>
  <c r="B58" i="18"/>
  <c r="T57" i="18"/>
  <c r="P57" i="18"/>
  <c r="X57" i="18" s="1"/>
  <c r="N57" i="18"/>
  <c r="L57" i="18"/>
  <c r="H57" i="18"/>
  <c r="D57" i="18"/>
  <c r="B57" i="18"/>
  <c r="T56" i="18"/>
  <c r="P56" i="18"/>
  <c r="H56" i="18"/>
  <c r="N56" i="18" s="1"/>
  <c r="D56" i="18"/>
  <c r="L56" i="18" s="1"/>
  <c r="B56" i="18"/>
  <c r="T55" i="18"/>
  <c r="P55" i="18"/>
  <c r="L55" i="18"/>
  <c r="H55" i="18"/>
  <c r="N55" i="18" s="1"/>
  <c r="D55" i="18"/>
  <c r="B55" i="18"/>
  <c r="X54" i="18"/>
  <c r="Z54" i="18" s="1"/>
  <c r="T54" i="18"/>
  <c r="P54" i="18"/>
  <c r="L54" i="18"/>
  <c r="N54" i="18" s="1"/>
  <c r="H54" i="18"/>
  <c r="D54" i="18"/>
  <c r="B54" i="18"/>
  <c r="T53" i="18"/>
  <c r="P53" i="18"/>
  <c r="X53" i="18" s="1"/>
  <c r="N53" i="18"/>
  <c r="L53" i="18"/>
  <c r="H53" i="18"/>
  <c r="D53" i="18"/>
  <c r="B53" i="18"/>
  <c r="T52" i="18"/>
  <c r="P52" i="18"/>
  <c r="X52" i="18" s="1"/>
  <c r="H52" i="18"/>
  <c r="D52" i="18"/>
  <c r="B52" i="18"/>
  <c r="T51" i="18"/>
  <c r="P51" i="18"/>
  <c r="L51" i="18"/>
  <c r="H51" i="18"/>
  <c r="N51" i="18" s="1"/>
  <c r="D51" i="18"/>
  <c r="B51" i="18"/>
  <c r="X50" i="18"/>
  <c r="Z50" i="18" s="1"/>
  <c r="T50" i="18"/>
  <c r="P50" i="18"/>
  <c r="L50" i="18"/>
  <c r="N50" i="18" s="1"/>
  <c r="H50" i="18"/>
  <c r="D50" i="18"/>
  <c r="B50" i="18"/>
  <c r="T49" i="18"/>
  <c r="P49" i="18"/>
  <c r="X49" i="18" s="1"/>
  <c r="N49" i="18"/>
  <c r="L49" i="18"/>
  <c r="H49" i="18"/>
  <c r="D49" i="18"/>
  <c r="B49" i="18"/>
  <c r="T48" i="18"/>
  <c r="P48" i="18"/>
  <c r="H48" i="18"/>
  <c r="D48" i="18"/>
  <c r="L48" i="18" s="1"/>
  <c r="B48" i="18"/>
  <c r="T47" i="18"/>
  <c r="P47" i="18"/>
  <c r="L47" i="18"/>
  <c r="H47" i="18"/>
  <c r="D47" i="18"/>
  <c r="B47" i="18"/>
  <c r="Z46" i="18"/>
  <c r="X46" i="18"/>
  <c r="T46" i="18"/>
  <c r="P46" i="18"/>
  <c r="L46" i="18"/>
  <c r="N46" i="18" s="1"/>
  <c r="H46" i="18"/>
  <c r="D46" i="18"/>
  <c r="B46" i="18"/>
  <c r="T45" i="18"/>
  <c r="P45" i="18"/>
  <c r="N45" i="18"/>
  <c r="L45" i="18"/>
  <c r="H45" i="18"/>
  <c r="D45" i="18"/>
  <c r="B45" i="18"/>
  <c r="T44" i="18"/>
  <c r="P44" i="18"/>
  <c r="L44" i="18"/>
  <c r="H44" i="18"/>
  <c r="D44" i="18"/>
  <c r="B44" i="18"/>
  <c r="T43" i="18"/>
  <c r="P43" i="18"/>
  <c r="L43" i="18"/>
  <c r="H43" i="18"/>
  <c r="N43" i="18" s="1"/>
  <c r="D43" i="18"/>
  <c r="B43" i="18"/>
  <c r="Z42" i="18"/>
  <c r="X42" i="18"/>
  <c r="T42" i="18"/>
  <c r="P42" i="18"/>
  <c r="L42" i="18"/>
  <c r="N42" i="18" s="1"/>
  <c r="H42" i="18"/>
  <c r="D42" i="18"/>
  <c r="B42" i="18"/>
  <c r="T41" i="18"/>
  <c r="P41" i="18"/>
  <c r="X41" i="18" s="1"/>
  <c r="N41" i="18"/>
  <c r="L41" i="18"/>
  <c r="H41" i="18"/>
  <c r="D41" i="18"/>
  <c r="B41" i="18"/>
  <c r="T40" i="18"/>
  <c r="P40" i="18"/>
  <c r="X40" i="18" s="1"/>
  <c r="H40" i="18"/>
  <c r="D40" i="18"/>
  <c r="L40" i="18" s="1"/>
  <c r="B40" i="18"/>
  <c r="T39" i="18"/>
  <c r="P39" i="18"/>
  <c r="L39" i="18"/>
  <c r="H39" i="18"/>
  <c r="N39" i="18" s="1"/>
  <c r="D39" i="18"/>
  <c r="B39" i="18"/>
  <c r="Z38" i="18"/>
  <c r="X38" i="18"/>
  <c r="T38" i="18"/>
  <c r="P38" i="18"/>
  <c r="L38" i="18"/>
  <c r="N38" i="18" s="1"/>
  <c r="H38" i="18"/>
  <c r="D38" i="18"/>
  <c r="B38" i="18"/>
  <c r="T37" i="18"/>
  <c r="P37" i="18"/>
  <c r="X37" i="18" s="1"/>
  <c r="N37" i="18"/>
  <c r="L37" i="18"/>
  <c r="H37" i="18"/>
  <c r="D37" i="18"/>
  <c r="B37" i="18"/>
  <c r="T36" i="18"/>
  <c r="P36" i="18"/>
  <c r="X36" i="18" s="1"/>
  <c r="H36" i="18"/>
  <c r="D36" i="18"/>
  <c r="B36" i="18"/>
  <c r="T35" i="18"/>
  <c r="P35" i="18"/>
  <c r="L35" i="18"/>
  <c r="H35" i="18"/>
  <c r="D35" i="18"/>
  <c r="B35" i="18"/>
  <c r="X34" i="18"/>
  <c r="Z34" i="18" s="1"/>
  <c r="T34" i="18"/>
  <c r="P34" i="18"/>
  <c r="L34" i="18"/>
  <c r="N34" i="18" s="1"/>
  <c r="H34" i="18"/>
  <c r="D34" i="18"/>
  <c r="B34" i="18"/>
  <c r="T33" i="18"/>
  <c r="P33" i="18"/>
  <c r="N33" i="18"/>
  <c r="L33" i="18"/>
  <c r="H33" i="18"/>
  <c r="D33" i="18"/>
  <c r="B33" i="18"/>
  <c r="T32" i="18"/>
  <c r="P32" i="18"/>
  <c r="H32" i="18"/>
  <c r="D32" i="18"/>
  <c r="L32" i="18" s="1"/>
  <c r="B32" i="18"/>
  <c r="T31" i="18"/>
  <c r="P31" i="18"/>
  <c r="L31" i="18"/>
  <c r="H31" i="18"/>
  <c r="D31" i="18"/>
  <c r="B31" i="18"/>
  <c r="Z30" i="18"/>
  <c r="X30" i="18"/>
  <c r="T30" i="18"/>
  <c r="P30" i="18"/>
  <c r="L30" i="18"/>
  <c r="N30" i="18" s="1"/>
  <c r="H30" i="18"/>
  <c r="D30" i="18"/>
  <c r="B30" i="18"/>
  <c r="T29" i="18"/>
  <c r="P29" i="18"/>
  <c r="N29" i="18"/>
  <c r="L29" i="18"/>
  <c r="H29" i="18"/>
  <c r="D29" i="18"/>
  <c r="B29" i="18"/>
  <c r="T28" i="18"/>
  <c r="P28" i="18"/>
  <c r="H28" i="18"/>
  <c r="D28" i="18"/>
  <c r="L28" i="18" s="1"/>
  <c r="B28" i="18"/>
  <c r="T27" i="18"/>
  <c r="P27" i="18"/>
  <c r="L27" i="18"/>
  <c r="H27" i="18"/>
  <c r="N27" i="18" s="1"/>
  <c r="D27" i="18"/>
  <c r="B27" i="18"/>
  <c r="Z26" i="18"/>
  <c r="X26" i="18"/>
  <c r="T26" i="18"/>
  <c r="P26" i="18"/>
  <c r="L26" i="18"/>
  <c r="N26" i="18" s="1"/>
  <c r="H26" i="18"/>
  <c r="D26" i="18"/>
  <c r="B26" i="18"/>
  <c r="T25" i="18"/>
  <c r="P25" i="18"/>
  <c r="X25" i="18" s="1"/>
  <c r="N25" i="18"/>
  <c r="L25" i="18"/>
  <c r="H25" i="18"/>
  <c r="D25" i="18"/>
  <c r="B25" i="18"/>
  <c r="T24" i="18"/>
  <c r="P24" i="18"/>
  <c r="H24" i="18"/>
  <c r="D24" i="18"/>
  <c r="L24" i="18" s="1"/>
  <c r="B24" i="18"/>
  <c r="T23" i="18"/>
  <c r="P23" i="18"/>
  <c r="L23" i="18"/>
  <c r="H23" i="18"/>
  <c r="N23" i="18" s="1"/>
  <c r="D23" i="18"/>
  <c r="B23" i="18"/>
  <c r="X22" i="18"/>
  <c r="Z22" i="18" s="1"/>
  <c r="T22" i="18"/>
  <c r="P22" i="18"/>
  <c r="L22" i="18"/>
  <c r="N22" i="18" s="1"/>
  <c r="H22" i="18"/>
  <c r="D22" i="18"/>
  <c r="B22" i="18"/>
  <c r="T21" i="18"/>
  <c r="P21" i="18"/>
  <c r="X21" i="18" s="1"/>
  <c r="N21" i="18"/>
  <c r="L21" i="18"/>
  <c r="H21" i="18"/>
  <c r="D21" i="18"/>
  <c r="B21" i="18"/>
  <c r="T20" i="18"/>
  <c r="P20" i="18"/>
  <c r="X20" i="18" s="1"/>
  <c r="H20" i="18"/>
  <c r="D20" i="18"/>
  <c r="B20" i="18"/>
  <c r="T19" i="18"/>
  <c r="P19" i="18"/>
  <c r="L19" i="18"/>
  <c r="H19" i="18"/>
  <c r="N19" i="18" s="1"/>
  <c r="D19" i="18"/>
  <c r="B19" i="18"/>
  <c r="X18" i="18"/>
  <c r="Z18" i="18" s="1"/>
  <c r="T18" i="18"/>
  <c r="P18" i="18"/>
  <c r="L18" i="18"/>
  <c r="N18" i="18" s="1"/>
  <c r="H18" i="18"/>
  <c r="D18" i="18"/>
  <c r="B18" i="18"/>
  <c r="T17" i="18"/>
  <c r="P17" i="18"/>
  <c r="N17" i="18"/>
  <c r="L17" i="18"/>
  <c r="H17" i="18"/>
  <c r="D17" i="18"/>
  <c r="B17" i="18"/>
  <c r="T16" i="18"/>
  <c r="P16" i="18"/>
  <c r="H16" i="18"/>
  <c r="N16" i="18" s="1"/>
  <c r="D16" i="18"/>
  <c r="L16" i="18" s="1"/>
  <c r="B16" i="18"/>
  <c r="T15" i="18"/>
  <c r="P15" i="18"/>
  <c r="L15" i="18"/>
  <c r="H15" i="18"/>
  <c r="D15" i="18"/>
  <c r="B15" i="18"/>
  <c r="Z14" i="18"/>
  <c r="X14" i="18"/>
  <c r="T14" i="18"/>
  <c r="P14" i="18"/>
  <c r="L14" i="18"/>
  <c r="N14" i="18" s="1"/>
  <c r="H14" i="18"/>
  <c r="D14" i="18"/>
  <c r="B14" i="18"/>
  <c r="T13" i="18"/>
  <c r="P13" i="18"/>
  <c r="N13" i="18"/>
  <c r="L13" i="18"/>
  <c r="H13" i="18"/>
  <c r="D13" i="18"/>
  <c r="B13" i="18"/>
  <c r="D12" i="18"/>
  <c r="F211" i="18" s="1"/>
  <c r="D4" i="18"/>
  <c r="Z261" i="15"/>
  <c r="X261" i="15"/>
  <c r="N261" i="15"/>
  <c r="L261" i="15"/>
  <c r="Z257" i="15"/>
  <c r="X257" i="15"/>
  <c r="T257" i="15"/>
  <c r="P257" i="15"/>
  <c r="L257" i="15"/>
  <c r="H257" i="15"/>
  <c r="N257" i="15" s="1"/>
  <c r="D257" i="15"/>
  <c r="B257" i="15"/>
  <c r="T256" i="15"/>
  <c r="P256" i="15"/>
  <c r="X256" i="15" s="1"/>
  <c r="Z256" i="15" s="1"/>
  <c r="H256" i="15"/>
  <c r="N256" i="15" s="1"/>
  <c r="D256" i="15"/>
  <c r="B256" i="15"/>
  <c r="Z255" i="15"/>
  <c r="T255" i="15"/>
  <c r="P255" i="15"/>
  <c r="X255" i="15" s="1"/>
  <c r="H255" i="15"/>
  <c r="N255" i="15" s="1"/>
  <c r="D255" i="15"/>
  <c r="L255" i="15" s="1"/>
  <c r="B255" i="15"/>
  <c r="X254" i="15"/>
  <c r="Z254" i="15" s="1"/>
  <c r="T254" i="15"/>
  <c r="P254" i="15"/>
  <c r="H254" i="15"/>
  <c r="D254" i="15"/>
  <c r="B254" i="15"/>
  <c r="T253" i="15"/>
  <c r="P253" i="15"/>
  <c r="H253" i="15"/>
  <c r="N253" i="15" s="1"/>
  <c r="D253" i="15"/>
  <c r="B253" i="15"/>
  <c r="T252" i="15"/>
  <c r="P252" i="15"/>
  <c r="X252" i="15" s="1"/>
  <c r="N252" i="15"/>
  <c r="L252" i="15"/>
  <c r="H252" i="15"/>
  <c r="D252" i="15"/>
  <c r="B252" i="15"/>
  <c r="T251" i="15"/>
  <c r="P251" i="15"/>
  <c r="X251" i="15" s="1"/>
  <c r="N251" i="15"/>
  <c r="L251" i="15"/>
  <c r="H251" i="15"/>
  <c r="D251" i="15"/>
  <c r="B251" i="15"/>
  <c r="T250" i="15"/>
  <c r="P250" i="15"/>
  <c r="H250" i="15"/>
  <c r="D250" i="15"/>
  <c r="B250" i="15"/>
  <c r="T249" i="15"/>
  <c r="P249" i="15"/>
  <c r="H249" i="15"/>
  <c r="D249" i="15"/>
  <c r="B249" i="15"/>
  <c r="X246" i="15"/>
  <c r="Z246" i="15" s="1"/>
  <c r="N246" i="15"/>
  <c r="L246" i="15"/>
  <c r="B246" i="15"/>
  <c r="T245" i="15"/>
  <c r="P245" i="15"/>
  <c r="X245" i="15" s="1"/>
  <c r="N245" i="15"/>
  <c r="L245" i="15"/>
  <c r="H245" i="15"/>
  <c r="D245" i="15"/>
  <c r="B245" i="15"/>
  <c r="Z244" i="15"/>
  <c r="X244" i="15"/>
  <c r="L244" i="15"/>
  <c r="N244" i="15" s="1"/>
  <c r="B244" i="15"/>
  <c r="Z243" i="15"/>
  <c r="X243" i="15"/>
  <c r="N243" i="15"/>
  <c r="L243" i="15"/>
  <c r="B243" i="15"/>
  <c r="Z242" i="15"/>
  <c r="X242" i="15"/>
  <c r="L242" i="15"/>
  <c r="N242" i="15" s="1"/>
  <c r="B242" i="15"/>
  <c r="Z241" i="15"/>
  <c r="X241" i="15"/>
  <c r="T241" i="15"/>
  <c r="P241" i="15"/>
  <c r="H241" i="15"/>
  <c r="D241" i="15"/>
  <c r="L241" i="15" s="1"/>
  <c r="N241" i="15" s="1"/>
  <c r="B241" i="15"/>
  <c r="Z240" i="15"/>
  <c r="X240" i="15"/>
  <c r="L240" i="15"/>
  <c r="N240" i="15" s="1"/>
  <c r="B240" i="15"/>
  <c r="T239" i="15"/>
  <c r="P239" i="15"/>
  <c r="X239" i="15" s="1"/>
  <c r="H239" i="15"/>
  <c r="D239" i="15"/>
  <c r="L239" i="15" s="1"/>
  <c r="B239" i="15"/>
  <c r="X238" i="15"/>
  <c r="Z238" i="15" s="1"/>
  <c r="N238" i="15"/>
  <c r="L238" i="15"/>
  <c r="B238" i="15"/>
  <c r="X237" i="15"/>
  <c r="Z237" i="15" s="1"/>
  <c r="N237" i="15"/>
  <c r="L237" i="15"/>
  <c r="B237" i="15"/>
  <c r="X236" i="15"/>
  <c r="T236" i="15"/>
  <c r="P236" i="15"/>
  <c r="L236" i="15"/>
  <c r="H236" i="15"/>
  <c r="D236" i="15"/>
  <c r="B236" i="15"/>
  <c r="Z235" i="15"/>
  <c r="X235" i="15"/>
  <c r="N235" i="15"/>
  <c r="L235" i="15"/>
  <c r="B235" i="15"/>
  <c r="Z234" i="15"/>
  <c r="X234" i="15"/>
  <c r="L234" i="15"/>
  <c r="N234" i="15" s="1"/>
  <c r="B234" i="15"/>
  <c r="X233" i="15"/>
  <c r="Z233" i="15" s="1"/>
  <c r="L233" i="15"/>
  <c r="N233" i="15" s="1"/>
  <c r="B233" i="15"/>
  <c r="Z232" i="15"/>
  <c r="X232" i="15"/>
  <c r="L232" i="15"/>
  <c r="N232" i="15" s="1"/>
  <c r="B232" i="15"/>
  <c r="Z231" i="15"/>
  <c r="X231" i="15"/>
  <c r="N231" i="15"/>
  <c r="L231" i="15"/>
  <c r="B231" i="15"/>
  <c r="Z230" i="15"/>
  <c r="X230" i="15"/>
  <c r="L230" i="15"/>
  <c r="N230" i="15" s="1"/>
  <c r="B230" i="15"/>
  <c r="X229" i="15"/>
  <c r="Z229" i="15" s="1"/>
  <c r="L229" i="15"/>
  <c r="N229" i="15" s="1"/>
  <c r="B229" i="15"/>
  <c r="T228" i="15"/>
  <c r="P228" i="15"/>
  <c r="X228" i="15" s="1"/>
  <c r="Z228" i="15" s="1"/>
  <c r="H228" i="15"/>
  <c r="D228" i="15"/>
  <c r="L228" i="15" s="1"/>
  <c r="B228" i="15"/>
  <c r="Z227" i="15"/>
  <c r="X227" i="15"/>
  <c r="N227" i="15"/>
  <c r="L227" i="15"/>
  <c r="B227" i="15"/>
  <c r="X226" i="15"/>
  <c r="Z226" i="15" s="1"/>
  <c r="L226" i="15"/>
  <c r="N226" i="15" s="1"/>
  <c r="B226" i="15"/>
  <c r="T225" i="15"/>
  <c r="P225" i="15"/>
  <c r="X225" i="15" s="1"/>
  <c r="H225" i="15"/>
  <c r="D225" i="15"/>
  <c r="B225" i="15"/>
  <c r="X224" i="15"/>
  <c r="Z224" i="15" s="1"/>
  <c r="N224" i="15"/>
  <c r="L224" i="15"/>
  <c r="B224" i="15"/>
  <c r="Z223" i="15"/>
  <c r="X223" i="15"/>
  <c r="N223" i="15"/>
  <c r="L223" i="15"/>
  <c r="B223" i="15"/>
  <c r="X222" i="15"/>
  <c r="Z222" i="15" s="1"/>
  <c r="N222" i="15"/>
  <c r="L222" i="15"/>
  <c r="B222" i="15"/>
  <c r="X221" i="15"/>
  <c r="Z221" i="15" s="1"/>
  <c r="N221" i="15"/>
  <c r="L221" i="15"/>
  <c r="B221" i="15"/>
  <c r="T220" i="15"/>
  <c r="P220" i="15"/>
  <c r="X220" i="15" s="1"/>
  <c r="H220" i="15"/>
  <c r="D220" i="15"/>
  <c r="B220" i="15"/>
  <c r="Z219" i="15"/>
  <c r="X219" i="15"/>
  <c r="N219" i="15"/>
  <c r="L219" i="15"/>
  <c r="B219" i="15"/>
  <c r="Z218" i="15"/>
  <c r="X218" i="15"/>
  <c r="L218" i="15"/>
  <c r="N218" i="15" s="1"/>
  <c r="B218" i="15"/>
  <c r="X217" i="15"/>
  <c r="Z217" i="15" s="1"/>
  <c r="L217" i="15"/>
  <c r="N217" i="15" s="1"/>
  <c r="B217" i="15"/>
  <c r="X216" i="15"/>
  <c r="T216" i="15"/>
  <c r="P216" i="15"/>
  <c r="H216" i="15"/>
  <c r="D216" i="15"/>
  <c r="B216" i="15"/>
  <c r="Z215" i="15"/>
  <c r="X215" i="15"/>
  <c r="N215" i="15"/>
  <c r="L215" i="15"/>
  <c r="B215" i="15"/>
  <c r="X214" i="15"/>
  <c r="Z214" i="15" s="1"/>
  <c r="L214" i="15"/>
  <c r="N214" i="15" s="1"/>
  <c r="B214" i="15"/>
  <c r="X213" i="15"/>
  <c r="Z213" i="15" s="1"/>
  <c r="L213" i="15"/>
  <c r="N213" i="15" s="1"/>
  <c r="B213" i="15"/>
  <c r="T212" i="15"/>
  <c r="P212" i="15"/>
  <c r="X212" i="15" s="1"/>
  <c r="Z212" i="15" s="1"/>
  <c r="H212" i="15"/>
  <c r="D212" i="15"/>
  <c r="L212" i="15" s="1"/>
  <c r="B212" i="15"/>
  <c r="X211" i="15"/>
  <c r="Z211" i="15" s="1"/>
  <c r="N211" i="15"/>
  <c r="L211" i="15"/>
  <c r="B211" i="15"/>
  <c r="X210" i="15"/>
  <c r="T210" i="15"/>
  <c r="P210" i="15"/>
  <c r="H210" i="15"/>
  <c r="D210" i="15"/>
  <c r="L210" i="15" s="1"/>
  <c r="B210" i="15"/>
  <c r="X209" i="15"/>
  <c r="Z209" i="15" s="1"/>
  <c r="N209" i="15"/>
  <c r="L209" i="15"/>
  <c r="B209" i="15"/>
  <c r="Z208" i="15"/>
  <c r="X208" i="15"/>
  <c r="T208" i="15"/>
  <c r="P208" i="15"/>
  <c r="N208" i="15"/>
  <c r="H208" i="15"/>
  <c r="D208" i="15"/>
  <c r="L208" i="15" s="1"/>
  <c r="B208" i="15"/>
  <c r="Z207" i="15"/>
  <c r="X207" i="15"/>
  <c r="N207" i="15"/>
  <c r="L207" i="15"/>
  <c r="B207" i="15"/>
  <c r="T206" i="15"/>
  <c r="P206" i="15"/>
  <c r="H206" i="15"/>
  <c r="D206" i="15"/>
  <c r="L206" i="15" s="1"/>
  <c r="N206" i="15" s="1"/>
  <c r="B206" i="15"/>
  <c r="X205" i="15"/>
  <c r="Z205" i="15" s="1"/>
  <c r="N205" i="15"/>
  <c r="L205" i="15"/>
  <c r="B205" i="15"/>
  <c r="T204" i="15"/>
  <c r="Z204" i="15" s="1"/>
  <c r="P204" i="15"/>
  <c r="X204" i="15" s="1"/>
  <c r="H204" i="15"/>
  <c r="D204" i="15"/>
  <c r="B204" i="15"/>
  <c r="Z203" i="15"/>
  <c r="X203" i="15"/>
  <c r="N203" i="15"/>
  <c r="L203" i="15"/>
  <c r="B203" i="15"/>
  <c r="T202" i="15"/>
  <c r="P202" i="15"/>
  <c r="H202" i="15"/>
  <c r="N202" i="15" s="1"/>
  <c r="D202" i="15"/>
  <c r="L202" i="15" s="1"/>
  <c r="B202" i="15"/>
  <c r="X201" i="15"/>
  <c r="Z201" i="15" s="1"/>
  <c r="L201" i="15"/>
  <c r="N201" i="15" s="1"/>
  <c r="B201" i="15"/>
  <c r="X200" i="15"/>
  <c r="Z200" i="15" s="1"/>
  <c r="L200" i="15"/>
  <c r="N200" i="15" s="1"/>
  <c r="B200" i="15"/>
  <c r="Z199" i="15"/>
  <c r="T199" i="15"/>
  <c r="P199" i="15"/>
  <c r="X199" i="15" s="1"/>
  <c r="H199" i="15"/>
  <c r="D199" i="15"/>
  <c r="L199" i="15" s="1"/>
  <c r="N199" i="15" s="1"/>
  <c r="B199" i="15"/>
  <c r="X198" i="15"/>
  <c r="Z198" i="15" s="1"/>
  <c r="N198" i="15"/>
  <c r="L198" i="15"/>
  <c r="B198" i="15"/>
  <c r="X197" i="15"/>
  <c r="T197" i="15"/>
  <c r="P197" i="15"/>
  <c r="L197" i="15"/>
  <c r="N197" i="15" s="1"/>
  <c r="H197" i="15"/>
  <c r="D197" i="15"/>
  <c r="B197" i="15"/>
  <c r="X196" i="15"/>
  <c r="Z196" i="15" s="1"/>
  <c r="N196" i="15"/>
  <c r="L196" i="15"/>
  <c r="B196" i="15"/>
  <c r="T195" i="15"/>
  <c r="P195" i="15"/>
  <c r="X195" i="15" s="1"/>
  <c r="Z195" i="15" s="1"/>
  <c r="H195" i="15"/>
  <c r="D195" i="15"/>
  <c r="B195" i="15"/>
  <c r="X194" i="15"/>
  <c r="Z194" i="15" s="1"/>
  <c r="L194" i="15"/>
  <c r="N194" i="15" s="1"/>
  <c r="B194" i="15"/>
  <c r="T193" i="15"/>
  <c r="Z193" i="15" s="1"/>
  <c r="P193" i="15"/>
  <c r="X193" i="15" s="1"/>
  <c r="H193" i="15"/>
  <c r="N193" i="15" s="1"/>
  <c r="D193" i="15"/>
  <c r="L193" i="15" s="1"/>
  <c r="B193" i="15"/>
  <c r="X192" i="15"/>
  <c r="Z192" i="15" s="1"/>
  <c r="L192" i="15"/>
  <c r="N192" i="15" s="1"/>
  <c r="B192" i="15"/>
  <c r="Z191" i="15"/>
  <c r="X191" i="15"/>
  <c r="N191" i="15"/>
  <c r="L191" i="15"/>
  <c r="B191" i="15"/>
  <c r="T190" i="15"/>
  <c r="P190" i="15"/>
  <c r="L190" i="15"/>
  <c r="H190" i="15"/>
  <c r="D190" i="15"/>
  <c r="B190" i="15"/>
  <c r="X189" i="15"/>
  <c r="Z189" i="15" s="1"/>
  <c r="L189" i="15"/>
  <c r="N189" i="15" s="1"/>
  <c r="B189" i="15"/>
  <c r="X188" i="15"/>
  <c r="Z188" i="15" s="1"/>
  <c r="L188" i="15"/>
  <c r="N188" i="15" s="1"/>
  <c r="B188" i="15"/>
  <c r="T187" i="15"/>
  <c r="P187" i="15"/>
  <c r="X187" i="15" s="1"/>
  <c r="L187" i="15"/>
  <c r="N187" i="15" s="1"/>
  <c r="H187" i="15"/>
  <c r="D187" i="15"/>
  <c r="B187" i="15"/>
  <c r="X186" i="15"/>
  <c r="Z186" i="15" s="1"/>
  <c r="L186" i="15"/>
  <c r="N186" i="15" s="1"/>
  <c r="B186" i="15"/>
  <c r="T185" i="15"/>
  <c r="Z185" i="15" s="1"/>
  <c r="P185" i="15"/>
  <c r="X185" i="15" s="1"/>
  <c r="H185" i="15"/>
  <c r="D185" i="15"/>
  <c r="B185" i="15"/>
  <c r="Z184" i="15"/>
  <c r="X184" i="15"/>
  <c r="N184" i="15"/>
  <c r="L184" i="15"/>
  <c r="B184" i="15"/>
  <c r="X183" i="15"/>
  <c r="Z183" i="15" s="1"/>
  <c r="N183" i="15"/>
  <c r="L183" i="15"/>
  <c r="B183" i="15"/>
  <c r="T182" i="15"/>
  <c r="P182" i="15"/>
  <c r="L182" i="15"/>
  <c r="H182" i="15"/>
  <c r="D182" i="15"/>
  <c r="B182" i="15"/>
  <c r="X181" i="15"/>
  <c r="Z181" i="15" s="1"/>
  <c r="L181" i="15"/>
  <c r="N181" i="15" s="1"/>
  <c r="B181" i="15"/>
  <c r="T180" i="15"/>
  <c r="Z180" i="15" s="1"/>
  <c r="P180" i="15"/>
  <c r="X180" i="15" s="1"/>
  <c r="H180" i="15"/>
  <c r="D180" i="15"/>
  <c r="B180" i="15"/>
  <c r="Z179" i="15"/>
  <c r="X179" i="15"/>
  <c r="L179" i="15"/>
  <c r="N179" i="15" s="1"/>
  <c r="B179" i="15"/>
  <c r="X178" i="15"/>
  <c r="Z178" i="15" s="1"/>
  <c r="L178" i="15"/>
  <c r="N178" i="15" s="1"/>
  <c r="B178" i="15"/>
  <c r="X177" i="15"/>
  <c r="Z177" i="15" s="1"/>
  <c r="L177" i="15"/>
  <c r="N177" i="15" s="1"/>
  <c r="B177" i="15"/>
  <c r="Z176" i="15"/>
  <c r="X176" i="15"/>
  <c r="L176" i="15"/>
  <c r="N176" i="15" s="1"/>
  <c r="B176" i="15"/>
  <c r="Z175" i="15"/>
  <c r="X175" i="15"/>
  <c r="L175" i="15"/>
  <c r="N175" i="15" s="1"/>
  <c r="B175" i="15"/>
  <c r="X174" i="15"/>
  <c r="Z174" i="15" s="1"/>
  <c r="L174" i="15"/>
  <c r="N174" i="15" s="1"/>
  <c r="B174" i="15"/>
  <c r="X173" i="15"/>
  <c r="Z173" i="15" s="1"/>
  <c r="L173" i="15"/>
  <c r="N173" i="15" s="1"/>
  <c r="B173" i="15"/>
  <c r="T172" i="15"/>
  <c r="P172" i="15"/>
  <c r="X172" i="15" s="1"/>
  <c r="Z172" i="15" s="1"/>
  <c r="H172" i="15"/>
  <c r="D172" i="15"/>
  <c r="L172" i="15" s="1"/>
  <c r="B172" i="15"/>
  <c r="X171" i="15"/>
  <c r="Z171" i="15" s="1"/>
  <c r="N171" i="15"/>
  <c r="L171" i="15"/>
  <c r="B171" i="15"/>
  <c r="X170" i="15"/>
  <c r="Z170" i="15" s="1"/>
  <c r="N170" i="15"/>
  <c r="L170" i="15"/>
  <c r="B170" i="15"/>
  <c r="X169" i="15"/>
  <c r="Z169" i="15" s="1"/>
  <c r="N169" i="15"/>
  <c r="L169" i="15"/>
  <c r="B169" i="15"/>
  <c r="X168" i="15"/>
  <c r="Z168" i="15" s="1"/>
  <c r="N168" i="15"/>
  <c r="L168" i="15"/>
  <c r="B168" i="15"/>
  <c r="Z167" i="15"/>
  <c r="X167" i="15"/>
  <c r="N167" i="15"/>
  <c r="L167" i="15"/>
  <c r="B167" i="15"/>
  <c r="X166" i="15"/>
  <c r="Z166" i="15" s="1"/>
  <c r="N166" i="15"/>
  <c r="L166" i="15"/>
  <c r="B166" i="15"/>
  <c r="X165" i="15"/>
  <c r="Z165" i="15" s="1"/>
  <c r="L165" i="15"/>
  <c r="N165" i="15" s="1"/>
  <c r="B165" i="15"/>
  <c r="X164" i="15"/>
  <c r="Z164" i="15" s="1"/>
  <c r="N164" i="15"/>
  <c r="L164" i="15"/>
  <c r="B164" i="15"/>
  <c r="X163" i="15"/>
  <c r="Z163" i="15" s="1"/>
  <c r="N163" i="15"/>
  <c r="L163" i="15"/>
  <c r="B163" i="15"/>
  <c r="X162" i="15"/>
  <c r="T162" i="15"/>
  <c r="P162" i="15"/>
  <c r="L162" i="15"/>
  <c r="H162" i="15"/>
  <c r="D162" i="15"/>
  <c r="B162" i="15"/>
  <c r="X161" i="15"/>
  <c r="T161" i="15"/>
  <c r="Z161" i="15" s="1"/>
  <c r="P161" i="15"/>
  <c r="H161" i="15"/>
  <c r="D161" i="15"/>
  <c r="L161" i="15" s="1"/>
  <c r="N161" i="15" s="1"/>
  <c r="Z157" i="15"/>
  <c r="X157" i="15"/>
  <c r="N157" i="15"/>
  <c r="L157" i="15"/>
  <c r="B157" i="15"/>
  <c r="X156" i="15"/>
  <c r="Z156" i="15" s="1"/>
  <c r="L156" i="15"/>
  <c r="N156" i="15" s="1"/>
  <c r="B156" i="15"/>
  <c r="Z155" i="15"/>
  <c r="X155" i="15"/>
  <c r="N155" i="15"/>
  <c r="L155" i="15"/>
  <c r="B155" i="15"/>
  <c r="Z154" i="15"/>
  <c r="X154" i="15"/>
  <c r="N154" i="15"/>
  <c r="L154" i="15"/>
  <c r="B154" i="15"/>
  <c r="Z153" i="15"/>
  <c r="X153" i="15"/>
  <c r="L153" i="15"/>
  <c r="N153" i="15" s="1"/>
  <c r="B153" i="15"/>
  <c r="X152" i="15"/>
  <c r="Z152" i="15" s="1"/>
  <c r="N152" i="15"/>
  <c r="L152" i="15"/>
  <c r="B152" i="15"/>
  <c r="Z151" i="15"/>
  <c r="X151" i="15"/>
  <c r="N151" i="15"/>
  <c r="L151" i="15"/>
  <c r="B151" i="15"/>
  <c r="Z150" i="15"/>
  <c r="X150" i="15"/>
  <c r="L150" i="15"/>
  <c r="N150" i="15" s="1"/>
  <c r="B150" i="15"/>
  <c r="Z149" i="15"/>
  <c r="X149" i="15"/>
  <c r="L149" i="15"/>
  <c r="N149" i="15" s="1"/>
  <c r="B149" i="15"/>
  <c r="Z148" i="15"/>
  <c r="X148" i="15"/>
  <c r="N148" i="15"/>
  <c r="L148" i="15"/>
  <c r="B148" i="15"/>
  <c r="Z147" i="15"/>
  <c r="X147" i="15"/>
  <c r="N147" i="15"/>
  <c r="L147" i="15"/>
  <c r="B147" i="15"/>
  <c r="Z146" i="15"/>
  <c r="X146" i="15"/>
  <c r="N146" i="15"/>
  <c r="L146" i="15"/>
  <c r="B146" i="15"/>
  <c r="X145" i="15"/>
  <c r="Z145" i="15" s="1"/>
  <c r="N145" i="15"/>
  <c r="L145" i="15"/>
  <c r="B145" i="15"/>
  <c r="X144" i="15"/>
  <c r="Z144" i="15" s="1"/>
  <c r="N144" i="15"/>
  <c r="L144" i="15"/>
  <c r="B144" i="15"/>
  <c r="Z143" i="15"/>
  <c r="X143" i="15"/>
  <c r="N143" i="15"/>
  <c r="L143" i="15"/>
  <c r="B143" i="15"/>
  <c r="Z142" i="15"/>
  <c r="X142" i="15"/>
  <c r="L142" i="15"/>
  <c r="N142" i="15" s="1"/>
  <c r="B142" i="15"/>
  <c r="X141" i="15"/>
  <c r="Z141" i="15" s="1"/>
  <c r="L141" i="15"/>
  <c r="N141" i="15" s="1"/>
  <c r="B141" i="15"/>
  <c r="X140" i="15"/>
  <c r="Z140" i="15" s="1"/>
  <c r="N140" i="15"/>
  <c r="L140" i="15"/>
  <c r="B140" i="15"/>
  <c r="Z139" i="15"/>
  <c r="X139" i="15"/>
  <c r="N139" i="15"/>
  <c r="L139" i="15"/>
  <c r="B139" i="15"/>
  <c r="Z138" i="15"/>
  <c r="X138" i="15"/>
  <c r="N138" i="15"/>
  <c r="L138" i="15"/>
  <c r="B138" i="15"/>
  <c r="Z137" i="15"/>
  <c r="X137" i="15"/>
  <c r="L137" i="15"/>
  <c r="N137" i="15" s="1"/>
  <c r="B137" i="15"/>
  <c r="Z136" i="15"/>
  <c r="X136" i="15"/>
  <c r="N136" i="15"/>
  <c r="L136" i="15"/>
  <c r="B136" i="15"/>
  <c r="Z135" i="15"/>
  <c r="X135" i="15"/>
  <c r="L135" i="15"/>
  <c r="N135" i="15" s="1"/>
  <c r="B135" i="15"/>
  <c r="Z134" i="15"/>
  <c r="X134" i="15"/>
  <c r="L134" i="15"/>
  <c r="N134" i="15" s="1"/>
  <c r="B134" i="15"/>
  <c r="Z133" i="15"/>
  <c r="X133" i="15"/>
  <c r="L133" i="15"/>
  <c r="N133" i="15" s="1"/>
  <c r="B133" i="15"/>
  <c r="Z132" i="15"/>
  <c r="X132" i="15"/>
  <c r="L132" i="15"/>
  <c r="N132" i="15" s="1"/>
  <c r="B132" i="15"/>
  <c r="Z131" i="15"/>
  <c r="X131" i="15"/>
  <c r="L131" i="15"/>
  <c r="N131" i="15" s="1"/>
  <c r="B131" i="15"/>
  <c r="Z130" i="15"/>
  <c r="X130" i="15"/>
  <c r="L130" i="15"/>
  <c r="N130" i="15" s="1"/>
  <c r="B130" i="15"/>
  <c r="Z129" i="15"/>
  <c r="X129" i="15"/>
  <c r="L129" i="15"/>
  <c r="N129" i="15" s="1"/>
  <c r="B129" i="15"/>
  <c r="X128" i="15"/>
  <c r="Z128" i="15" s="1"/>
  <c r="L128" i="15"/>
  <c r="N128" i="15" s="1"/>
  <c r="B128" i="15"/>
  <c r="Z127" i="15"/>
  <c r="X127" i="15"/>
  <c r="L127" i="15"/>
  <c r="N127" i="15" s="1"/>
  <c r="B127" i="15"/>
  <c r="Z126" i="15"/>
  <c r="X126" i="15"/>
  <c r="L126" i="15"/>
  <c r="N126" i="15" s="1"/>
  <c r="B126" i="15"/>
  <c r="Z125" i="15"/>
  <c r="X125" i="15"/>
  <c r="L125" i="15"/>
  <c r="N125" i="15" s="1"/>
  <c r="B125" i="15"/>
  <c r="X124" i="15"/>
  <c r="Z124" i="15" s="1"/>
  <c r="L124" i="15"/>
  <c r="N124" i="15" s="1"/>
  <c r="B124" i="15"/>
  <c r="Z123" i="15"/>
  <c r="X123" i="15"/>
  <c r="L123" i="15"/>
  <c r="N123" i="15" s="1"/>
  <c r="B123" i="15"/>
  <c r="Z122" i="15"/>
  <c r="X122" i="15"/>
  <c r="L122" i="15"/>
  <c r="N122" i="15" s="1"/>
  <c r="B122" i="15"/>
  <c r="Z121" i="15"/>
  <c r="X121" i="15"/>
  <c r="L121" i="15"/>
  <c r="N121" i="15" s="1"/>
  <c r="B121" i="15"/>
  <c r="X120" i="15"/>
  <c r="Z120" i="15" s="1"/>
  <c r="L120" i="15"/>
  <c r="N120" i="15" s="1"/>
  <c r="B120" i="15"/>
  <c r="Z119" i="15"/>
  <c r="X119" i="15"/>
  <c r="L119" i="15"/>
  <c r="N119" i="15" s="1"/>
  <c r="B119" i="15"/>
  <c r="Z118" i="15"/>
  <c r="X118" i="15"/>
  <c r="L118" i="15"/>
  <c r="N118" i="15" s="1"/>
  <c r="B118" i="15"/>
  <c r="X117" i="15"/>
  <c r="Z117" i="15" s="1"/>
  <c r="L117" i="15"/>
  <c r="N117" i="15" s="1"/>
  <c r="B117" i="15"/>
  <c r="X116" i="15"/>
  <c r="Z116" i="15" s="1"/>
  <c r="N116" i="15"/>
  <c r="L116" i="15"/>
  <c r="B116" i="15"/>
  <c r="Z115" i="15"/>
  <c r="X115" i="15"/>
  <c r="N115" i="15"/>
  <c r="L115" i="15"/>
  <c r="B115" i="15"/>
  <c r="Z114" i="15"/>
  <c r="X114" i="15"/>
  <c r="L114" i="15"/>
  <c r="N114" i="15" s="1"/>
  <c r="B114" i="15"/>
  <c r="X113" i="15"/>
  <c r="Z113" i="15" s="1"/>
  <c r="N113" i="15"/>
  <c r="L113" i="15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L110" i="15"/>
  <c r="N110" i="15" s="1"/>
  <c r="B110" i="15"/>
  <c r="X109" i="15"/>
  <c r="Z109" i="15" s="1"/>
  <c r="L109" i="15"/>
  <c r="N109" i="15" s="1"/>
  <c r="B109" i="15"/>
  <c r="X108" i="15"/>
  <c r="Z108" i="15" s="1"/>
  <c r="N108" i="15"/>
  <c r="L108" i="15"/>
  <c r="B108" i="15"/>
  <c r="Z107" i="15"/>
  <c r="T107" i="15"/>
  <c r="P107" i="15"/>
  <c r="X107" i="15" s="1"/>
  <c r="N107" i="15"/>
  <c r="H107" i="15"/>
  <c r="D107" i="15"/>
  <c r="L107" i="15" s="1"/>
  <c r="Z105" i="15"/>
  <c r="T105" i="15"/>
  <c r="P105" i="15"/>
  <c r="X105" i="15" s="1"/>
  <c r="H105" i="15"/>
  <c r="D105" i="15"/>
  <c r="B105" i="15"/>
  <c r="T104" i="15"/>
  <c r="P104" i="15"/>
  <c r="X104" i="15" s="1"/>
  <c r="Z104" i="15" s="1"/>
  <c r="H104" i="15"/>
  <c r="D104" i="15"/>
  <c r="B104" i="15"/>
  <c r="T103" i="15"/>
  <c r="Z103" i="15" s="1"/>
  <c r="P103" i="15"/>
  <c r="X103" i="15" s="1"/>
  <c r="L103" i="15"/>
  <c r="H103" i="15"/>
  <c r="D103" i="15"/>
  <c r="B103" i="15"/>
  <c r="T102" i="15"/>
  <c r="P102" i="15"/>
  <c r="X102" i="15" s="1"/>
  <c r="Z102" i="15" s="1"/>
  <c r="N102" i="15"/>
  <c r="L102" i="15"/>
  <c r="H102" i="15"/>
  <c r="D102" i="15"/>
  <c r="B102" i="15"/>
  <c r="Z101" i="15"/>
  <c r="T101" i="15"/>
  <c r="P101" i="15"/>
  <c r="X101" i="15" s="1"/>
  <c r="N101" i="15"/>
  <c r="H101" i="15"/>
  <c r="D101" i="15"/>
  <c r="L101" i="15" s="1"/>
  <c r="B101" i="15"/>
  <c r="T100" i="15"/>
  <c r="P100" i="15"/>
  <c r="L100" i="15"/>
  <c r="H100" i="15"/>
  <c r="N100" i="15" s="1"/>
  <c r="D100" i="15"/>
  <c r="B100" i="15"/>
  <c r="T99" i="15"/>
  <c r="P99" i="15"/>
  <c r="X99" i="15" s="1"/>
  <c r="Z99" i="15" s="1"/>
  <c r="H99" i="15"/>
  <c r="D99" i="15"/>
  <c r="B99" i="15"/>
  <c r="Z98" i="15"/>
  <c r="T98" i="15"/>
  <c r="P98" i="15"/>
  <c r="X98" i="15" s="1"/>
  <c r="N98" i="15"/>
  <c r="L98" i="15"/>
  <c r="H98" i="15"/>
  <c r="D98" i="15"/>
  <c r="B98" i="15"/>
  <c r="T97" i="15"/>
  <c r="P97" i="15"/>
  <c r="N97" i="15"/>
  <c r="H97" i="15"/>
  <c r="D97" i="15"/>
  <c r="L97" i="15" s="1"/>
  <c r="B97" i="15"/>
  <c r="T96" i="15"/>
  <c r="P96" i="15"/>
  <c r="X96" i="15" s="1"/>
  <c r="Z96" i="15" s="1"/>
  <c r="L96" i="15"/>
  <c r="H96" i="15"/>
  <c r="D96" i="15"/>
  <c r="B96" i="15"/>
  <c r="Z95" i="15"/>
  <c r="T95" i="15"/>
  <c r="P95" i="15"/>
  <c r="X95" i="15" s="1"/>
  <c r="H95" i="15"/>
  <c r="D95" i="15"/>
  <c r="B95" i="15"/>
  <c r="T94" i="15"/>
  <c r="P94" i="15"/>
  <c r="N94" i="15"/>
  <c r="L94" i="15"/>
  <c r="H94" i="15"/>
  <c r="D94" i="15"/>
  <c r="B94" i="15"/>
  <c r="T93" i="15"/>
  <c r="P93" i="15"/>
  <c r="X93" i="15" s="1"/>
  <c r="Z93" i="15" s="1"/>
  <c r="H93" i="15"/>
  <c r="N93" i="15" s="1"/>
  <c r="D93" i="15"/>
  <c r="L93" i="15" s="1"/>
  <c r="B93" i="15"/>
  <c r="T92" i="15"/>
  <c r="P92" i="15"/>
  <c r="X92" i="15" s="1"/>
  <c r="Z92" i="15" s="1"/>
  <c r="H92" i="15"/>
  <c r="N92" i="15" s="1"/>
  <c r="D92" i="15"/>
  <c r="B92" i="15"/>
  <c r="T91" i="15"/>
  <c r="P91" i="15"/>
  <c r="X91" i="15" s="1"/>
  <c r="Z91" i="15" s="1"/>
  <c r="L91" i="15"/>
  <c r="H91" i="15"/>
  <c r="D91" i="15"/>
  <c r="B91" i="15"/>
  <c r="T90" i="15"/>
  <c r="P90" i="15"/>
  <c r="X90" i="15" s="1"/>
  <c r="Z90" i="15" s="1"/>
  <c r="H90" i="15"/>
  <c r="D90" i="15"/>
  <c r="B90" i="15"/>
  <c r="T89" i="15"/>
  <c r="P89" i="15"/>
  <c r="X89" i="15" s="1"/>
  <c r="Z89" i="15" s="1"/>
  <c r="H89" i="15"/>
  <c r="D89" i="15"/>
  <c r="L89" i="15" s="1"/>
  <c r="N89" i="15" s="1"/>
  <c r="B89" i="15"/>
  <c r="T88" i="15"/>
  <c r="P88" i="15"/>
  <c r="L88" i="15"/>
  <c r="H88" i="15"/>
  <c r="D88" i="15"/>
  <c r="B88" i="15"/>
  <c r="T87" i="15"/>
  <c r="P87" i="15"/>
  <c r="X87" i="15" s="1"/>
  <c r="Z87" i="15" s="1"/>
  <c r="H87" i="15"/>
  <c r="D87" i="15"/>
  <c r="B87" i="15"/>
  <c r="T86" i="15"/>
  <c r="P86" i="15"/>
  <c r="X86" i="15" s="1"/>
  <c r="Z86" i="15" s="1"/>
  <c r="L86" i="15"/>
  <c r="N86" i="15" s="1"/>
  <c r="H86" i="15"/>
  <c r="D86" i="15"/>
  <c r="B86" i="15"/>
  <c r="Z85" i="15"/>
  <c r="T85" i="15"/>
  <c r="P85" i="15"/>
  <c r="X85" i="15" s="1"/>
  <c r="N85" i="15"/>
  <c r="H85" i="15"/>
  <c r="D85" i="15"/>
  <c r="L85" i="15" s="1"/>
  <c r="B85" i="15"/>
  <c r="Z84" i="15"/>
  <c r="T84" i="15"/>
  <c r="P84" i="15"/>
  <c r="X84" i="15" s="1"/>
  <c r="H84" i="15"/>
  <c r="D84" i="15"/>
  <c r="B84" i="15"/>
  <c r="T83" i="15"/>
  <c r="P83" i="15"/>
  <c r="X83" i="15" s="1"/>
  <c r="H83" i="15"/>
  <c r="N83" i="15" s="1"/>
  <c r="D83" i="15"/>
  <c r="L83" i="15" s="1"/>
  <c r="B83" i="15"/>
  <c r="X82" i="15"/>
  <c r="T82" i="15"/>
  <c r="Z82" i="15" s="1"/>
  <c r="P82" i="15"/>
  <c r="H82" i="15"/>
  <c r="D82" i="15"/>
  <c r="L82" i="15" s="1"/>
  <c r="B82" i="15"/>
  <c r="T81" i="15"/>
  <c r="P81" i="15"/>
  <c r="N81" i="15"/>
  <c r="L81" i="15"/>
  <c r="H81" i="15"/>
  <c r="D81" i="15"/>
  <c r="B81" i="15"/>
  <c r="T80" i="15"/>
  <c r="P80" i="15"/>
  <c r="X80" i="15" s="1"/>
  <c r="Z80" i="15" s="1"/>
  <c r="L80" i="15"/>
  <c r="N80" i="15" s="1"/>
  <c r="H80" i="15"/>
  <c r="D80" i="15"/>
  <c r="B80" i="15"/>
  <c r="T79" i="15"/>
  <c r="P79" i="15"/>
  <c r="X79" i="15" s="1"/>
  <c r="H79" i="15"/>
  <c r="N79" i="15" s="1"/>
  <c r="D79" i="15"/>
  <c r="B79" i="15"/>
  <c r="T78" i="15"/>
  <c r="P78" i="15"/>
  <c r="H78" i="15"/>
  <c r="N78" i="15" s="1"/>
  <c r="D78" i="15"/>
  <c r="L78" i="15" s="1"/>
  <c r="B78" i="15"/>
  <c r="X77" i="15"/>
  <c r="T77" i="15"/>
  <c r="Z77" i="15" s="1"/>
  <c r="P77" i="15"/>
  <c r="N77" i="15"/>
  <c r="L77" i="15"/>
  <c r="H77" i="15"/>
  <c r="D77" i="15"/>
  <c r="B77" i="15"/>
  <c r="Z76" i="15"/>
  <c r="X76" i="15"/>
  <c r="T76" i="15"/>
  <c r="P76" i="15"/>
  <c r="H76" i="15"/>
  <c r="D76" i="15"/>
  <c r="L76" i="15" s="1"/>
  <c r="N76" i="15" s="1"/>
  <c r="B76" i="15"/>
  <c r="T75" i="15"/>
  <c r="P75" i="15"/>
  <c r="H75" i="15"/>
  <c r="N75" i="15" s="1"/>
  <c r="D75" i="15"/>
  <c r="B75" i="15"/>
  <c r="X74" i="15"/>
  <c r="T74" i="15"/>
  <c r="Z74" i="15" s="1"/>
  <c r="P74" i="15"/>
  <c r="H74" i="15"/>
  <c r="D74" i="15"/>
  <c r="L74" i="15" s="1"/>
  <c r="B74" i="15"/>
  <c r="T73" i="15"/>
  <c r="P73" i="15"/>
  <c r="X73" i="15" s="1"/>
  <c r="L73" i="15"/>
  <c r="N73" i="15" s="1"/>
  <c r="H73" i="15"/>
  <c r="D73" i="15"/>
  <c r="B73" i="15"/>
  <c r="X72" i="15"/>
  <c r="Z72" i="15" s="1"/>
  <c r="T72" i="15"/>
  <c r="P72" i="15"/>
  <c r="H72" i="15"/>
  <c r="D72" i="15"/>
  <c r="B72" i="15"/>
  <c r="T71" i="15"/>
  <c r="P71" i="15"/>
  <c r="X71" i="15" s="1"/>
  <c r="H71" i="15"/>
  <c r="N71" i="15" s="1"/>
  <c r="D71" i="15"/>
  <c r="L71" i="15" s="1"/>
  <c r="B71" i="15"/>
  <c r="X70" i="15"/>
  <c r="T70" i="15"/>
  <c r="Z70" i="15" s="1"/>
  <c r="P70" i="15"/>
  <c r="H70" i="15"/>
  <c r="D70" i="15"/>
  <c r="L70" i="15" s="1"/>
  <c r="B70" i="15"/>
  <c r="T69" i="15"/>
  <c r="P69" i="15"/>
  <c r="L69" i="15"/>
  <c r="N69" i="15" s="1"/>
  <c r="H69" i="15"/>
  <c r="D69" i="15"/>
  <c r="B69" i="15"/>
  <c r="Z68" i="15"/>
  <c r="T68" i="15"/>
  <c r="P68" i="15"/>
  <c r="X68" i="15" s="1"/>
  <c r="L68" i="15"/>
  <c r="N68" i="15" s="1"/>
  <c r="H68" i="15"/>
  <c r="D68" i="15"/>
  <c r="B68" i="15"/>
  <c r="T67" i="15"/>
  <c r="P67" i="15"/>
  <c r="X67" i="15" s="1"/>
  <c r="H67" i="15"/>
  <c r="D67" i="15"/>
  <c r="B67" i="15"/>
  <c r="T66" i="15"/>
  <c r="P66" i="15"/>
  <c r="H66" i="15"/>
  <c r="D66" i="15"/>
  <c r="L66" i="15" s="1"/>
  <c r="B66" i="15"/>
  <c r="X65" i="15"/>
  <c r="T65" i="15"/>
  <c r="Z65" i="15" s="1"/>
  <c r="P65" i="15"/>
  <c r="L65" i="15"/>
  <c r="N65" i="15" s="1"/>
  <c r="H65" i="15"/>
  <c r="D65" i="15"/>
  <c r="B65" i="15"/>
  <c r="Z64" i="15"/>
  <c r="X64" i="15"/>
  <c r="T64" i="15"/>
  <c r="P64" i="15"/>
  <c r="H64" i="15"/>
  <c r="D64" i="15"/>
  <c r="L64" i="15" s="1"/>
  <c r="N64" i="15" s="1"/>
  <c r="B64" i="15"/>
  <c r="T63" i="15"/>
  <c r="P63" i="15"/>
  <c r="H63" i="15"/>
  <c r="D63" i="15"/>
  <c r="B63" i="15"/>
  <c r="X62" i="15"/>
  <c r="T62" i="15"/>
  <c r="P62" i="15"/>
  <c r="H62" i="15"/>
  <c r="N62" i="15" s="1"/>
  <c r="D62" i="15"/>
  <c r="L62" i="15" s="1"/>
  <c r="B62" i="15"/>
  <c r="T61" i="15"/>
  <c r="P61" i="15"/>
  <c r="X61" i="15" s="1"/>
  <c r="L61" i="15"/>
  <c r="N61" i="15" s="1"/>
  <c r="H61" i="15"/>
  <c r="D61" i="15"/>
  <c r="B61" i="15"/>
  <c r="X60" i="15"/>
  <c r="Z60" i="15" s="1"/>
  <c r="T60" i="15"/>
  <c r="P60" i="15"/>
  <c r="H60" i="15"/>
  <c r="D60" i="15"/>
  <c r="B60" i="15"/>
  <c r="T59" i="15"/>
  <c r="P59" i="15"/>
  <c r="X59" i="15" s="1"/>
  <c r="H59" i="15"/>
  <c r="N59" i="15" s="1"/>
  <c r="D59" i="15"/>
  <c r="L59" i="15" s="1"/>
  <c r="B59" i="15"/>
  <c r="X58" i="15"/>
  <c r="T58" i="15"/>
  <c r="Z58" i="15" s="1"/>
  <c r="P58" i="15"/>
  <c r="H58" i="15"/>
  <c r="D58" i="15"/>
  <c r="L58" i="15" s="1"/>
  <c r="B58" i="15"/>
  <c r="T57" i="15"/>
  <c r="P57" i="15"/>
  <c r="L57" i="15"/>
  <c r="N57" i="15" s="1"/>
  <c r="H57" i="15"/>
  <c r="D57" i="15"/>
  <c r="B57" i="15"/>
  <c r="Z56" i="15"/>
  <c r="T56" i="15"/>
  <c r="P56" i="15"/>
  <c r="X56" i="15" s="1"/>
  <c r="L56" i="15"/>
  <c r="N56" i="15" s="1"/>
  <c r="H56" i="15"/>
  <c r="D56" i="15"/>
  <c r="B56" i="15"/>
  <c r="T55" i="15"/>
  <c r="P55" i="15"/>
  <c r="X55" i="15" s="1"/>
  <c r="H55" i="15"/>
  <c r="D55" i="15"/>
  <c r="B55" i="15"/>
  <c r="T54" i="15"/>
  <c r="P54" i="15"/>
  <c r="H54" i="15"/>
  <c r="D54" i="15"/>
  <c r="L54" i="15" s="1"/>
  <c r="B54" i="15"/>
  <c r="X53" i="15"/>
  <c r="T53" i="15"/>
  <c r="Z53" i="15" s="1"/>
  <c r="P53" i="15"/>
  <c r="N53" i="15"/>
  <c r="L53" i="15"/>
  <c r="H53" i="15"/>
  <c r="D53" i="15"/>
  <c r="B53" i="15"/>
  <c r="Z52" i="15"/>
  <c r="X52" i="15"/>
  <c r="T52" i="15"/>
  <c r="P52" i="15"/>
  <c r="H52" i="15"/>
  <c r="D52" i="15"/>
  <c r="L52" i="15" s="1"/>
  <c r="N52" i="15" s="1"/>
  <c r="B52" i="15"/>
  <c r="T51" i="15"/>
  <c r="P51" i="15"/>
  <c r="H51" i="15"/>
  <c r="D51" i="15"/>
  <c r="B51" i="15"/>
  <c r="X50" i="15"/>
  <c r="T50" i="15"/>
  <c r="P50" i="15"/>
  <c r="H50" i="15"/>
  <c r="N50" i="15" s="1"/>
  <c r="D50" i="15"/>
  <c r="L50" i="15" s="1"/>
  <c r="B50" i="15"/>
  <c r="T49" i="15"/>
  <c r="Z49" i="15" s="1"/>
  <c r="P49" i="15"/>
  <c r="X49" i="15" s="1"/>
  <c r="L49" i="15"/>
  <c r="N49" i="15" s="1"/>
  <c r="H49" i="15"/>
  <c r="D49" i="15"/>
  <c r="B49" i="15"/>
  <c r="X48" i="15"/>
  <c r="Z48" i="15" s="1"/>
  <c r="T48" i="15"/>
  <c r="P48" i="15"/>
  <c r="H48" i="15"/>
  <c r="D48" i="15"/>
  <c r="B48" i="15"/>
  <c r="T47" i="15"/>
  <c r="P47" i="15"/>
  <c r="X47" i="15" s="1"/>
  <c r="H47" i="15"/>
  <c r="N47" i="15" s="1"/>
  <c r="D47" i="15"/>
  <c r="L47" i="15" s="1"/>
  <c r="B47" i="15"/>
  <c r="X46" i="15"/>
  <c r="T46" i="15"/>
  <c r="Z46" i="15" s="1"/>
  <c r="P46" i="15"/>
  <c r="H46" i="15"/>
  <c r="D46" i="15"/>
  <c r="B46" i="15"/>
  <c r="T45" i="15"/>
  <c r="P45" i="15"/>
  <c r="L45" i="15"/>
  <c r="N45" i="15" s="1"/>
  <c r="H45" i="15"/>
  <c r="D45" i="15"/>
  <c r="B45" i="15"/>
  <c r="Z44" i="15"/>
  <c r="T44" i="15"/>
  <c r="P44" i="15"/>
  <c r="X44" i="15" s="1"/>
  <c r="L44" i="15"/>
  <c r="N44" i="15" s="1"/>
  <c r="H44" i="15"/>
  <c r="D44" i="15"/>
  <c r="B44" i="15"/>
  <c r="T43" i="15"/>
  <c r="P43" i="15"/>
  <c r="X43" i="15" s="1"/>
  <c r="H43" i="15"/>
  <c r="D43" i="15"/>
  <c r="B43" i="15"/>
  <c r="T42" i="15"/>
  <c r="P42" i="15"/>
  <c r="H42" i="15"/>
  <c r="D42" i="15"/>
  <c r="L42" i="15" s="1"/>
  <c r="B42" i="15"/>
  <c r="X41" i="15"/>
  <c r="T41" i="15"/>
  <c r="P41" i="15"/>
  <c r="H41" i="15"/>
  <c r="D41" i="15"/>
  <c r="B41" i="15"/>
  <c r="Z40" i="15"/>
  <c r="X40" i="15"/>
  <c r="T40" i="15"/>
  <c r="P40" i="15"/>
  <c r="H40" i="15"/>
  <c r="D40" i="15"/>
  <c r="L40" i="15" s="1"/>
  <c r="N40" i="15" s="1"/>
  <c r="B40" i="15"/>
  <c r="Z39" i="15"/>
  <c r="T39" i="15"/>
  <c r="P39" i="15"/>
  <c r="X39" i="15" s="1"/>
  <c r="H39" i="15"/>
  <c r="D39" i="15"/>
  <c r="L39" i="15" s="1"/>
  <c r="N39" i="15" s="1"/>
  <c r="B39" i="15"/>
  <c r="T38" i="15"/>
  <c r="P38" i="15"/>
  <c r="X38" i="15" s="1"/>
  <c r="Z38" i="15" s="1"/>
  <c r="H38" i="15"/>
  <c r="D38" i="15"/>
  <c r="B38" i="15"/>
  <c r="T37" i="15"/>
  <c r="P37" i="15"/>
  <c r="H37" i="15"/>
  <c r="L37" i="15" s="1"/>
  <c r="N37" i="15" s="1"/>
  <c r="D37" i="15"/>
  <c r="B37" i="15"/>
  <c r="T36" i="15"/>
  <c r="P36" i="15"/>
  <c r="X36" i="15" s="1"/>
  <c r="Z36" i="15" s="1"/>
  <c r="H36" i="15"/>
  <c r="D36" i="15"/>
  <c r="L36" i="15" s="1"/>
  <c r="N36" i="15" s="1"/>
  <c r="B36" i="15"/>
  <c r="Z35" i="15"/>
  <c r="T35" i="15"/>
  <c r="P35" i="15"/>
  <c r="X35" i="15" s="1"/>
  <c r="N35" i="15"/>
  <c r="H35" i="15"/>
  <c r="D35" i="15"/>
  <c r="L35" i="15" s="1"/>
  <c r="B35" i="15"/>
  <c r="X34" i="15"/>
  <c r="Z34" i="15" s="1"/>
  <c r="T34" i="15"/>
  <c r="P34" i="15"/>
  <c r="H34" i="15"/>
  <c r="D34" i="15"/>
  <c r="L34" i="15" s="1"/>
  <c r="B34" i="15"/>
  <c r="T33" i="15"/>
  <c r="P33" i="15"/>
  <c r="X33" i="15" s="1"/>
  <c r="Z33" i="15" s="1"/>
  <c r="L33" i="15"/>
  <c r="N33" i="15" s="1"/>
  <c r="H33" i="15"/>
  <c r="D33" i="15"/>
  <c r="B33" i="15"/>
  <c r="T32" i="15"/>
  <c r="P32" i="15"/>
  <c r="X32" i="15" s="1"/>
  <c r="Z32" i="15" s="1"/>
  <c r="H32" i="15"/>
  <c r="D32" i="15"/>
  <c r="L32" i="15" s="1"/>
  <c r="B32" i="15"/>
  <c r="T31" i="15"/>
  <c r="P31" i="15"/>
  <c r="N31" i="15"/>
  <c r="H31" i="15"/>
  <c r="D31" i="15"/>
  <c r="L31" i="15" s="1"/>
  <c r="B31" i="15"/>
  <c r="T30" i="15"/>
  <c r="Z30" i="15" s="1"/>
  <c r="P30" i="15"/>
  <c r="X30" i="15" s="1"/>
  <c r="H30" i="15"/>
  <c r="D30" i="15"/>
  <c r="L30" i="15" s="1"/>
  <c r="B30" i="15"/>
  <c r="T29" i="15"/>
  <c r="P29" i="15"/>
  <c r="X29" i="15" s="1"/>
  <c r="Z29" i="15" s="1"/>
  <c r="H29" i="15"/>
  <c r="D29" i="15"/>
  <c r="B29" i="15"/>
  <c r="X28" i="15"/>
  <c r="Z28" i="15" s="1"/>
  <c r="T28" i="15"/>
  <c r="P28" i="15"/>
  <c r="H28" i="15"/>
  <c r="D28" i="15"/>
  <c r="B28" i="15"/>
  <c r="T27" i="15"/>
  <c r="P27" i="15"/>
  <c r="X27" i="15" s="1"/>
  <c r="Z27" i="15" s="1"/>
  <c r="H27" i="15"/>
  <c r="D27" i="15"/>
  <c r="B27" i="15"/>
  <c r="T26" i="15"/>
  <c r="P26" i="15"/>
  <c r="H26" i="15"/>
  <c r="D26" i="15"/>
  <c r="L26" i="15" s="1"/>
  <c r="B26" i="15"/>
  <c r="X25" i="15"/>
  <c r="T25" i="15"/>
  <c r="Z25" i="15" s="1"/>
  <c r="P25" i="15"/>
  <c r="H25" i="15"/>
  <c r="D25" i="15"/>
  <c r="B25" i="15"/>
  <c r="Z24" i="15"/>
  <c r="X24" i="15"/>
  <c r="T24" i="15"/>
  <c r="P24" i="15"/>
  <c r="N24" i="15"/>
  <c r="H24" i="15"/>
  <c r="D24" i="15"/>
  <c r="L24" i="15" s="1"/>
  <c r="B24" i="15"/>
  <c r="Z23" i="15"/>
  <c r="T23" i="15"/>
  <c r="P23" i="15"/>
  <c r="X23" i="15" s="1"/>
  <c r="H23" i="15"/>
  <c r="D23" i="15"/>
  <c r="L23" i="15" s="1"/>
  <c r="N23" i="15" s="1"/>
  <c r="B23" i="15"/>
  <c r="Z22" i="15"/>
  <c r="T22" i="15"/>
  <c r="P22" i="15"/>
  <c r="X22" i="15" s="1"/>
  <c r="H22" i="15"/>
  <c r="D22" i="15"/>
  <c r="B22" i="15"/>
  <c r="T21" i="15"/>
  <c r="P21" i="15"/>
  <c r="N21" i="15"/>
  <c r="H21" i="15"/>
  <c r="L21" i="15" s="1"/>
  <c r="D21" i="15"/>
  <c r="B21" i="15"/>
  <c r="T20" i="15"/>
  <c r="P20" i="15"/>
  <c r="X20" i="15" s="1"/>
  <c r="Z20" i="15" s="1"/>
  <c r="L20" i="15"/>
  <c r="N20" i="15" s="1"/>
  <c r="H20" i="15"/>
  <c r="D20" i="15"/>
  <c r="B20" i="15"/>
  <c r="Z19" i="15"/>
  <c r="T19" i="15"/>
  <c r="P19" i="15"/>
  <c r="X19" i="15" s="1"/>
  <c r="N19" i="15"/>
  <c r="H19" i="15"/>
  <c r="D19" i="15"/>
  <c r="L19" i="15" s="1"/>
  <c r="B19" i="15"/>
  <c r="T18" i="15"/>
  <c r="P18" i="15"/>
  <c r="X18" i="15" s="1"/>
  <c r="Z18" i="15" s="1"/>
  <c r="H18" i="15"/>
  <c r="D18" i="15"/>
  <c r="L18" i="15" s="1"/>
  <c r="B18" i="15"/>
  <c r="T17" i="15"/>
  <c r="P17" i="15"/>
  <c r="X17" i="15" s="1"/>
  <c r="Z17" i="15" s="1"/>
  <c r="L17" i="15"/>
  <c r="N17" i="15" s="1"/>
  <c r="H17" i="15"/>
  <c r="D17" i="15"/>
  <c r="B17" i="15"/>
  <c r="T16" i="15"/>
  <c r="P16" i="15"/>
  <c r="X16" i="15" s="1"/>
  <c r="Z16" i="15" s="1"/>
  <c r="H16" i="15"/>
  <c r="N16" i="15" s="1"/>
  <c r="D16" i="15"/>
  <c r="L16" i="15" s="1"/>
  <c r="B16" i="15"/>
  <c r="T15" i="15"/>
  <c r="P15" i="15"/>
  <c r="H15" i="15"/>
  <c r="D15" i="15"/>
  <c r="L15" i="15" s="1"/>
  <c r="N15" i="15" s="1"/>
  <c r="B15" i="15"/>
  <c r="T14" i="15"/>
  <c r="P14" i="15"/>
  <c r="H14" i="15"/>
  <c r="D14" i="15"/>
  <c r="L14" i="15" s="1"/>
  <c r="B14" i="15"/>
  <c r="T13" i="15"/>
  <c r="P13" i="15"/>
  <c r="L13" i="15"/>
  <c r="H13" i="15"/>
  <c r="D13" i="15"/>
  <c r="B13" i="15"/>
  <c r="D4" i="15"/>
  <c r="Z269" i="12"/>
  <c r="X269" i="12"/>
  <c r="L269" i="12"/>
  <c r="N269" i="12" s="1"/>
  <c r="Z265" i="12"/>
  <c r="T265" i="12"/>
  <c r="P265" i="12"/>
  <c r="X265" i="12" s="1"/>
  <c r="N265" i="12"/>
  <c r="H265" i="12"/>
  <c r="D265" i="12"/>
  <c r="L265" i="12" s="1"/>
  <c r="B265" i="12"/>
  <c r="X264" i="12"/>
  <c r="T264" i="12"/>
  <c r="Z264" i="12" s="1"/>
  <c r="P264" i="12"/>
  <c r="H264" i="12"/>
  <c r="N264" i="12" s="1"/>
  <c r="D264" i="12"/>
  <c r="L264" i="12" s="1"/>
  <c r="B264" i="12"/>
  <c r="Z263" i="12"/>
  <c r="T263" i="12"/>
  <c r="P263" i="12"/>
  <c r="X263" i="12" s="1"/>
  <c r="H263" i="12"/>
  <c r="N263" i="12" s="1"/>
  <c r="D263" i="12"/>
  <c r="B263" i="12"/>
  <c r="X262" i="12"/>
  <c r="T262" i="12"/>
  <c r="Z262" i="12" s="1"/>
  <c r="P262" i="12"/>
  <c r="H262" i="12"/>
  <c r="D262" i="12"/>
  <c r="B262" i="12"/>
  <c r="T261" i="12"/>
  <c r="P261" i="12"/>
  <c r="X261" i="12" s="1"/>
  <c r="Z261" i="12" s="1"/>
  <c r="N261" i="12"/>
  <c r="L261" i="12"/>
  <c r="H261" i="12"/>
  <c r="D261" i="12"/>
  <c r="B261" i="12"/>
  <c r="T260" i="12"/>
  <c r="P260" i="12"/>
  <c r="X260" i="12" s="1"/>
  <c r="Z260" i="12" s="1"/>
  <c r="L260" i="12"/>
  <c r="H260" i="12"/>
  <c r="D260" i="12"/>
  <c r="B260" i="12"/>
  <c r="T259" i="12"/>
  <c r="P259" i="12"/>
  <c r="X259" i="12" s="1"/>
  <c r="Z259" i="12" s="1"/>
  <c r="N259" i="12"/>
  <c r="H259" i="12"/>
  <c r="D259" i="12"/>
  <c r="L259" i="12" s="1"/>
  <c r="B259" i="12"/>
  <c r="T258" i="12"/>
  <c r="P258" i="12"/>
  <c r="X258" i="12" s="1"/>
  <c r="L258" i="12"/>
  <c r="H258" i="12"/>
  <c r="H256" i="12" s="1"/>
  <c r="D258" i="12"/>
  <c r="B258" i="12"/>
  <c r="T257" i="12"/>
  <c r="P257" i="12"/>
  <c r="N257" i="12"/>
  <c r="H257" i="12"/>
  <c r="D257" i="12"/>
  <c r="L257" i="12" s="1"/>
  <c r="B257" i="12"/>
  <c r="T256" i="12"/>
  <c r="X254" i="12"/>
  <c r="Z254" i="12" s="1"/>
  <c r="L254" i="12"/>
  <c r="N254" i="12" s="1"/>
  <c r="B254" i="12"/>
  <c r="T253" i="12"/>
  <c r="P253" i="12"/>
  <c r="X253" i="12" s="1"/>
  <c r="Z253" i="12" s="1"/>
  <c r="N253" i="12"/>
  <c r="H253" i="12"/>
  <c r="D253" i="12"/>
  <c r="L253" i="12" s="1"/>
  <c r="B253" i="12"/>
  <c r="Z252" i="12"/>
  <c r="X252" i="12"/>
  <c r="L252" i="12"/>
  <c r="N252" i="12" s="1"/>
  <c r="B252" i="12"/>
  <c r="Z251" i="12"/>
  <c r="X251" i="12"/>
  <c r="L251" i="12"/>
  <c r="N251" i="12" s="1"/>
  <c r="B251" i="12"/>
  <c r="X250" i="12"/>
  <c r="Z250" i="12" s="1"/>
  <c r="L250" i="12"/>
  <c r="N250" i="12" s="1"/>
  <c r="B250" i="12"/>
  <c r="Z249" i="12"/>
  <c r="X249" i="12"/>
  <c r="T249" i="12"/>
  <c r="P249" i="12"/>
  <c r="H249" i="12"/>
  <c r="D249" i="12"/>
  <c r="L249" i="12" s="1"/>
  <c r="N249" i="12" s="1"/>
  <c r="B249" i="12"/>
  <c r="X248" i="12"/>
  <c r="Z248" i="12" s="1"/>
  <c r="L248" i="12"/>
  <c r="N248" i="12" s="1"/>
  <c r="B248" i="12"/>
  <c r="T247" i="12"/>
  <c r="P247" i="12"/>
  <c r="H247" i="12"/>
  <c r="D247" i="12"/>
  <c r="L247" i="12" s="1"/>
  <c r="N247" i="12" s="1"/>
  <c r="B247" i="12"/>
  <c r="X246" i="12"/>
  <c r="Z246" i="12" s="1"/>
  <c r="L246" i="12"/>
  <c r="N246" i="12" s="1"/>
  <c r="B246" i="12"/>
  <c r="X245" i="12"/>
  <c r="Z245" i="12" s="1"/>
  <c r="N245" i="12"/>
  <c r="L245" i="12"/>
  <c r="B245" i="12"/>
  <c r="X244" i="12"/>
  <c r="T244" i="12"/>
  <c r="Z244" i="12" s="1"/>
  <c r="P244" i="12"/>
  <c r="H244" i="12"/>
  <c r="D244" i="12"/>
  <c r="B244" i="12"/>
  <c r="Z243" i="12"/>
  <c r="X243" i="12"/>
  <c r="N243" i="12"/>
  <c r="L243" i="12"/>
  <c r="B243" i="12"/>
  <c r="X242" i="12"/>
  <c r="Z242" i="12" s="1"/>
  <c r="L242" i="12"/>
  <c r="N242" i="12" s="1"/>
  <c r="B242" i="12"/>
  <c r="Z241" i="12"/>
  <c r="X241" i="12"/>
  <c r="N241" i="12"/>
  <c r="L241" i="12"/>
  <c r="B241" i="12"/>
  <c r="Z240" i="12"/>
  <c r="X240" i="12"/>
  <c r="L240" i="12"/>
  <c r="N240" i="12" s="1"/>
  <c r="B240" i="12"/>
  <c r="Z239" i="12"/>
  <c r="X239" i="12"/>
  <c r="L239" i="12"/>
  <c r="N239" i="12" s="1"/>
  <c r="B239" i="12"/>
  <c r="X238" i="12"/>
  <c r="Z238" i="12" s="1"/>
  <c r="L238" i="12"/>
  <c r="N238" i="12" s="1"/>
  <c r="B238" i="12"/>
  <c r="Z237" i="12"/>
  <c r="X237" i="12"/>
  <c r="N237" i="12"/>
  <c r="L237" i="12"/>
  <c r="B237" i="12"/>
  <c r="T236" i="12"/>
  <c r="P236" i="12"/>
  <c r="X236" i="12" s="1"/>
  <c r="L236" i="12"/>
  <c r="H236" i="12"/>
  <c r="D236" i="12"/>
  <c r="B236" i="12"/>
  <c r="X235" i="12"/>
  <c r="Z235" i="12" s="1"/>
  <c r="N235" i="12"/>
  <c r="L235" i="12"/>
  <c r="B235" i="12"/>
  <c r="X234" i="12"/>
  <c r="Z234" i="12" s="1"/>
  <c r="L234" i="12"/>
  <c r="N234" i="12" s="1"/>
  <c r="B234" i="12"/>
  <c r="Z233" i="12"/>
  <c r="T233" i="12"/>
  <c r="P233" i="12"/>
  <c r="X233" i="12" s="1"/>
  <c r="H233" i="12"/>
  <c r="D233" i="12"/>
  <c r="B233" i="12"/>
  <c r="X232" i="12"/>
  <c r="Z232" i="12" s="1"/>
  <c r="N232" i="12"/>
  <c r="L232" i="12"/>
  <c r="B232" i="12"/>
  <c r="Z231" i="12"/>
  <c r="X231" i="12"/>
  <c r="N231" i="12"/>
  <c r="L231" i="12"/>
  <c r="B231" i="12"/>
  <c r="X230" i="12"/>
  <c r="Z230" i="12" s="1"/>
  <c r="L230" i="12"/>
  <c r="N230" i="12" s="1"/>
  <c r="B230" i="12"/>
  <c r="X229" i="12"/>
  <c r="Z229" i="12" s="1"/>
  <c r="N229" i="12"/>
  <c r="L229" i="12"/>
  <c r="B229" i="12"/>
  <c r="X228" i="12"/>
  <c r="Z228" i="12" s="1"/>
  <c r="N228" i="12"/>
  <c r="L228" i="12"/>
  <c r="B228" i="12"/>
  <c r="Z227" i="12"/>
  <c r="T227" i="12"/>
  <c r="P227" i="12"/>
  <c r="X227" i="12" s="1"/>
  <c r="H227" i="12"/>
  <c r="D227" i="12"/>
  <c r="L227" i="12" s="1"/>
  <c r="N227" i="12" s="1"/>
  <c r="B227" i="12"/>
  <c r="X226" i="12"/>
  <c r="Z226" i="12" s="1"/>
  <c r="L226" i="12"/>
  <c r="N226" i="12" s="1"/>
  <c r="B226" i="12"/>
  <c r="Z225" i="12"/>
  <c r="X225" i="12"/>
  <c r="N225" i="12"/>
  <c r="L225" i="12"/>
  <c r="B225" i="12"/>
  <c r="Z224" i="12"/>
  <c r="X224" i="12"/>
  <c r="L224" i="12"/>
  <c r="N224" i="12" s="1"/>
  <c r="B224" i="12"/>
  <c r="T223" i="12"/>
  <c r="P223" i="12"/>
  <c r="X223" i="12" s="1"/>
  <c r="Z223" i="12" s="1"/>
  <c r="N223" i="12"/>
  <c r="L223" i="12"/>
  <c r="H223" i="12"/>
  <c r="D223" i="12"/>
  <c r="B223" i="12"/>
  <c r="X222" i="12"/>
  <c r="Z222" i="12" s="1"/>
  <c r="L222" i="12"/>
  <c r="N222" i="12" s="1"/>
  <c r="B222" i="12"/>
  <c r="Z221" i="12"/>
  <c r="X221" i="12"/>
  <c r="L221" i="12"/>
  <c r="N221" i="12" s="1"/>
  <c r="B221" i="12"/>
  <c r="X220" i="12"/>
  <c r="Z220" i="12" s="1"/>
  <c r="L220" i="12"/>
  <c r="N220" i="12" s="1"/>
  <c r="B220" i="12"/>
  <c r="T219" i="12"/>
  <c r="P219" i="12"/>
  <c r="N219" i="12"/>
  <c r="H219" i="12"/>
  <c r="D219" i="12"/>
  <c r="L219" i="12" s="1"/>
  <c r="B219" i="12"/>
  <c r="X218" i="12"/>
  <c r="Z218" i="12" s="1"/>
  <c r="L218" i="12"/>
  <c r="N218" i="12" s="1"/>
  <c r="B218" i="12"/>
  <c r="T217" i="12"/>
  <c r="P217" i="12"/>
  <c r="X217" i="12" s="1"/>
  <c r="Z217" i="12" s="1"/>
  <c r="N217" i="12"/>
  <c r="H217" i="12"/>
  <c r="D217" i="12"/>
  <c r="L217" i="12" s="1"/>
  <c r="B217" i="12"/>
  <c r="Z216" i="12"/>
  <c r="X216" i="12"/>
  <c r="N216" i="12"/>
  <c r="L216" i="12"/>
  <c r="B216" i="12"/>
  <c r="T215" i="12"/>
  <c r="P215" i="12"/>
  <c r="X215" i="12" s="1"/>
  <c r="Z215" i="12" s="1"/>
  <c r="N215" i="12"/>
  <c r="L215" i="12"/>
  <c r="H215" i="12"/>
  <c r="D215" i="12"/>
  <c r="B215" i="12"/>
  <c r="X214" i="12"/>
  <c r="Z214" i="12" s="1"/>
  <c r="L214" i="12"/>
  <c r="N214" i="12" s="1"/>
  <c r="B214" i="12"/>
  <c r="Z213" i="12"/>
  <c r="T213" i="12"/>
  <c r="P213" i="12"/>
  <c r="X213" i="12" s="1"/>
  <c r="H213" i="12"/>
  <c r="D213" i="12"/>
  <c r="B213" i="12"/>
  <c r="X212" i="12"/>
  <c r="Z212" i="12" s="1"/>
  <c r="N212" i="12"/>
  <c r="L212" i="12"/>
  <c r="B212" i="12"/>
  <c r="T211" i="12"/>
  <c r="P211" i="12"/>
  <c r="X211" i="12" s="1"/>
  <c r="Z211" i="12" s="1"/>
  <c r="H211" i="12"/>
  <c r="D211" i="12"/>
  <c r="L211" i="12" s="1"/>
  <c r="N211" i="12" s="1"/>
  <c r="B211" i="12"/>
  <c r="X210" i="12"/>
  <c r="Z210" i="12" s="1"/>
  <c r="L210" i="12"/>
  <c r="N210" i="12" s="1"/>
  <c r="B210" i="12"/>
  <c r="Z209" i="12"/>
  <c r="X209" i="12"/>
  <c r="T209" i="12"/>
  <c r="P209" i="12"/>
  <c r="H209" i="12"/>
  <c r="D209" i="12"/>
  <c r="L209" i="12" s="1"/>
  <c r="N209" i="12" s="1"/>
  <c r="B209" i="12"/>
  <c r="X208" i="12"/>
  <c r="Z208" i="12" s="1"/>
  <c r="L208" i="12"/>
  <c r="N208" i="12" s="1"/>
  <c r="B208" i="12"/>
  <c r="T207" i="12"/>
  <c r="P207" i="12"/>
  <c r="H207" i="12"/>
  <c r="D207" i="12"/>
  <c r="L207" i="12" s="1"/>
  <c r="N207" i="12" s="1"/>
  <c r="B207" i="12"/>
  <c r="X206" i="12"/>
  <c r="Z206" i="12" s="1"/>
  <c r="L206" i="12"/>
  <c r="N206" i="12" s="1"/>
  <c r="B206" i="12"/>
  <c r="X205" i="12"/>
  <c r="Z205" i="12" s="1"/>
  <c r="N205" i="12"/>
  <c r="L205" i="12"/>
  <c r="B205" i="12"/>
  <c r="X204" i="12"/>
  <c r="T204" i="12"/>
  <c r="Z204" i="12" s="1"/>
  <c r="P204" i="12"/>
  <c r="H204" i="12"/>
  <c r="D204" i="12"/>
  <c r="B204" i="12"/>
  <c r="Z203" i="12"/>
  <c r="X203" i="12"/>
  <c r="L203" i="12"/>
  <c r="N203" i="12" s="1"/>
  <c r="B203" i="12"/>
  <c r="X202" i="12"/>
  <c r="T202" i="12"/>
  <c r="P202" i="12"/>
  <c r="H202" i="12"/>
  <c r="D202" i="12"/>
  <c r="L202" i="12" s="1"/>
  <c r="B202" i="12"/>
  <c r="Z201" i="12"/>
  <c r="X201" i="12"/>
  <c r="L201" i="12"/>
  <c r="N201" i="12" s="1"/>
  <c r="B201" i="12"/>
  <c r="T200" i="12"/>
  <c r="P200" i="12"/>
  <c r="H200" i="12"/>
  <c r="D200" i="12"/>
  <c r="L200" i="12" s="1"/>
  <c r="N200" i="12" s="1"/>
  <c r="B200" i="12"/>
  <c r="Z199" i="12"/>
  <c r="X199" i="12"/>
  <c r="N199" i="12"/>
  <c r="L199" i="12"/>
  <c r="B199" i="12"/>
  <c r="T198" i="12"/>
  <c r="P198" i="12"/>
  <c r="X198" i="12" s="1"/>
  <c r="L198" i="12"/>
  <c r="H198" i="12"/>
  <c r="N198" i="12" s="1"/>
  <c r="D198" i="12"/>
  <c r="B198" i="12"/>
  <c r="Z197" i="12"/>
  <c r="X197" i="12"/>
  <c r="N197" i="12"/>
  <c r="L197" i="12"/>
  <c r="B197" i="12"/>
  <c r="Z196" i="12"/>
  <c r="X196" i="12"/>
  <c r="L196" i="12"/>
  <c r="N196" i="12" s="1"/>
  <c r="B196" i="12"/>
  <c r="T195" i="12"/>
  <c r="P195" i="12"/>
  <c r="X195" i="12" s="1"/>
  <c r="Z195" i="12" s="1"/>
  <c r="N195" i="12"/>
  <c r="L195" i="12"/>
  <c r="H195" i="12"/>
  <c r="D195" i="12"/>
  <c r="B195" i="12"/>
  <c r="X194" i="12"/>
  <c r="Z194" i="12" s="1"/>
  <c r="L194" i="12"/>
  <c r="N194" i="12" s="1"/>
  <c r="B194" i="12"/>
  <c r="Z193" i="12"/>
  <c r="X193" i="12"/>
  <c r="L193" i="12"/>
  <c r="N193" i="12" s="1"/>
  <c r="B193" i="12"/>
  <c r="T192" i="12"/>
  <c r="X192" i="12" s="1"/>
  <c r="P192" i="12"/>
  <c r="H192" i="12"/>
  <c r="D192" i="12"/>
  <c r="L192" i="12" s="1"/>
  <c r="N192" i="12" s="1"/>
  <c r="B192" i="12"/>
  <c r="Z191" i="12"/>
  <c r="X191" i="12"/>
  <c r="N191" i="12"/>
  <c r="L191" i="12"/>
  <c r="B191" i="12"/>
  <c r="T190" i="12"/>
  <c r="P190" i="12"/>
  <c r="X190" i="12" s="1"/>
  <c r="L190" i="12"/>
  <c r="H190" i="12"/>
  <c r="N190" i="12" s="1"/>
  <c r="D190" i="12"/>
  <c r="B190" i="12"/>
  <c r="Z189" i="12"/>
  <c r="X189" i="12"/>
  <c r="N189" i="12"/>
  <c r="L189" i="12"/>
  <c r="B189" i="12"/>
  <c r="Z188" i="12"/>
  <c r="X188" i="12"/>
  <c r="L188" i="12"/>
  <c r="N188" i="12" s="1"/>
  <c r="B188" i="12"/>
  <c r="T187" i="12"/>
  <c r="P187" i="12"/>
  <c r="X187" i="12" s="1"/>
  <c r="Z187" i="12" s="1"/>
  <c r="N187" i="12"/>
  <c r="L187" i="12"/>
  <c r="H187" i="12"/>
  <c r="D187" i="12"/>
  <c r="B187" i="12"/>
  <c r="X186" i="12"/>
  <c r="Z186" i="12" s="1"/>
  <c r="L186" i="12"/>
  <c r="N186" i="12" s="1"/>
  <c r="B186" i="12"/>
  <c r="Z185" i="12"/>
  <c r="T185" i="12"/>
  <c r="P185" i="12"/>
  <c r="X185" i="12" s="1"/>
  <c r="H185" i="12"/>
  <c r="D185" i="12"/>
  <c r="B185" i="12"/>
  <c r="X184" i="12"/>
  <c r="Z184" i="12" s="1"/>
  <c r="N184" i="12"/>
  <c r="L184" i="12"/>
  <c r="B184" i="12"/>
  <c r="Z183" i="12"/>
  <c r="X183" i="12"/>
  <c r="N183" i="12"/>
  <c r="L183" i="12"/>
  <c r="B183" i="12"/>
  <c r="X182" i="12"/>
  <c r="Z182" i="12" s="1"/>
  <c r="L182" i="12"/>
  <c r="N182" i="12" s="1"/>
  <c r="B182" i="12"/>
  <c r="X181" i="12"/>
  <c r="Z181" i="12" s="1"/>
  <c r="N181" i="12"/>
  <c r="L181" i="12"/>
  <c r="B181" i="12"/>
  <c r="X180" i="12"/>
  <c r="Z180" i="12" s="1"/>
  <c r="N180" i="12"/>
  <c r="L180" i="12"/>
  <c r="B180" i="12"/>
  <c r="Z179" i="12"/>
  <c r="X179" i="12"/>
  <c r="N179" i="12"/>
  <c r="L179" i="12"/>
  <c r="B179" i="12"/>
  <c r="X178" i="12"/>
  <c r="Z178" i="12" s="1"/>
  <c r="L178" i="12"/>
  <c r="N178" i="12" s="1"/>
  <c r="B178" i="12"/>
  <c r="T177" i="12"/>
  <c r="P177" i="12"/>
  <c r="X177" i="12" s="1"/>
  <c r="Z177" i="12" s="1"/>
  <c r="N177" i="12"/>
  <c r="H177" i="12"/>
  <c r="D177" i="12"/>
  <c r="L177" i="12" s="1"/>
  <c r="B177" i="12"/>
  <c r="Z176" i="12"/>
  <c r="X176" i="12"/>
  <c r="L176" i="12"/>
  <c r="N176" i="12" s="1"/>
  <c r="B176" i="12"/>
  <c r="Z175" i="12"/>
  <c r="X175" i="12"/>
  <c r="L175" i="12"/>
  <c r="N175" i="12" s="1"/>
  <c r="B175" i="12"/>
  <c r="X174" i="12"/>
  <c r="Z174" i="12" s="1"/>
  <c r="L174" i="12"/>
  <c r="N174" i="12" s="1"/>
  <c r="B174" i="12"/>
  <c r="Z173" i="12"/>
  <c r="X173" i="12"/>
  <c r="N173" i="12"/>
  <c r="L173" i="12"/>
  <c r="B173" i="12"/>
  <c r="Z172" i="12"/>
  <c r="X172" i="12"/>
  <c r="L172" i="12"/>
  <c r="N172" i="12" s="1"/>
  <c r="B172" i="12"/>
  <c r="Z171" i="12"/>
  <c r="X171" i="12"/>
  <c r="L171" i="12"/>
  <c r="N171" i="12" s="1"/>
  <c r="B171" i="12"/>
  <c r="X170" i="12"/>
  <c r="Z170" i="12" s="1"/>
  <c r="L170" i="12"/>
  <c r="N170" i="12" s="1"/>
  <c r="B170" i="12"/>
  <c r="Z169" i="12"/>
  <c r="X169" i="12"/>
  <c r="N169" i="12"/>
  <c r="L169" i="12"/>
  <c r="B169" i="12"/>
  <c r="Z168" i="12"/>
  <c r="X168" i="12"/>
  <c r="L168" i="12"/>
  <c r="N168" i="12" s="1"/>
  <c r="B168" i="12"/>
  <c r="T167" i="12"/>
  <c r="P167" i="12"/>
  <c r="X167" i="12" s="1"/>
  <c r="Z167" i="12" s="1"/>
  <c r="N167" i="12"/>
  <c r="L167" i="12"/>
  <c r="H167" i="12"/>
  <c r="D167" i="12"/>
  <c r="B167" i="12"/>
  <c r="T166" i="12"/>
  <c r="P166" i="12"/>
  <c r="X166" i="12" s="1"/>
  <c r="Z166" i="12" s="1"/>
  <c r="H166" i="12"/>
  <c r="D166" i="12"/>
  <c r="X162" i="12"/>
  <c r="Z162" i="12" s="1"/>
  <c r="N162" i="12"/>
  <c r="L162" i="12"/>
  <c r="B162" i="12"/>
  <c r="Z161" i="12"/>
  <c r="X161" i="12"/>
  <c r="L161" i="12"/>
  <c r="N161" i="12" s="1"/>
  <c r="B161" i="12"/>
  <c r="X160" i="12"/>
  <c r="Z160" i="12" s="1"/>
  <c r="N160" i="12"/>
  <c r="L160" i="12"/>
  <c r="B160" i="12"/>
  <c r="X159" i="12"/>
  <c r="Z159" i="12" s="1"/>
  <c r="N159" i="12"/>
  <c r="L159" i="12"/>
  <c r="B159" i="12"/>
  <c r="X158" i="12"/>
  <c r="Z158" i="12" s="1"/>
  <c r="L158" i="12"/>
  <c r="N158" i="12" s="1"/>
  <c r="B158" i="12"/>
  <c r="Z157" i="12"/>
  <c r="X157" i="12"/>
  <c r="L157" i="12"/>
  <c r="N157" i="12" s="1"/>
  <c r="B157" i="12"/>
  <c r="X156" i="12"/>
  <c r="Z156" i="12" s="1"/>
  <c r="L156" i="12"/>
  <c r="N156" i="12" s="1"/>
  <c r="B156" i="12"/>
  <c r="X155" i="12"/>
  <c r="Z155" i="12" s="1"/>
  <c r="N155" i="12"/>
  <c r="L155" i="12"/>
  <c r="B155" i="12"/>
  <c r="X154" i="12"/>
  <c r="Z154" i="12" s="1"/>
  <c r="L154" i="12"/>
  <c r="N154" i="12" s="1"/>
  <c r="B154" i="12"/>
  <c r="Z153" i="12"/>
  <c r="X153" i="12"/>
  <c r="L153" i="12"/>
  <c r="N153" i="12" s="1"/>
  <c r="B153" i="12"/>
  <c r="X152" i="12"/>
  <c r="Z152" i="12" s="1"/>
  <c r="N152" i="12"/>
  <c r="L152" i="12"/>
  <c r="B152" i="12"/>
  <c r="Z151" i="12"/>
  <c r="X151" i="12"/>
  <c r="N151" i="12"/>
  <c r="L151" i="12"/>
  <c r="B151" i="12"/>
  <c r="X150" i="12"/>
  <c r="Z150" i="12" s="1"/>
  <c r="N150" i="12"/>
  <c r="L150" i="12"/>
  <c r="B150" i="12"/>
  <c r="Z149" i="12"/>
  <c r="X149" i="12"/>
  <c r="N149" i="12"/>
  <c r="L149" i="12"/>
  <c r="B149" i="12"/>
  <c r="X148" i="12"/>
  <c r="Z148" i="12" s="1"/>
  <c r="L148" i="12"/>
  <c r="N148" i="12" s="1"/>
  <c r="B148" i="12"/>
  <c r="X147" i="12"/>
  <c r="Z147" i="12" s="1"/>
  <c r="N147" i="12"/>
  <c r="L147" i="12"/>
  <c r="B147" i="12"/>
  <c r="X146" i="12"/>
  <c r="Z146" i="12" s="1"/>
  <c r="L146" i="12"/>
  <c r="N146" i="12" s="1"/>
  <c r="B146" i="12"/>
  <c r="Z145" i="12"/>
  <c r="X145" i="12"/>
  <c r="L145" i="12"/>
  <c r="N145" i="12" s="1"/>
  <c r="B145" i="12"/>
  <c r="X144" i="12"/>
  <c r="Z144" i="12" s="1"/>
  <c r="L144" i="12"/>
  <c r="N144" i="12" s="1"/>
  <c r="B144" i="12"/>
  <c r="Z143" i="12"/>
  <c r="X143" i="12"/>
  <c r="N143" i="12"/>
  <c r="L143" i="12"/>
  <c r="B143" i="12"/>
  <c r="X142" i="12"/>
  <c r="Z142" i="12" s="1"/>
  <c r="L142" i="12"/>
  <c r="N142" i="12" s="1"/>
  <c r="B142" i="12"/>
  <c r="Z141" i="12"/>
  <c r="X141" i="12"/>
  <c r="L141" i="12"/>
  <c r="N141" i="12" s="1"/>
  <c r="B141" i="12"/>
  <c r="X140" i="12"/>
  <c r="Z140" i="12" s="1"/>
  <c r="L140" i="12"/>
  <c r="N140" i="12" s="1"/>
  <c r="B140" i="12"/>
  <c r="X139" i="12"/>
  <c r="Z139" i="12" s="1"/>
  <c r="N139" i="12"/>
  <c r="L139" i="12"/>
  <c r="B139" i="12"/>
  <c r="X138" i="12"/>
  <c r="Z138" i="12" s="1"/>
  <c r="L138" i="12"/>
  <c r="N138" i="12" s="1"/>
  <c r="B138" i="12"/>
  <c r="Z137" i="12"/>
  <c r="X137" i="12"/>
  <c r="L137" i="12"/>
  <c r="N137" i="12" s="1"/>
  <c r="B137" i="12"/>
  <c r="X136" i="12"/>
  <c r="Z136" i="12" s="1"/>
  <c r="L136" i="12"/>
  <c r="N136" i="12" s="1"/>
  <c r="B136" i="12"/>
  <c r="X135" i="12"/>
  <c r="Z135" i="12" s="1"/>
  <c r="N135" i="12"/>
  <c r="L135" i="12"/>
  <c r="B135" i="12"/>
  <c r="X134" i="12"/>
  <c r="Z134" i="12" s="1"/>
  <c r="L134" i="12"/>
  <c r="N134" i="12" s="1"/>
  <c r="B134" i="12"/>
  <c r="Z133" i="12"/>
  <c r="X133" i="12"/>
  <c r="L133" i="12"/>
  <c r="N133" i="12" s="1"/>
  <c r="B133" i="12"/>
  <c r="X132" i="12"/>
  <c r="Z132" i="12" s="1"/>
  <c r="L132" i="12"/>
  <c r="N132" i="12" s="1"/>
  <c r="B132" i="12"/>
  <c r="X131" i="12"/>
  <c r="Z131" i="12" s="1"/>
  <c r="N131" i="12"/>
  <c r="L131" i="12"/>
  <c r="B131" i="12"/>
  <c r="X130" i="12"/>
  <c r="Z130" i="12" s="1"/>
  <c r="L130" i="12"/>
  <c r="N130" i="12" s="1"/>
  <c r="B130" i="12"/>
  <c r="Z129" i="12"/>
  <c r="X129" i="12"/>
  <c r="L129" i="12"/>
  <c r="N129" i="12" s="1"/>
  <c r="B129" i="12"/>
  <c r="X128" i="12"/>
  <c r="Z128" i="12" s="1"/>
  <c r="L128" i="12"/>
  <c r="N128" i="12" s="1"/>
  <c r="B128" i="12"/>
  <c r="X127" i="12"/>
  <c r="Z127" i="12" s="1"/>
  <c r="N127" i="12"/>
  <c r="L127" i="12"/>
  <c r="B127" i="12"/>
  <c r="X126" i="12"/>
  <c r="Z126" i="12" s="1"/>
  <c r="L126" i="12"/>
  <c r="N126" i="12" s="1"/>
  <c r="B126" i="12"/>
  <c r="Z125" i="12"/>
  <c r="X125" i="12"/>
  <c r="L125" i="12"/>
  <c r="N125" i="12" s="1"/>
  <c r="B125" i="12"/>
  <c r="X124" i="12"/>
  <c r="Z124" i="12" s="1"/>
  <c r="L124" i="12"/>
  <c r="N124" i="12" s="1"/>
  <c r="B124" i="12"/>
  <c r="X123" i="12"/>
  <c r="Z123" i="12" s="1"/>
  <c r="N123" i="12"/>
  <c r="L123" i="12"/>
  <c r="B123" i="12"/>
  <c r="X122" i="12"/>
  <c r="Z122" i="12" s="1"/>
  <c r="L122" i="12"/>
  <c r="N122" i="12" s="1"/>
  <c r="B122" i="12"/>
  <c r="Z121" i="12"/>
  <c r="X121" i="12"/>
  <c r="L121" i="12"/>
  <c r="N121" i="12" s="1"/>
  <c r="B121" i="12"/>
  <c r="X120" i="12"/>
  <c r="Z120" i="12" s="1"/>
  <c r="L120" i="12"/>
  <c r="N120" i="12" s="1"/>
  <c r="B120" i="12"/>
  <c r="X119" i="12"/>
  <c r="Z119" i="12" s="1"/>
  <c r="N119" i="12"/>
  <c r="L119" i="12"/>
  <c r="B119" i="12"/>
  <c r="X118" i="12"/>
  <c r="Z118" i="12" s="1"/>
  <c r="N118" i="12"/>
  <c r="L118" i="12"/>
  <c r="B118" i="12"/>
  <c r="Z117" i="12"/>
  <c r="X117" i="12"/>
  <c r="L117" i="12"/>
  <c r="N117" i="12" s="1"/>
  <c r="B117" i="12"/>
  <c r="X116" i="12"/>
  <c r="Z116" i="12" s="1"/>
  <c r="N116" i="12"/>
  <c r="L116" i="12"/>
  <c r="B116" i="12"/>
  <c r="X115" i="12"/>
  <c r="Z115" i="12" s="1"/>
  <c r="N115" i="12"/>
  <c r="L115" i="12"/>
  <c r="B115" i="12"/>
  <c r="X114" i="12"/>
  <c r="Z114" i="12" s="1"/>
  <c r="L114" i="12"/>
  <c r="N114" i="12" s="1"/>
  <c r="B114" i="12"/>
  <c r="Z113" i="12"/>
  <c r="X113" i="12"/>
  <c r="L113" i="12"/>
  <c r="N113" i="12" s="1"/>
  <c r="B113" i="12"/>
  <c r="X112" i="12"/>
  <c r="Z112" i="12" s="1"/>
  <c r="L112" i="12"/>
  <c r="N112" i="12" s="1"/>
  <c r="B112" i="12"/>
  <c r="X111" i="12"/>
  <c r="Z111" i="12" s="1"/>
  <c r="N111" i="12"/>
  <c r="L111" i="12"/>
  <c r="B111" i="12"/>
  <c r="T110" i="12"/>
  <c r="P110" i="12"/>
  <c r="X110" i="12" s="1"/>
  <c r="Z110" i="12" s="1"/>
  <c r="L110" i="12"/>
  <c r="H110" i="12"/>
  <c r="D110" i="12"/>
  <c r="T108" i="12"/>
  <c r="Z108" i="12" s="1"/>
  <c r="P108" i="12"/>
  <c r="H108" i="12"/>
  <c r="N108" i="12" s="1"/>
  <c r="D108" i="12"/>
  <c r="L108" i="12" s="1"/>
  <c r="B108" i="12"/>
  <c r="T107" i="12"/>
  <c r="X107" i="12" s="1"/>
  <c r="Z107" i="12" s="1"/>
  <c r="P107" i="12"/>
  <c r="L107" i="12"/>
  <c r="N107" i="12" s="1"/>
  <c r="H107" i="12"/>
  <c r="D107" i="12"/>
  <c r="B107" i="12"/>
  <c r="T106" i="12"/>
  <c r="P106" i="12"/>
  <c r="X106" i="12" s="1"/>
  <c r="Z106" i="12" s="1"/>
  <c r="L106" i="12"/>
  <c r="N106" i="12" s="1"/>
  <c r="H106" i="12"/>
  <c r="D106" i="12"/>
  <c r="B106" i="12"/>
  <c r="T105" i="12"/>
  <c r="Z105" i="12" s="1"/>
  <c r="P105" i="12"/>
  <c r="X105" i="12" s="1"/>
  <c r="N105" i="12"/>
  <c r="H105" i="12"/>
  <c r="D105" i="12"/>
  <c r="B105" i="12"/>
  <c r="T104" i="12"/>
  <c r="Z104" i="12" s="1"/>
  <c r="P104" i="12"/>
  <c r="H104" i="12"/>
  <c r="N104" i="12" s="1"/>
  <c r="D104" i="12"/>
  <c r="L104" i="12" s="1"/>
  <c r="B104" i="12"/>
  <c r="T103" i="12"/>
  <c r="X103" i="12" s="1"/>
  <c r="Z103" i="12" s="1"/>
  <c r="P103" i="12"/>
  <c r="N103" i="12"/>
  <c r="L103" i="12"/>
  <c r="H103" i="12"/>
  <c r="D103" i="12"/>
  <c r="B103" i="12"/>
  <c r="X102" i="12"/>
  <c r="Z102" i="12" s="1"/>
  <c r="T102" i="12"/>
  <c r="P102" i="12"/>
  <c r="L102" i="12"/>
  <c r="N102" i="12" s="1"/>
  <c r="H102" i="12"/>
  <c r="D102" i="12"/>
  <c r="B102" i="12"/>
  <c r="T101" i="12"/>
  <c r="P101" i="12"/>
  <c r="H101" i="12"/>
  <c r="N101" i="12" s="1"/>
  <c r="D101" i="12"/>
  <c r="L101" i="12" s="1"/>
  <c r="B101" i="12"/>
  <c r="T100" i="12"/>
  <c r="P100" i="12"/>
  <c r="H100" i="12"/>
  <c r="N100" i="12" s="1"/>
  <c r="D100" i="12"/>
  <c r="L100" i="12" s="1"/>
  <c r="B100" i="12"/>
  <c r="Z99" i="12"/>
  <c r="T99" i="12"/>
  <c r="X99" i="12" s="1"/>
  <c r="P99" i="12"/>
  <c r="L99" i="12"/>
  <c r="N99" i="12" s="1"/>
  <c r="H99" i="12"/>
  <c r="D99" i="12"/>
  <c r="B99" i="12"/>
  <c r="X98" i="12"/>
  <c r="Z98" i="12" s="1"/>
  <c r="T98" i="12"/>
  <c r="P98" i="12"/>
  <c r="L98" i="12"/>
  <c r="N98" i="12" s="1"/>
  <c r="H98" i="12"/>
  <c r="D98" i="12"/>
  <c r="B98" i="12"/>
  <c r="T97" i="12"/>
  <c r="P97" i="12"/>
  <c r="X97" i="12" s="1"/>
  <c r="H97" i="12"/>
  <c r="N97" i="12" s="1"/>
  <c r="D97" i="12"/>
  <c r="B97" i="12"/>
  <c r="T96" i="12"/>
  <c r="P96" i="12"/>
  <c r="L96" i="12"/>
  <c r="H96" i="12"/>
  <c r="D96" i="12"/>
  <c r="B96" i="12"/>
  <c r="T95" i="12"/>
  <c r="X95" i="12" s="1"/>
  <c r="Z95" i="12" s="1"/>
  <c r="P95" i="12"/>
  <c r="N95" i="12"/>
  <c r="L95" i="12"/>
  <c r="H95" i="12"/>
  <c r="D95" i="12"/>
  <c r="B95" i="12"/>
  <c r="X94" i="12"/>
  <c r="Z94" i="12" s="1"/>
  <c r="T94" i="12"/>
  <c r="P94" i="12"/>
  <c r="L94" i="12"/>
  <c r="N94" i="12" s="1"/>
  <c r="H94" i="12"/>
  <c r="D94" i="12"/>
  <c r="B94" i="12"/>
  <c r="T93" i="12"/>
  <c r="P93" i="12"/>
  <c r="N93" i="12"/>
  <c r="H93" i="12"/>
  <c r="D93" i="12"/>
  <c r="L93" i="12" s="1"/>
  <c r="B93" i="12"/>
  <c r="T92" i="12"/>
  <c r="P92" i="12"/>
  <c r="L92" i="12"/>
  <c r="H92" i="12"/>
  <c r="D92" i="12"/>
  <c r="B92" i="12"/>
  <c r="Z91" i="12"/>
  <c r="T91" i="12"/>
  <c r="X91" i="12" s="1"/>
  <c r="P91" i="12"/>
  <c r="L91" i="12"/>
  <c r="N91" i="12" s="1"/>
  <c r="H91" i="12"/>
  <c r="D91" i="12"/>
  <c r="B91" i="12"/>
  <c r="X90" i="12"/>
  <c r="Z90" i="12" s="1"/>
  <c r="T90" i="12"/>
  <c r="P90" i="12"/>
  <c r="L90" i="12"/>
  <c r="N90" i="12" s="1"/>
  <c r="H90" i="12"/>
  <c r="D90" i="12"/>
  <c r="B90" i="12"/>
  <c r="T89" i="12"/>
  <c r="P89" i="12"/>
  <c r="H89" i="12"/>
  <c r="D89" i="12"/>
  <c r="B89" i="12"/>
  <c r="T88" i="12"/>
  <c r="P88" i="12"/>
  <c r="H88" i="12"/>
  <c r="N88" i="12" s="1"/>
  <c r="D88" i="12"/>
  <c r="L88" i="12" s="1"/>
  <c r="B88" i="12"/>
  <c r="Z87" i="12"/>
  <c r="T87" i="12"/>
  <c r="X87" i="12" s="1"/>
  <c r="P87" i="12"/>
  <c r="L87" i="12"/>
  <c r="N87" i="12" s="1"/>
  <c r="H87" i="12"/>
  <c r="D87" i="12"/>
  <c r="B87" i="12"/>
  <c r="T86" i="12"/>
  <c r="P86" i="12"/>
  <c r="X86" i="12" s="1"/>
  <c r="Z86" i="12" s="1"/>
  <c r="L86" i="12"/>
  <c r="N86" i="12" s="1"/>
  <c r="H86" i="12"/>
  <c r="D86" i="12"/>
  <c r="B86" i="12"/>
  <c r="T85" i="12"/>
  <c r="P85" i="12"/>
  <c r="X85" i="12" s="1"/>
  <c r="H85" i="12"/>
  <c r="N85" i="12" s="1"/>
  <c r="D85" i="12"/>
  <c r="L85" i="12" s="1"/>
  <c r="B85" i="12"/>
  <c r="T84" i="12"/>
  <c r="P84" i="12"/>
  <c r="L84" i="12"/>
  <c r="H84" i="12"/>
  <c r="N84" i="12" s="1"/>
  <c r="D84" i="12"/>
  <c r="B84" i="12"/>
  <c r="T83" i="12"/>
  <c r="X83" i="12" s="1"/>
  <c r="Z83" i="12" s="1"/>
  <c r="P83" i="12"/>
  <c r="L83" i="12"/>
  <c r="N83" i="12" s="1"/>
  <c r="H83" i="12"/>
  <c r="D83" i="12"/>
  <c r="B83" i="12"/>
  <c r="T82" i="12"/>
  <c r="P82" i="12"/>
  <c r="X82" i="12" s="1"/>
  <c r="Z82" i="12" s="1"/>
  <c r="N82" i="12"/>
  <c r="L82" i="12"/>
  <c r="H82" i="12"/>
  <c r="D82" i="12"/>
  <c r="B82" i="12"/>
  <c r="T81" i="12"/>
  <c r="P81" i="12"/>
  <c r="X81" i="12" s="1"/>
  <c r="H81" i="12"/>
  <c r="N81" i="12" s="1"/>
  <c r="D81" i="12"/>
  <c r="L81" i="12" s="1"/>
  <c r="B81" i="12"/>
  <c r="T80" i="12"/>
  <c r="P80" i="12"/>
  <c r="H80" i="12"/>
  <c r="N80" i="12" s="1"/>
  <c r="D80" i="12"/>
  <c r="L80" i="12" s="1"/>
  <c r="B80" i="12"/>
  <c r="T79" i="12"/>
  <c r="X79" i="12" s="1"/>
  <c r="Z79" i="12" s="1"/>
  <c r="P79" i="12"/>
  <c r="L79" i="12"/>
  <c r="N79" i="12" s="1"/>
  <c r="H79" i="12"/>
  <c r="D79" i="12"/>
  <c r="B79" i="12"/>
  <c r="X78" i="12"/>
  <c r="Z78" i="12" s="1"/>
  <c r="T78" i="12"/>
  <c r="P78" i="12"/>
  <c r="N78" i="12"/>
  <c r="L78" i="12"/>
  <c r="H78" i="12"/>
  <c r="D78" i="12"/>
  <c r="B78" i="12"/>
  <c r="T77" i="12"/>
  <c r="P77" i="12"/>
  <c r="X77" i="12" s="1"/>
  <c r="H77" i="12"/>
  <c r="D77" i="12"/>
  <c r="B77" i="12"/>
  <c r="T76" i="12"/>
  <c r="P76" i="12"/>
  <c r="H76" i="12"/>
  <c r="D76" i="12"/>
  <c r="L76" i="12" s="1"/>
  <c r="B76" i="12"/>
  <c r="T75" i="12"/>
  <c r="X75" i="12" s="1"/>
  <c r="Z75" i="12" s="1"/>
  <c r="P75" i="12"/>
  <c r="L75" i="12"/>
  <c r="N75" i="12" s="1"/>
  <c r="H75" i="12"/>
  <c r="D75" i="12"/>
  <c r="B75" i="12"/>
  <c r="X74" i="12"/>
  <c r="Z74" i="12" s="1"/>
  <c r="T74" i="12"/>
  <c r="P74" i="12"/>
  <c r="L74" i="12"/>
  <c r="N74" i="12" s="1"/>
  <c r="H74" i="12"/>
  <c r="D74" i="12"/>
  <c r="B74" i="12"/>
  <c r="T73" i="12"/>
  <c r="P73" i="12"/>
  <c r="N73" i="12"/>
  <c r="H73" i="12"/>
  <c r="D73" i="12"/>
  <c r="L73" i="12" s="1"/>
  <c r="B73" i="12"/>
  <c r="T72" i="12"/>
  <c r="P72" i="12"/>
  <c r="L72" i="12"/>
  <c r="H72" i="12"/>
  <c r="D72" i="12"/>
  <c r="B72" i="12"/>
  <c r="Z71" i="12"/>
  <c r="T71" i="12"/>
  <c r="X71" i="12" s="1"/>
  <c r="P71" i="12"/>
  <c r="L71" i="12"/>
  <c r="N71" i="12" s="1"/>
  <c r="H71" i="12"/>
  <c r="D71" i="12"/>
  <c r="B71" i="12"/>
  <c r="X70" i="12"/>
  <c r="Z70" i="12" s="1"/>
  <c r="T70" i="12"/>
  <c r="P70" i="12"/>
  <c r="L70" i="12"/>
  <c r="N70" i="12" s="1"/>
  <c r="H70" i="12"/>
  <c r="D70" i="12"/>
  <c r="B70" i="12"/>
  <c r="T69" i="12"/>
  <c r="P69" i="12"/>
  <c r="H69" i="12"/>
  <c r="D69" i="12"/>
  <c r="B69" i="12"/>
  <c r="T68" i="12"/>
  <c r="P68" i="12"/>
  <c r="H68" i="12"/>
  <c r="D68" i="12"/>
  <c r="L68" i="12" s="1"/>
  <c r="B68" i="12"/>
  <c r="Z67" i="12"/>
  <c r="T67" i="12"/>
  <c r="X67" i="12" s="1"/>
  <c r="P67" i="12"/>
  <c r="L67" i="12"/>
  <c r="N67" i="12" s="1"/>
  <c r="H67" i="12"/>
  <c r="D67" i="12"/>
  <c r="B67" i="12"/>
  <c r="T66" i="12"/>
  <c r="P66" i="12"/>
  <c r="X66" i="12" s="1"/>
  <c r="Z66" i="12" s="1"/>
  <c r="L66" i="12"/>
  <c r="N66" i="12" s="1"/>
  <c r="H66" i="12"/>
  <c r="D66" i="12"/>
  <c r="B66" i="12"/>
  <c r="T65" i="12"/>
  <c r="P65" i="12"/>
  <c r="X65" i="12" s="1"/>
  <c r="H65" i="12"/>
  <c r="N65" i="12" s="1"/>
  <c r="D65" i="12"/>
  <c r="L65" i="12" s="1"/>
  <c r="B65" i="12"/>
  <c r="T64" i="12"/>
  <c r="P64" i="12"/>
  <c r="L64" i="12"/>
  <c r="H64" i="12"/>
  <c r="D64" i="12"/>
  <c r="B64" i="12"/>
  <c r="T63" i="12"/>
  <c r="X63" i="12" s="1"/>
  <c r="Z63" i="12" s="1"/>
  <c r="P63" i="12"/>
  <c r="N63" i="12"/>
  <c r="L63" i="12"/>
  <c r="H63" i="12"/>
  <c r="D63" i="12"/>
  <c r="B63" i="12"/>
  <c r="X62" i="12"/>
  <c r="Z62" i="12" s="1"/>
  <c r="T62" i="12"/>
  <c r="P62" i="12"/>
  <c r="L62" i="12"/>
  <c r="N62" i="12" s="1"/>
  <c r="H62" i="12"/>
  <c r="D62" i="12"/>
  <c r="B62" i="12"/>
  <c r="T61" i="12"/>
  <c r="P61" i="12"/>
  <c r="X61" i="12" s="1"/>
  <c r="H61" i="12"/>
  <c r="N61" i="12" s="1"/>
  <c r="D61" i="12"/>
  <c r="L61" i="12" s="1"/>
  <c r="B61" i="12"/>
  <c r="T60" i="12"/>
  <c r="P60" i="12"/>
  <c r="H60" i="12"/>
  <c r="D60" i="12"/>
  <c r="L60" i="12" s="1"/>
  <c r="B60" i="12"/>
  <c r="T59" i="12"/>
  <c r="X59" i="12" s="1"/>
  <c r="Z59" i="12" s="1"/>
  <c r="P59" i="12"/>
  <c r="L59" i="12"/>
  <c r="N59" i="12" s="1"/>
  <c r="H59" i="12"/>
  <c r="D59" i="12"/>
  <c r="B59" i="12"/>
  <c r="X58" i="12"/>
  <c r="Z58" i="12" s="1"/>
  <c r="T58" i="12"/>
  <c r="P58" i="12"/>
  <c r="L58" i="12"/>
  <c r="N58" i="12" s="1"/>
  <c r="H58" i="12"/>
  <c r="D58" i="12"/>
  <c r="B58" i="12"/>
  <c r="T57" i="12"/>
  <c r="P57" i="12"/>
  <c r="X57" i="12" s="1"/>
  <c r="H57" i="12"/>
  <c r="D57" i="12"/>
  <c r="B57" i="12"/>
  <c r="T56" i="12"/>
  <c r="P56" i="12"/>
  <c r="L56" i="12"/>
  <c r="H56" i="12"/>
  <c r="D56" i="12"/>
  <c r="B56" i="12"/>
  <c r="T55" i="12"/>
  <c r="X55" i="12" s="1"/>
  <c r="Z55" i="12" s="1"/>
  <c r="P55" i="12"/>
  <c r="L55" i="12"/>
  <c r="N55" i="12" s="1"/>
  <c r="H55" i="12"/>
  <c r="D55" i="12"/>
  <c r="B55" i="12"/>
  <c r="X54" i="12"/>
  <c r="Z54" i="12" s="1"/>
  <c r="T54" i="12"/>
  <c r="P54" i="12"/>
  <c r="N54" i="12"/>
  <c r="L54" i="12"/>
  <c r="H54" i="12"/>
  <c r="D54" i="12"/>
  <c r="B54" i="12"/>
  <c r="T53" i="12"/>
  <c r="P53" i="12"/>
  <c r="N53" i="12"/>
  <c r="H53" i="12"/>
  <c r="D53" i="12"/>
  <c r="L53" i="12" s="1"/>
  <c r="B53" i="12"/>
  <c r="T52" i="12"/>
  <c r="P52" i="12"/>
  <c r="L52" i="12"/>
  <c r="H52" i="12"/>
  <c r="D52" i="12"/>
  <c r="B52" i="12"/>
  <c r="Z51" i="12"/>
  <c r="T51" i="12"/>
  <c r="X51" i="12" s="1"/>
  <c r="P51" i="12"/>
  <c r="N51" i="12"/>
  <c r="L51" i="12"/>
  <c r="H51" i="12"/>
  <c r="D51" i="12"/>
  <c r="B51" i="12"/>
  <c r="X50" i="12"/>
  <c r="Z50" i="12" s="1"/>
  <c r="T50" i="12"/>
  <c r="P50" i="12"/>
  <c r="L50" i="12"/>
  <c r="N50" i="12" s="1"/>
  <c r="H50" i="12"/>
  <c r="D50" i="12"/>
  <c r="B50" i="12"/>
  <c r="T49" i="12"/>
  <c r="P49" i="12"/>
  <c r="X49" i="12" s="1"/>
  <c r="N49" i="12"/>
  <c r="H49" i="12"/>
  <c r="L49" i="12" s="1"/>
  <c r="D49" i="12"/>
  <c r="B49" i="12"/>
  <c r="T48" i="12"/>
  <c r="P48" i="12"/>
  <c r="H48" i="12"/>
  <c r="D48" i="12"/>
  <c r="L48" i="12" s="1"/>
  <c r="B48" i="12"/>
  <c r="T47" i="12"/>
  <c r="X47" i="12" s="1"/>
  <c r="Z47" i="12" s="1"/>
  <c r="P47" i="12"/>
  <c r="L47" i="12"/>
  <c r="N47" i="12" s="1"/>
  <c r="H47" i="12"/>
  <c r="D47" i="12"/>
  <c r="B47" i="12"/>
  <c r="T46" i="12"/>
  <c r="P46" i="12"/>
  <c r="X46" i="12" s="1"/>
  <c r="L46" i="12"/>
  <c r="N46" i="12" s="1"/>
  <c r="H46" i="12"/>
  <c r="D46" i="12"/>
  <c r="B46" i="12"/>
  <c r="T45" i="12"/>
  <c r="P45" i="12"/>
  <c r="H45" i="12"/>
  <c r="L45" i="12" s="1"/>
  <c r="D45" i="12"/>
  <c r="B45" i="12"/>
  <c r="T44" i="12"/>
  <c r="P44" i="12"/>
  <c r="L44" i="12"/>
  <c r="H44" i="12"/>
  <c r="D44" i="12"/>
  <c r="B44" i="12"/>
  <c r="Z43" i="12"/>
  <c r="T43" i="12"/>
  <c r="X43" i="12" s="1"/>
  <c r="P43" i="12"/>
  <c r="L43" i="12"/>
  <c r="N43" i="12" s="1"/>
  <c r="H43" i="12"/>
  <c r="D43" i="12"/>
  <c r="B43" i="12"/>
  <c r="X42" i="12"/>
  <c r="T42" i="12"/>
  <c r="P42" i="12"/>
  <c r="L42" i="12"/>
  <c r="N42" i="12" s="1"/>
  <c r="H42" i="12"/>
  <c r="D42" i="12"/>
  <c r="B42" i="12"/>
  <c r="T41" i="12"/>
  <c r="P41" i="12"/>
  <c r="X41" i="12" s="1"/>
  <c r="H41" i="12"/>
  <c r="L41" i="12" s="1"/>
  <c r="D41" i="12"/>
  <c r="B41" i="12"/>
  <c r="T40" i="12"/>
  <c r="P40" i="12"/>
  <c r="H40" i="12"/>
  <c r="D40" i="12"/>
  <c r="L40" i="12" s="1"/>
  <c r="B40" i="12"/>
  <c r="T39" i="12"/>
  <c r="X39" i="12" s="1"/>
  <c r="Z39" i="12" s="1"/>
  <c r="P39" i="12"/>
  <c r="L39" i="12"/>
  <c r="N39" i="12" s="1"/>
  <c r="H39" i="12"/>
  <c r="D39" i="12"/>
  <c r="B39" i="12"/>
  <c r="X38" i="12"/>
  <c r="T38" i="12"/>
  <c r="P38" i="12"/>
  <c r="L38" i="12"/>
  <c r="N38" i="12" s="1"/>
  <c r="H38" i="12"/>
  <c r="D38" i="12"/>
  <c r="B38" i="12"/>
  <c r="T37" i="12"/>
  <c r="P37" i="12"/>
  <c r="X37" i="12" s="1"/>
  <c r="H37" i="12"/>
  <c r="L37" i="12" s="1"/>
  <c r="D37" i="12"/>
  <c r="B37" i="12"/>
  <c r="T36" i="12"/>
  <c r="P36" i="12"/>
  <c r="L36" i="12"/>
  <c r="H36" i="12"/>
  <c r="D36" i="12"/>
  <c r="B36" i="12"/>
  <c r="T35" i="12"/>
  <c r="X35" i="12" s="1"/>
  <c r="Z35" i="12" s="1"/>
  <c r="P35" i="12"/>
  <c r="L35" i="12"/>
  <c r="N35" i="12" s="1"/>
  <c r="H35" i="12"/>
  <c r="D35" i="12"/>
  <c r="B35" i="12"/>
  <c r="X34" i="12"/>
  <c r="T34" i="12"/>
  <c r="Z34" i="12" s="1"/>
  <c r="P34" i="12"/>
  <c r="L34" i="12"/>
  <c r="N34" i="12" s="1"/>
  <c r="H34" i="12"/>
  <c r="D34" i="12"/>
  <c r="B34" i="12"/>
  <c r="T33" i="12"/>
  <c r="P33" i="12"/>
  <c r="X33" i="12" s="1"/>
  <c r="N33" i="12"/>
  <c r="H33" i="12"/>
  <c r="L33" i="12" s="1"/>
  <c r="D33" i="12"/>
  <c r="B33" i="12"/>
  <c r="T32" i="12"/>
  <c r="P32" i="12"/>
  <c r="L32" i="12"/>
  <c r="H32" i="12"/>
  <c r="N32" i="12" s="1"/>
  <c r="D32" i="12"/>
  <c r="B32" i="12"/>
  <c r="T31" i="12"/>
  <c r="X31" i="12" s="1"/>
  <c r="Z31" i="12" s="1"/>
  <c r="P31" i="12"/>
  <c r="L31" i="12"/>
  <c r="N31" i="12" s="1"/>
  <c r="H31" i="12"/>
  <c r="D31" i="12"/>
  <c r="B31" i="12"/>
  <c r="T30" i="12"/>
  <c r="P30" i="12"/>
  <c r="X30" i="12" s="1"/>
  <c r="L30" i="12"/>
  <c r="N30" i="12" s="1"/>
  <c r="H30" i="12"/>
  <c r="D30" i="12"/>
  <c r="B30" i="12"/>
  <c r="T29" i="12"/>
  <c r="P29" i="12"/>
  <c r="N29" i="12"/>
  <c r="H29" i="12"/>
  <c r="L29" i="12" s="1"/>
  <c r="D29" i="12"/>
  <c r="B29" i="12"/>
  <c r="T28" i="12"/>
  <c r="P28" i="12"/>
  <c r="H28" i="12"/>
  <c r="D28" i="12"/>
  <c r="L28" i="12" s="1"/>
  <c r="B28" i="12"/>
  <c r="Z27" i="12"/>
  <c r="T27" i="12"/>
  <c r="X27" i="12" s="1"/>
  <c r="P27" i="12"/>
  <c r="L27" i="12"/>
  <c r="N27" i="12" s="1"/>
  <c r="H27" i="12"/>
  <c r="D27" i="12"/>
  <c r="B27" i="12"/>
  <c r="X26" i="12"/>
  <c r="T26" i="12"/>
  <c r="P26" i="12"/>
  <c r="L26" i="12"/>
  <c r="N26" i="12" s="1"/>
  <c r="H26" i="12"/>
  <c r="D26" i="12"/>
  <c r="B26" i="12"/>
  <c r="T25" i="12"/>
  <c r="P25" i="12"/>
  <c r="N25" i="12"/>
  <c r="H25" i="12"/>
  <c r="L25" i="12" s="1"/>
  <c r="D25" i="12"/>
  <c r="B25" i="12"/>
  <c r="T24" i="12"/>
  <c r="P24" i="12"/>
  <c r="H24" i="12"/>
  <c r="D24" i="12"/>
  <c r="L24" i="12" s="1"/>
  <c r="B24" i="12"/>
  <c r="Z23" i="12"/>
  <c r="T23" i="12"/>
  <c r="X23" i="12" s="1"/>
  <c r="P23" i="12"/>
  <c r="L23" i="12"/>
  <c r="N23" i="12" s="1"/>
  <c r="H23" i="12"/>
  <c r="D23" i="12"/>
  <c r="B23" i="12"/>
  <c r="T22" i="12"/>
  <c r="P22" i="12"/>
  <c r="X22" i="12" s="1"/>
  <c r="L22" i="12"/>
  <c r="N22" i="12" s="1"/>
  <c r="H22" i="12"/>
  <c r="D22" i="12"/>
  <c r="B22" i="12"/>
  <c r="T21" i="12"/>
  <c r="P21" i="12"/>
  <c r="H21" i="12"/>
  <c r="L21" i="12" s="1"/>
  <c r="D21" i="12"/>
  <c r="B21" i="12"/>
  <c r="T20" i="12"/>
  <c r="P20" i="12"/>
  <c r="L20" i="12"/>
  <c r="H20" i="12"/>
  <c r="D20" i="12"/>
  <c r="B20" i="12"/>
  <c r="Z19" i="12"/>
  <c r="T19" i="12"/>
  <c r="X19" i="12" s="1"/>
  <c r="P19" i="12"/>
  <c r="L19" i="12"/>
  <c r="N19" i="12" s="1"/>
  <c r="H19" i="12"/>
  <c r="D19" i="12"/>
  <c r="B19" i="12"/>
  <c r="X18" i="12"/>
  <c r="T18" i="12"/>
  <c r="P18" i="12"/>
  <c r="L18" i="12"/>
  <c r="N18" i="12" s="1"/>
  <c r="H18" i="12"/>
  <c r="D18" i="12"/>
  <c r="B18" i="12"/>
  <c r="T17" i="12"/>
  <c r="P17" i="12"/>
  <c r="X17" i="12" s="1"/>
  <c r="H17" i="12"/>
  <c r="L17" i="12" s="1"/>
  <c r="D17" i="12"/>
  <c r="B17" i="12"/>
  <c r="T16" i="12"/>
  <c r="P16" i="12"/>
  <c r="H16" i="12"/>
  <c r="N16" i="12" s="1"/>
  <c r="D16" i="12"/>
  <c r="L16" i="12" s="1"/>
  <c r="B16" i="12"/>
  <c r="T15" i="12"/>
  <c r="X15" i="12" s="1"/>
  <c r="Z15" i="12" s="1"/>
  <c r="P15" i="12"/>
  <c r="L15" i="12"/>
  <c r="N15" i="12" s="1"/>
  <c r="H15" i="12"/>
  <c r="D15" i="12"/>
  <c r="B15" i="12"/>
  <c r="X14" i="12"/>
  <c r="T14" i="12"/>
  <c r="Z14" i="12" s="1"/>
  <c r="P14" i="12"/>
  <c r="L14" i="12"/>
  <c r="N14" i="12" s="1"/>
  <c r="H14" i="12"/>
  <c r="D14" i="12"/>
  <c r="B14" i="12"/>
  <c r="T13" i="12"/>
  <c r="P13" i="12"/>
  <c r="H13" i="12"/>
  <c r="D13" i="12"/>
  <c r="B13" i="12"/>
  <c r="D4" i="12"/>
  <c r="J98" i="9"/>
  <c r="F98" i="9"/>
  <c r="J95" i="9"/>
  <c r="Z93" i="9"/>
  <c r="X93" i="9"/>
  <c r="R93" i="9"/>
  <c r="N93" i="9"/>
  <c r="L93" i="9"/>
  <c r="J93" i="9"/>
  <c r="V91" i="9"/>
  <c r="R91" i="9"/>
  <c r="Z89" i="9"/>
  <c r="X89" i="9"/>
  <c r="T89" i="9"/>
  <c r="R89" i="9"/>
  <c r="P89" i="9"/>
  <c r="L89" i="9"/>
  <c r="H89" i="9"/>
  <c r="N89" i="9" s="1"/>
  <c r="D89" i="9"/>
  <c r="Z87" i="9"/>
  <c r="X87" i="9"/>
  <c r="N87" i="9"/>
  <c r="L87" i="9"/>
  <c r="B87" i="9"/>
  <c r="X86" i="9"/>
  <c r="Z86" i="9" s="1"/>
  <c r="R86" i="9"/>
  <c r="L86" i="9"/>
  <c r="N86" i="9" s="1"/>
  <c r="B86" i="9"/>
  <c r="X85" i="9"/>
  <c r="T85" i="9"/>
  <c r="Z85" i="9" s="1"/>
  <c r="R85" i="9"/>
  <c r="P85" i="9"/>
  <c r="N85" i="9"/>
  <c r="L85" i="9"/>
  <c r="J85" i="9"/>
  <c r="H85" i="9"/>
  <c r="D85" i="9"/>
  <c r="B85" i="9"/>
  <c r="Z84" i="9"/>
  <c r="X84" i="9"/>
  <c r="R84" i="9"/>
  <c r="L84" i="9"/>
  <c r="N84" i="9" s="1"/>
  <c r="B84" i="9"/>
  <c r="Z83" i="9"/>
  <c r="T83" i="9"/>
  <c r="P83" i="9"/>
  <c r="X83" i="9" s="1"/>
  <c r="J83" i="9"/>
  <c r="H83" i="9"/>
  <c r="D83" i="9"/>
  <c r="L83" i="9" s="1"/>
  <c r="N83" i="9" s="1"/>
  <c r="B83" i="9"/>
  <c r="X82" i="9"/>
  <c r="Z82" i="9" s="1"/>
  <c r="L82" i="9"/>
  <c r="N82" i="9" s="1"/>
  <c r="B82" i="9"/>
  <c r="Z81" i="9"/>
  <c r="X81" i="9"/>
  <c r="L81" i="9"/>
  <c r="N81" i="9" s="1"/>
  <c r="B81" i="9"/>
  <c r="X80" i="9"/>
  <c r="T80" i="9"/>
  <c r="P80" i="9"/>
  <c r="J80" i="9"/>
  <c r="H80" i="9"/>
  <c r="D80" i="9"/>
  <c r="L80" i="9" s="1"/>
  <c r="B80" i="9"/>
  <c r="Z79" i="9"/>
  <c r="X79" i="9"/>
  <c r="N79" i="9"/>
  <c r="L79" i="9"/>
  <c r="F79" i="9"/>
  <c r="B79" i="9"/>
  <c r="X78" i="9"/>
  <c r="Z78" i="9" s="1"/>
  <c r="R78" i="9"/>
  <c r="L78" i="9"/>
  <c r="N78" i="9" s="1"/>
  <c r="F78" i="9"/>
  <c r="B78" i="9"/>
  <c r="X77" i="9"/>
  <c r="Z77" i="9" s="1"/>
  <c r="N77" i="9"/>
  <c r="L77" i="9"/>
  <c r="J77" i="9"/>
  <c r="B77" i="9"/>
  <c r="X76" i="9"/>
  <c r="Z76" i="9" s="1"/>
  <c r="N76" i="9"/>
  <c r="L76" i="9"/>
  <c r="B76" i="9"/>
  <c r="Z75" i="9"/>
  <c r="X75" i="9"/>
  <c r="T75" i="9"/>
  <c r="R75" i="9"/>
  <c r="P75" i="9"/>
  <c r="L75" i="9"/>
  <c r="H75" i="9"/>
  <c r="N75" i="9" s="1"/>
  <c r="D75" i="9"/>
  <c r="B75" i="9"/>
  <c r="X74" i="9"/>
  <c r="Z74" i="9" s="1"/>
  <c r="R74" i="9"/>
  <c r="N74" i="9"/>
  <c r="L74" i="9"/>
  <c r="J74" i="9"/>
  <c r="B74" i="9"/>
  <c r="T73" i="9"/>
  <c r="X73" i="9" s="1"/>
  <c r="Z73" i="9" s="1"/>
  <c r="R73" i="9"/>
  <c r="P73" i="9"/>
  <c r="N73" i="9"/>
  <c r="H73" i="9"/>
  <c r="D73" i="9"/>
  <c r="L73" i="9" s="1"/>
  <c r="B73" i="9"/>
  <c r="X72" i="9"/>
  <c r="Z72" i="9" s="1"/>
  <c r="R72" i="9"/>
  <c r="L72" i="9"/>
  <c r="N72" i="9" s="1"/>
  <c r="B72" i="9"/>
  <c r="X71" i="9"/>
  <c r="Z71" i="9" s="1"/>
  <c r="V71" i="9"/>
  <c r="N71" i="9"/>
  <c r="L71" i="9"/>
  <c r="J71" i="9"/>
  <c r="B71" i="9"/>
  <c r="V70" i="9"/>
  <c r="T70" i="9"/>
  <c r="P70" i="9"/>
  <c r="X70" i="9" s="1"/>
  <c r="L70" i="9"/>
  <c r="H70" i="9"/>
  <c r="D70" i="9"/>
  <c r="B70" i="9"/>
  <c r="X69" i="9"/>
  <c r="Z69" i="9" s="1"/>
  <c r="N69" i="9"/>
  <c r="L69" i="9"/>
  <c r="J69" i="9"/>
  <c r="B69" i="9"/>
  <c r="X68" i="9"/>
  <c r="Z68" i="9" s="1"/>
  <c r="N68" i="9"/>
  <c r="L68" i="9"/>
  <c r="B68" i="9"/>
  <c r="Z67" i="9"/>
  <c r="X67" i="9"/>
  <c r="V67" i="9"/>
  <c r="N67" i="9"/>
  <c r="L67" i="9"/>
  <c r="B67" i="9"/>
  <c r="X66" i="9"/>
  <c r="Z66" i="9" s="1"/>
  <c r="R66" i="9"/>
  <c r="L66" i="9"/>
  <c r="N66" i="9" s="1"/>
  <c r="B66" i="9"/>
  <c r="X65" i="9"/>
  <c r="T65" i="9"/>
  <c r="Z65" i="9" s="1"/>
  <c r="R65" i="9"/>
  <c r="P65" i="9"/>
  <c r="N65" i="9"/>
  <c r="L65" i="9"/>
  <c r="J65" i="9"/>
  <c r="H65" i="9"/>
  <c r="D65" i="9"/>
  <c r="B65" i="9"/>
  <c r="Z64" i="9"/>
  <c r="X64" i="9"/>
  <c r="R64" i="9"/>
  <c r="L64" i="9"/>
  <c r="N64" i="9" s="1"/>
  <c r="B64" i="9"/>
  <c r="Z63" i="9"/>
  <c r="X63" i="9"/>
  <c r="R63" i="9"/>
  <c r="L63" i="9"/>
  <c r="N63" i="9" s="1"/>
  <c r="J63" i="9"/>
  <c r="B63" i="9"/>
  <c r="X62" i="9"/>
  <c r="Z62" i="9" s="1"/>
  <c r="R62" i="9"/>
  <c r="L62" i="9"/>
  <c r="N62" i="9" s="1"/>
  <c r="J62" i="9"/>
  <c r="B62" i="9"/>
  <c r="Z61" i="9"/>
  <c r="X61" i="9"/>
  <c r="N61" i="9"/>
  <c r="L61" i="9"/>
  <c r="J61" i="9"/>
  <c r="B61" i="9"/>
  <c r="T60" i="9"/>
  <c r="Z60" i="9" s="1"/>
  <c r="P60" i="9"/>
  <c r="X60" i="9" s="1"/>
  <c r="L60" i="9"/>
  <c r="H60" i="9"/>
  <c r="D60" i="9"/>
  <c r="B60" i="9"/>
  <c r="X59" i="9"/>
  <c r="Z59" i="9" s="1"/>
  <c r="V59" i="9"/>
  <c r="N59" i="9"/>
  <c r="L59" i="9"/>
  <c r="J59" i="9"/>
  <c r="B59" i="9"/>
  <c r="T58" i="9"/>
  <c r="P58" i="9"/>
  <c r="X58" i="9" s="1"/>
  <c r="L58" i="9"/>
  <c r="H58" i="9"/>
  <c r="D58" i="9"/>
  <c r="B58" i="9"/>
  <c r="X57" i="9"/>
  <c r="Z57" i="9" s="1"/>
  <c r="N57" i="9"/>
  <c r="L57" i="9"/>
  <c r="J57" i="9"/>
  <c r="B57" i="9"/>
  <c r="X56" i="9"/>
  <c r="T56" i="9"/>
  <c r="Z56" i="9" s="1"/>
  <c r="R56" i="9"/>
  <c r="P56" i="9"/>
  <c r="H56" i="9"/>
  <c r="N56" i="9" s="1"/>
  <c r="D56" i="9"/>
  <c r="L56" i="9" s="1"/>
  <c r="B56" i="9"/>
  <c r="Z55" i="9"/>
  <c r="X55" i="9"/>
  <c r="R55" i="9"/>
  <c r="L55" i="9"/>
  <c r="N55" i="9" s="1"/>
  <c r="J55" i="9"/>
  <c r="B55" i="9"/>
  <c r="X54" i="9"/>
  <c r="T54" i="9"/>
  <c r="P54" i="9"/>
  <c r="H54" i="9"/>
  <c r="D54" i="9"/>
  <c r="L54" i="9" s="1"/>
  <c r="N54" i="9" s="1"/>
  <c r="B54" i="9"/>
  <c r="Z53" i="9"/>
  <c r="X53" i="9"/>
  <c r="L53" i="9"/>
  <c r="N53" i="9" s="1"/>
  <c r="B53" i="9"/>
  <c r="X52" i="9"/>
  <c r="T52" i="9"/>
  <c r="P52" i="9"/>
  <c r="J52" i="9"/>
  <c r="H52" i="9"/>
  <c r="D52" i="9"/>
  <c r="L52" i="9" s="1"/>
  <c r="B52" i="9"/>
  <c r="Z51" i="9"/>
  <c r="X51" i="9"/>
  <c r="N51" i="9"/>
  <c r="L51" i="9"/>
  <c r="F51" i="9"/>
  <c r="B51" i="9"/>
  <c r="T50" i="9"/>
  <c r="P50" i="9"/>
  <c r="X50" i="9" s="1"/>
  <c r="L50" i="9"/>
  <c r="H50" i="9"/>
  <c r="D50" i="9"/>
  <c r="B50" i="9"/>
  <c r="Z49" i="9"/>
  <c r="X49" i="9"/>
  <c r="V49" i="9"/>
  <c r="N49" i="9"/>
  <c r="L49" i="9"/>
  <c r="J49" i="9"/>
  <c r="B49" i="9"/>
  <c r="Z48" i="9"/>
  <c r="T48" i="9"/>
  <c r="P48" i="9"/>
  <c r="X48" i="9" s="1"/>
  <c r="H48" i="9"/>
  <c r="D48" i="9"/>
  <c r="B48" i="9"/>
  <c r="X47" i="9"/>
  <c r="Z47" i="9" s="1"/>
  <c r="N47" i="9"/>
  <c r="L47" i="9"/>
  <c r="J47" i="9"/>
  <c r="B47" i="9"/>
  <c r="X46" i="9"/>
  <c r="Z46" i="9" s="1"/>
  <c r="L46" i="9"/>
  <c r="N46" i="9" s="1"/>
  <c r="B46" i="9"/>
  <c r="Z45" i="9"/>
  <c r="V45" i="9"/>
  <c r="T45" i="9"/>
  <c r="P45" i="9"/>
  <c r="X45" i="9" s="1"/>
  <c r="J45" i="9"/>
  <c r="H45" i="9"/>
  <c r="N45" i="9" s="1"/>
  <c r="F45" i="9"/>
  <c r="D45" i="9"/>
  <c r="L45" i="9" s="1"/>
  <c r="B45" i="9"/>
  <c r="X44" i="9"/>
  <c r="Z44" i="9" s="1"/>
  <c r="N44" i="9"/>
  <c r="L44" i="9"/>
  <c r="B44" i="9"/>
  <c r="Z43" i="9"/>
  <c r="X43" i="9"/>
  <c r="T43" i="9"/>
  <c r="R43" i="9"/>
  <c r="P43" i="9"/>
  <c r="L43" i="9"/>
  <c r="N43" i="9" s="1"/>
  <c r="H43" i="9"/>
  <c r="D43" i="9"/>
  <c r="B43" i="9"/>
  <c r="X42" i="9"/>
  <c r="Z42" i="9" s="1"/>
  <c r="R42" i="9"/>
  <c r="L42" i="9"/>
  <c r="N42" i="9" s="1"/>
  <c r="J42" i="9"/>
  <c r="B42" i="9"/>
  <c r="Z41" i="9"/>
  <c r="T41" i="9"/>
  <c r="X41" i="9" s="1"/>
  <c r="R41" i="9"/>
  <c r="P41" i="9"/>
  <c r="H41" i="9"/>
  <c r="N41" i="9" s="1"/>
  <c r="D41" i="9"/>
  <c r="L41" i="9" s="1"/>
  <c r="B41" i="9"/>
  <c r="X40" i="9"/>
  <c r="Z40" i="9" s="1"/>
  <c r="R40" i="9"/>
  <c r="L40" i="9"/>
  <c r="N40" i="9" s="1"/>
  <c r="B40" i="9"/>
  <c r="T39" i="9"/>
  <c r="Z39" i="9" s="1"/>
  <c r="R39" i="9"/>
  <c r="P39" i="9"/>
  <c r="X39" i="9" s="1"/>
  <c r="J39" i="9"/>
  <c r="H39" i="9"/>
  <c r="D39" i="9"/>
  <c r="L39" i="9" s="1"/>
  <c r="N39" i="9" s="1"/>
  <c r="B39" i="9"/>
  <c r="Z38" i="9"/>
  <c r="X38" i="9"/>
  <c r="R38" i="9"/>
  <c r="N38" i="9"/>
  <c r="L38" i="9"/>
  <c r="B38" i="9"/>
  <c r="X37" i="9"/>
  <c r="Z37" i="9" s="1"/>
  <c r="N37" i="9"/>
  <c r="L37" i="9"/>
  <c r="J37" i="9"/>
  <c r="B37" i="9"/>
  <c r="X36" i="9"/>
  <c r="Z36" i="9" s="1"/>
  <c r="N36" i="9"/>
  <c r="L36" i="9"/>
  <c r="B36" i="9"/>
  <c r="Z35" i="9"/>
  <c r="X35" i="9"/>
  <c r="N35" i="9"/>
  <c r="L35" i="9"/>
  <c r="F35" i="9"/>
  <c r="B35" i="9"/>
  <c r="X34" i="9"/>
  <c r="Z34" i="9" s="1"/>
  <c r="R34" i="9"/>
  <c r="L34" i="9"/>
  <c r="N34" i="9" s="1"/>
  <c r="B34" i="9"/>
  <c r="X33" i="9"/>
  <c r="Z33" i="9" s="1"/>
  <c r="N33" i="9"/>
  <c r="L33" i="9"/>
  <c r="J33" i="9"/>
  <c r="B33" i="9"/>
  <c r="X32" i="9"/>
  <c r="Z32" i="9" s="1"/>
  <c r="N32" i="9"/>
  <c r="L32" i="9"/>
  <c r="B32" i="9"/>
  <c r="Z31" i="9"/>
  <c r="X31" i="9"/>
  <c r="T31" i="9"/>
  <c r="R31" i="9"/>
  <c r="P31" i="9"/>
  <c r="L31" i="9"/>
  <c r="H31" i="9"/>
  <c r="D31" i="9"/>
  <c r="B31" i="9"/>
  <c r="X30" i="9"/>
  <c r="Z30" i="9" s="1"/>
  <c r="R30" i="9"/>
  <c r="L30" i="9"/>
  <c r="N30" i="9" s="1"/>
  <c r="J30" i="9"/>
  <c r="B30" i="9"/>
  <c r="Z29" i="9"/>
  <c r="X29" i="9"/>
  <c r="V29" i="9"/>
  <c r="N29" i="9"/>
  <c r="L29" i="9"/>
  <c r="J29" i="9"/>
  <c r="B29" i="9"/>
  <c r="Z28" i="9"/>
  <c r="X28" i="9"/>
  <c r="R28" i="9"/>
  <c r="L28" i="9"/>
  <c r="N28" i="9" s="1"/>
  <c r="B28" i="9"/>
  <c r="Z27" i="9"/>
  <c r="X27" i="9"/>
  <c r="R27" i="9"/>
  <c r="L27" i="9"/>
  <c r="N27" i="9" s="1"/>
  <c r="J27" i="9"/>
  <c r="B27" i="9"/>
  <c r="X26" i="9"/>
  <c r="Z26" i="9" s="1"/>
  <c r="R26" i="9"/>
  <c r="L26" i="9"/>
  <c r="N26" i="9" s="1"/>
  <c r="J26" i="9"/>
  <c r="B26" i="9"/>
  <c r="Z25" i="9"/>
  <c r="X25" i="9"/>
  <c r="V25" i="9"/>
  <c r="N25" i="9"/>
  <c r="L25" i="9"/>
  <c r="J25" i="9"/>
  <c r="B25" i="9"/>
  <c r="Z24" i="9"/>
  <c r="X24" i="9"/>
  <c r="R24" i="9"/>
  <c r="L24" i="9"/>
  <c r="N24" i="9" s="1"/>
  <c r="B24" i="9"/>
  <c r="Z23" i="9"/>
  <c r="X23" i="9"/>
  <c r="R23" i="9"/>
  <c r="L23" i="9"/>
  <c r="N23" i="9" s="1"/>
  <c r="J23" i="9"/>
  <c r="B23" i="9"/>
  <c r="X22" i="9"/>
  <c r="Z22" i="9" s="1"/>
  <c r="R22" i="9"/>
  <c r="L22" i="9"/>
  <c r="N22" i="9" s="1"/>
  <c r="J22" i="9"/>
  <c r="B22" i="9"/>
  <c r="Z21" i="9"/>
  <c r="X21" i="9"/>
  <c r="V21" i="9"/>
  <c r="N21" i="9"/>
  <c r="L21" i="9"/>
  <c r="J21" i="9"/>
  <c r="B21" i="9"/>
  <c r="Z20" i="9"/>
  <c r="X20" i="9"/>
  <c r="R20" i="9"/>
  <c r="L20" i="9"/>
  <c r="N20" i="9" s="1"/>
  <c r="B20" i="9"/>
  <c r="T19" i="9"/>
  <c r="P19" i="9"/>
  <c r="J19" i="9"/>
  <c r="H19" i="9"/>
  <c r="L19" i="9" s="1"/>
  <c r="N19" i="9" s="1"/>
  <c r="F19" i="9"/>
  <c r="D19" i="9"/>
  <c r="B19" i="9"/>
  <c r="T18" i="9"/>
  <c r="P18" i="9"/>
  <c r="X18" i="9" s="1"/>
  <c r="J18" i="9"/>
  <c r="H18" i="9"/>
  <c r="D18" i="9"/>
  <c r="L18" i="9" s="1"/>
  <c r="V16" i="9"/>
  <c r="J16" i="9"/>
  <c r="T14" i="9"/>
  <c r="Z14" i="9" s="1"/>
  <c r="P14" i="9"/>
  <c r="X14" i="9" s="1"/>
  <c r="L14" i="9"/>
  <c r="J14" i="9"/>
  <c r="H14" i="9"/>
  <c r="N14" i="9" s="1"/>
  <c r="D14" i="9"/>
  <c r="D16" i="9" s="1"/>
  <c r="T12" i="9"/>
  <c r="V89" i="9" s="1"/>
  <c r="P12" i="9"/>
  <c r="R87" i="9" s="1"/>
  <c r="N12" i="9"/>
  <c r="L12" i="9"/>
  <c r="H12" i="9"/>
  <c r="J86" i="9" s="1"/>
  <c r="D12" i="9"/>
  <c r="F86" i="9" s="1"/>
  <c r="D4" i="9"/>
  <c r="J31" i="6"/>
  <c r="F31" i="6"/>
  <c r="T29" i="6"/>
  <c r="Z29" i="6" s="1"/>
  <c r="R29" i="6"/>
  <c r="P29" i="6"/>
  <c r="X29" i="6" s="1"/>
  <c r="J29" i="6"/>
  <c r="H29" i="6"/>
  <c r="F29" i="6"/>
  <c r="D29" i="6"/>
  <c r="L29" i="6" s="1"/>
  <c r="N29" i="6" s="1"/>
  <c r="T28" i="6"/>
  <c r="R28" i="6"/>
  <c r="P28" i="6"/>
  <c r="N28" i="6"/>
  <c r="J28" i="6"/>
  <c r="H28" i="6"/>
  <c r="F28" i="6"/>
  <c r="D28" i="6"/>
  <c r="L28" i="6" s="1"/>
  <c r="R26" i="6"/>
  <c r="J26" i="6"/>
  <c r="F26" i="6"/>
  <c r="Z24" i="6"/>
  <c r="X24" i="6"/>
  <c r="R24" i="6"/>
  <c r="N24" i="6"/>
  <c r="L24" i="6"/>
  <c r="J24" i="6"/>
  <c r="R22" i="6"/>
  <c r="J22" i="6"/>
  <c r="F22" i="6"/>
  <c r="Z20" i="6"/>
  <c r="X20" i="6"/>
  <c r="V20" i="6"/>
  <c r="T20" i="6"/>
  <c r="R20" i="6"/>
  <c r="P20" i="6"/>
  <c r="L20" i="6"/>
  <c r="J20" i="6"/>
  <c r="H20" i="6"/>
  <c r="N20" i="6" s="1"/>
  <c r="D20" i="6"/>
  <c r="Z18" i="6"/>
  <c r="X18" i="6"/>
  <c r="V18" i="6"/>
  <c r="T18" i="6"/>
  <c r="R18" i="6"/>
  <c r="P18" i="6"/>
  <c r="L18" i="6"/>
  <c r="J18" i="6"/>
  <c r="H18" i="6"/>
  <c r="N18" i="6" s="1"/>
  <c r="F18" i="6"/>
  <c r="D18" i="6"/>
  <c r="R16" i="6"/>
  <c r="J16" i="6"/>
  <c r="F16" i="6"/>
  <c r="Z14" i="6"/>
  <c r="X14" i="6"/>
  <c r="T14" i="6"/>
  <c r="R14" i="6"/>
  <c r="P14" i="6"/>
  <c r="L14" i="6"/>
  <c r="J14" i="6"/>
  <c r="H14" i="6"/>
  <c r="N14" i="6" s="1"/>
  <c r="F14" i="6"/>
  <c r="D14" i="6"/>
  <c r="Z12" i="6"/>
  <c r="X12" i="6"/>
  <c r="T12" i="6"/>
  <c r="V14" i="6" s="1"/>
  <c r="P12" i="6"/>
  <c r="P16" i="6" s="1"/>
  <c r="N12" i="6"/>
  <c r="H12" i="6"/>
  <c r="D12" i="6"/>
  <c r="D4" i="6"/>
  <c r="T317" i="3"/>
  <c r="P317" i="3"/>
  <c r="H317" i="3"/>
  <c r="D317" i="3"/>
  <c r="L317" i="3" s="1"/>
  <c r="T316" i="3"/>
  <c r="P316" i="3"/>
  <c r="H316" i="3"/>
  <c r="N316" i="3" s="1"/>
  <c r="D316" i="3"/>
  <c r="L316" i="3" s="1"/>
  <c r="X312" i="3"/>
  <c r="Z312" i="3" s="1"/>
  <c r="L312" i="3"/>
  <c r="N312" i="3" s="1"/>
  <c r="X308" i="3"/>
  <c r="T308" i="3"/>
  <c r="Z308" i="3" s="1"/>
  <c r="P308" i="3"/>
  <c r="L308" i="3"/>
  <c r="H308" i="3"/>
  <c r="N308" i="3" s="1"/>
  <c r="D308" i="3"/>
  <c r="B308" i="3"/>
  <c r="Z307" i="3"/>
  <c r="X307" i="3"/>
  <c r="T307" i="3"/>
  <c r="P307" i="3"/>
  <c r="N307" i="3"/>
  <c r="H307" i="3"/>
  <c r="D307" i="3"/>
  <c r="L307" i="3" s="1"/>
  <c r="B307" i="3"/>
  <c r="T306" i="3"/>
  <c r="P306" i="3"/>
  <c r="X306" i="3" s="1"/>
  <c r="Z306" i="3" s="1"/>
  <c r="H306" i="3"/>
  <c r="N306" i="3" s="1"/>
  <c r="D306" i="3"/>
  <c r="L306" i="3" s="1"/>
  <c r="B306" i="3"/>
  <c r="Z305" i="3"/>
  <c r="X305" i="3"/>
  <c r="T305" i="3"/>
  <c r="P305" i="3"/>
  <c r="H305" i="3"/>
  <c r="N305" i="3" s="1"/>
  <c r="D305" i="3"/>
  <c r="L305" i="3" s="1"/>
  <c r="B305" i="3"/>
  <c r="T304" i="3"/>
  <c r="P304" i="3"/>
  <c r="H304" i="3"/>
  <c r="D304" i="3"/>
  <c r="L304" i="3" s="1"/>
  <c r="B304" i="3"/>
  <c r="Z303" i="3"/>
  <c r="X303" i="3"/>
  <c r="T303" i="3"/>
  <c r="P303" i="3"/>
  <c r="H303" i="3"/>
  <c r="N303" i="3" s="1"/>
  <c r="D303" i="3"/>
  <c r="B303" i="3"/>
  <c r="X302" i="3"/>
  <c r="T302" i="3"/>
  <c r="Z302" i="3" s="1"/>
  <c r="P302" i="3"/>
  <c r="L302" i="3"/>
  <c r="H302" i="3"/>
  <c r="N302" i="3" s="1"/>
  <c r="D302" i="3"/>
  <c r="B302" i="3"/>
  <c r="Z301" i="3"/>
  <c r="T301" i="3"/>
  <c r="P301" i="3"/>
  <c r="X301" i="3" s="1"/>
  <c r="N301" i="3"/>
  <c r="L301" i="3"/>
  <c r="H301" i="3"/>
  <c r="D301" i="3"/>
  <c r="B301" i="3"/>
  <c r="T300" i="3"/>
  <c r="Z300" i="3" s="1"/>
  <c r="P300" i="3"/>
  <c r="X300" i="3" s="1"/>
  <c r="N300" i="3"/>
  <c r="H300" i="3"/>
  <c r="D300" i="3"/>
  <c r="D295" i="3" s="1"/>
  <c r="B300" i="3"/>
  <c r="T299" i="3"/>
  <c r="Z299" i="3" s="1"/>
  <c r="P299" i="3"/>
  <c r="X299" i="3" s="1"/>
  <c r="N299" i="3"/>
  <c r="L299" i="3"/>
  <c r="H299" i="3"/>
  <c r="D299" i="3"/>
  <c r="B299" i="3"/>
  <c r="T298" i="3"/>
  <c r="P298" i="3"/>
  <c r="X298" i="3" s="1"/>
  <c r="H298" i="3"/>
  <c r="N298" i="3" s="1"/>
  <c r="D298" i="3"/>
  <c r="B298" i="3"/>
  <c r="T297" i="3"/>
  <c r="Z297" i="3" s="1"/>
  <c r="P297" i="3"/>
  <c r="X297" i="3" s="1"/>
  <c r="N297" i="3"/>
  <c r="L297" i="3"/>
  <c r="H297" i="3"/>
  <c r="D297" i="3"/>
  <c r="B297" i="3"/>
  <c r="X296" i="3"/>
  <c r="T296" i="3"/>
  <c r="T295" i="3" s="1"/>
  <c r="P296" i="3"/>
  <c r="P295" i="3" s="1"/>
  <c r="X295" i="3" s="1"/>
  <c r="L296" i="3"/>
  <c r="H296" i="3"/>
  <c r="N296" i="3" s="1"/>
  <c r="D296" i="3"/>
  <c r="B296" i="3"/>
  <c r="X293" i="3"/>
  <c r="Z293" i="3" s="1"/>
  <c r="N293" i="3"/>
  <c r="L293" i="3"/>
  <c r="B293" i="3"/>
  <c r="T292" i="3"/>
  <c r="P292" i="3"/>
  <c r="X292" i="3" s="1"/>
  <c r="H292" i="3"/>
  <c r="D292" i="3"/>
  <c r="B292" i="3"/>
  <c r="X291" i="3"/>
  <c r="Z291" i="3" s="1"/>
  <c r="N291" i="3"/>
  <c r="L291" i="3"/>
  <c r="B291" i="3"/>
  <c r="X290" i="3"/>
  <c r="Z290" i="3" s="1"/>
  <c r="L290" i="3"/>
  <c r="N290" i="3" s="1"/>
  <c r="B290" i="3"/>
  <c r="Z289" i="3"/>
  <c r="X289" i="3"/>
  <c r="N289" i="3"/>
  <c r="L289" i="3"/>
  <c r="B289" i="3"/>
  <c r="T288" i="3"/>
  <c r="P288" i="3"/>
  <c r="X288" i="3" s="1"/>
  <c r="Z288" i="3" s="1"/>
  <c r="H288" i="3"/>
  <c r="N288" i="3" s="1"/>
  <c r="D288" i="3"/>
  <c r="L288" i="3" s="1"/>
  <c r="B288" i="3"/>
  <c r="Z287" i="3"/>
  <c r="X287" i="3"/>
  <c r="N287" i="3"/>
  <c r="L287" i="3"/>
  <c r="B287" i="3"/>
  <c r="X286" i="3"/>
  <c r="T286" i="3"/>
  <c r="Z286" i="3" s="1"/>
  <c r="P286" i="3"/>
  <c r="L286" i="3"/>
  <c r="H286" i="3"/>
  <c r="N286" i="3" s="1"/>
  <c r="D286" i="3"/>
  <c r="B286" i="3"/>
  <c r="X285" i="3"/>
  <c r="Z285" i="3" s="1"/>
  <c r="N285" i="3"/>
  <c r="L285" i="3"/>
  <c r="B285" i="3"/>
  <c r="X284" i="3"/>
  <c r="Z284" i="3" s="1"/>
  <c r="N284" i="3"/>
  <c r="L284" i="3"/>
  <c r="B284" i="3"/>
  <c r="T283" i="3"/>
  <c r="P283" i="3"/>
  <c r="X283" i="3" s="1"/>
  <c r="Z283" i="3" s="1"/>
  <c r="L283" i="3"/>
  <c r="N283" i="3" s="1"/>
  <c r="H283" i="3"/>
  <c r="D283" i="3"/>
  <c r="B283" i="3"/>
  <c r="X282" i="3"/>
  <c r="Z282" i="3" s="1"/>
  <c r="L282" i="3"/>
  <c r="N282" i="3" s="1"/>
  <c r="B282" i="3"/>
  <c r="Z281" i="3"/>
  <c r="X281" i="3"/>
  <c r="N281" i="3"/>
  <c r="L281" i="3"/>
  <c r="B281" i="3"/>
  <c r="Z280" i="3"/>
  <c r="X280" i="3"/>
  <c r="L280" i="3"/>
  <c r="N280" i="3" s="1"/>
  <c r="B280" i="3"/>
  <c r="X279" i="3"/>
  <c r="Z279" i="3" s="1"/>
  <c r="N279" i="3"/>
  <c r="L279" i="3"/>
  <c r="B279" i="3"/>
  <c r="X278" i="3"/>
  <c r="Z278" i="3" s="1"/>
  <c r="L278" i="3"/>
  <c r="N278" i="3" s="1"/>
  <c r="B278" i="3"/>
  <c r="Z277" i="3"/>
  <c r="X277" i="3"/>
  <c r="N277" i="3"/>
  <c r="L277" i="3"/>
  <c r="B277" i="3"/>
  <c r="Z276" i="3"/>
  <c r="X276" i="3"/>
  <c r="L276" i="3"/>
  <c r="N276" i="3" s="1"/>
  <c r="B276" i="3"/>
  <c r="X275" i="3"/>
  <c r="Z275" i="3" s="1"/>
  <c r="N275" i="3"/>
  <c r="L275" i="3"/>
  <c r="B275" i="3"/>
  <c r="T274" i="3"/>
  <c r="P274" i="3"/>
  <c r="X274" i="3" s="1"/>
  <c r="H274" i="3"/>
  <c r="D274" i="3"/>
  <c r="L274" i="3" s="1"/>
  <c r="N274" i="3" s="1"/>
  <c r="B274" i="3"/>
  <c r="Z273" i="3"/>
  <c r="X273" i="3"/>
  <c r="L273" i="3"/>
  <c r="N273" i="3" s="1"/>
  <c r="B273" i="3"/>
  <c r="X272" i="3"/>
  <c r="Z272" i="3" s="1"/>
  <c r="N272" i="3"/>
  <c r="L272" i="3"/>
  <c r="B272" i="3"/>
  <c r="T271" i="3"/>
  <c r="X271" i="3" s="1"/>
  <c r="Z271" i="3" s="1"/>
  <c r="P271" i="3"/>
  <c r="H271" i="3"/>
  <c r="D271" i="3"/>
  <c r="L271" i="3" s="1"/>
  <c r="B271" i="3"/>
  <c r="X270" i="3"/>
  <c r="Z270" i="3" s="1"/>
  <c r="L270" i="3"/>
  <c r="N270" i="3" s="1"/>
  <c r="B270" i="3"/>
  <c r="X269" i="3"/>
  <c r="Z269" i="3" s="1"/>
  <c r="N269" i="3"/>
  <c r="L269" i="3"/>
  <c r="B269" i="3"/>
  <c r="Z268" i="3"/>
  <c r="X268" i="3"/>
  <c r="N268" i="3"/>
  <c r="L268" i="3"/>
  <c r="B268" i="3"/>
  <c r="Z267" i="3"/>
  <c r="X267" i="3"/>
  <c r="L267" i="3"/>
  <c r="N267" i="3" s="1"/>
  <c r="B267" i="3"/>
  <c r="X266" i="3"/>
  <c r="Z266" i="3" s="1"/>
  <c r="L266" i="3"/>
  <c r="N266" i="3" s="1"/>
  <c r="B266" i="3"/>
  <c r="X265" i="3"/>
  <c r="Z265" i="3" s="1"/>
  <c r="T265" i="3"/>
  <c r="P265" i="3"/>
  <c r="H265" i="3"/>
  <c r="D265" i="3"/>
  <c r="L265" i="3" s="1"/>
  <c r="N265" i="3" s="1"/>
  <c r="B265" i="3"/>
  <c r="Z264" i="3"/>
  <c r="X264" i="3"/>
  <c r="L264" i="3"/>
  <c r="N264" i="3" s="1"/>
  <c r="B264" i="3"/>
  <c r="X263" i="3"/>
  <c r="Z263" i="3" s="1"/>
  <c r="N263" i="3"/>
  <c r="L263" i="3"/>
  <c r="B263" i="3"/>
  <c r="X262" i="3"/>
  <c r="Z262" i="3" s="1"/>
  <c r="L262" i="3"/>
  <c r="N262" i="3" s="1"/>
  <c r="B262" i="3"/>
  <c r="Z261" i="3"/>
  <c r="X261" i="3"/>
  <c r="T261" i="3"/>
  <c r="P261" i="3"/>
  <c r="H261" i="3"/>
  <c r="D261" i="3"/>
  <c r="B261" i="3"/>
  <c r="X260" i="3"/>
  <c r="Z260" i="3" s="1"/>
  <c r="N260" i="3"/>
  <c r="L260" i="3"/>
  <c r="B260" i="3"/>
  <c r="Z259" i="3"/>
  <c r="X259" i="3"/>
  <c r="N259" i="3"/>
  <c r="L259" i="3"/>
  <c r="B259" i="3"/>
  <c r="X258" i="3"/>
  <c r="Z258" i="3" s="1"/>
  <c r="L258" i="3"/>
  <c r="N258" i="3" s="1"/>
  <c r="B258" i="3"/>
  <c r="T257" i="3"/>
  <c r="Z257" i="3" s="1"/>
  <c r="P257" i="3"/>
  <c r="X257" i="3" s="1"/>
  <c r="H257" i="3"/>
  <c r="L257" i="3" s="1"/>
  <c r="D257" i="3"/>
  <c r="B257" i="3"/>
  <c r="Z256" i="3"/>
  <c r="X256" i="3"/>
  <c r="N256" i="3"/>
  <c r="L256" i="3"/>
  <c r="B256" i="3"/>
  <c r="T255" i="3"/>
  <c r="P255" i="3"/>
  <c r="X255" i="3" s="1"/>
  <c r="Z255" i="3" s="1"/>
  <c r="L255" i="3"/>
  <c r="N255" i="3" s="1"/>
  <c r="H255" i="3"/>
  <c r="D255" i="3"/>
  <c r="B255" i="3"/>
  <c r="X254" i="3"/>
  <c r="Z254" i="3" s="1"/>
  <c r="L254" i="3"/>
  <c r="N254" i="3" s="1"/>
  <c r="B254" i="3"/>
  <c r="Z253" i="3"/>
  <c r="X253" i="3"/>
  <c r="T253" i="3"/>
  <c r="P253" i="3"/>
  <c r="H253" i="3"/>
  <c r="D253" i="3"/>
  <c r="B253" i="3"/>
  <c r="X252" i="3"/>
  <c r="Z252" i="3" s="1"/>
  <c r="N252" i="3"/>
  <c r="L252" i="3"/>
  <c r="B252" i="3"/>
  <c r="T251" i="3"/>
  <c r="X251" i="3" s="1"/>
  <c r="P251" i="3"/>
  <c r="H251" i="3"/>
  <c r="N251" i="3" s="1"/>
  <c r="D251" i="3"/>
  <c r="L251" i="3" s="1"/>
  <c r="B251" i="3"/>
  <c r="X250" i="3"/>
  <c r="Z250" i="3" s="1"/>
  <c r="L250" i="3"/>
  <c r="N250" i="3" s="1"/>
  <c r="B250" i="3"/>
  <c r="X249" i="3"/>
  <c r="Z249" i="3" s="1"/>
  <c r="T249" i="3"/>
  <c r="P249" i="3"/>
  <c r="H249" i="3"/>
  <c r="D249" i="3"/>
  <c r="L249" i="3" s="1"/>
  <c r="N249" i="3" s="1"/>
  <c r="B249" i="3"/>
  <c r="Z248" i="3"/>
  <c r="X248" i="3"/>
  <c r="L248" i="3"/>
  <c r="N248" i="3" s="1"/>
  <c r="B248" i="3"/>
  <c r="T247" i="3"/>
  <c r="P247" i="3"/>
  <c r="N247" i="3"/>
  <c r="L247" i="3"/>
  <c r="H247" i="3"/>
  <c r="D247" i="3"/>
  <c r="B247" i="3"/>
  <c r="X246" i="3"/>
  <c r="Z246" i="3" s="1"/>
  <c r="L246" i="3"/>
  <c r="N246" i="3" s="1"/>
  <c r="B246" i="3"/>
  <c r="T245" i="3"/>
  <c r="Z245" i="3" s="1"/>
  <c r="P245" i="3"/>
  <c r="X245" i="3" s="1"/>
  <c r="H245" i="3"/>
  <c r="L245" i="3" s="1"/>
  <c r="D245" i="3"/>
  <c r="B245" i="3"/>
  <c r="Z244" i="3"/>
  <c r="X244" i="3"/>
  <c r="N244" i="3"/>
  <c r="L244" i="3"/>
  <c r="B244" i="3"/>
  <c r="Z243" i="3"/>
  <c r="X243" i="3"/>
  <c r="L243" i="3"/>
  <c r="N243" i="3" s="1"/>
  <c r="B243" i="3"/>
  <c r="T242" i="3"/>
  <c r="P242" i="3"/>
  <c r="H242" i="3"/>
  <c r="N242" i="3" s="1"/>
  <c r="D242" i="3"/>
  <c r="L242" i="3" s="1"/>
  <c r="B242" i="3"/>
  <c r="Z241" i="3"/>
  <c r="X241" i="3"/>
  <c r="N241" i="3"/>
  <c r="L241" i="3"/>
  <c r="B241" i="3"/>
  <c r="Z240" i="3"/>
  <c r="X240" i="3"/>
  <c r="L240" i="3"/>
  <c r="N240" i="3" s="1"/>
  <c r="B240" i="3"/>
  <c r="T239" i="3"/>
  <c r="P239" i="3"/>
  <c r="N239" i="3"/>
  <c r="L239" i="3"/>
  <c r="H239" i="3"/>
  <c r="D239" i="3"/>
  <c r="B239" i="3"/>
  <c r="X238" i="3"/>
  <c r="Z238" i="3" s="1"/>
  <c r="L238" i="3"/>
  <c r="N238" i="3" s="1"/>
  <c r="B238" i="3"/>
  <c r="T237" i="3"/>
  <c r="Z237" i="3" s="1"/>
  <c r="P237" i="3"/>
  <c r="X237" i="3" s="1"/>
  <c r="H237" i="3"/>
  <c r="L237" i="3" s="1"/>
  <c r="D237" i="3"/>
  <c r="B237" i="3"/>
  <c r="Z236" i="3"/>
  <c r="X236" i="3"/>
  <c r="N236" i="3"/>
  <c r="L236" i="3"/>
  <c r="B236" i="3"/>
  <c r="T235" i="3"/>
  <c r="P235" i="3"/>
  <c r="X235" i="3" s="1"/>
  <c r="Z235" i="3" s="1"/>
  <c r="L235" i="3"/>
  <c r="N235" i="3" s="1"/>
  <c r="H235" i="3"/>
  <c r="D235" i="3"/>
  <c r="B235" i="3"/>
  <c r="X234" i="3"/>
  <c r="Z234" i="3" s="1"/>
  <c r="L234" i="3"/>
  <c r="N234" i="3" s="1"/>
  <c r="B234" i="3"/>
  <c r="Z233" i="3"/>
  <c r="X233" i="3"/>
  <c r="T233" i="3"/>
  <c r="P233" i="3"/>
  <c r="H233" i="3"/>
  <c r="D233" i="3"/>
  <c r="B233" i="3"/>
  <c r="X232" i="3"/>
  <c r="Z232" i="3" s="1"/>
  <c r="N232" i="3"/>
  <c r="L232" i="3"/>
  <c r="B232" i="3"/>
  <c r="Z231" i="3"/>
  <c r="X231" i="3"/>
  <c r="N231" i="3"/>
  <c r="L231" i="3"/>
  <c r="B231" i="3"/>
  <c r="X230" i="3"/>
  <c r="T230" i="3"/>
  <c r="Z230" i="3" s="1"/>
  <c r="P230" i="3"/>
  <c r="L230" i="3"/>
  <c r="N230" i="3" s="1"/>
  <c r="H230" i="3"/>
  <c r="D230" i="3"/>
  <c r="B230" i="3"/>
  <c r="X229" i="3"/>
  <c r="Z229" i="3" s="1"/>
  <c r="N229" i="3"/>
  <c r="L229" i="3"/>
  <c r="B229" i="3"/>
  <c r="Z228" i="3"/>
  <c r="X228" i="3"/>
  <c r="N228" i="3"/>
  <c r="L228" i="3"/>
  <c r="B228" i="3"/>
  <c r="Z227" i="3"/>
  <c r="X227" i="3"/>
  <c r="L227" i="3"/>
  <c r="N227" i="3" s="1"/>
  <c r="B227" i="3"/>
  <c r="T226" i="3"/>
  <c r="P226" i="3"/>
  <c r="H226" i="3"/>
  <c r="N226" i="3" s="1"/>
  <c r="D226" i="3"/>
  <c r="L226" i="3" s="1"/>
  <c r="B226" i="3"/>
  <c r="Z225" i="3"/>
  <c r="X225" i="3"/>
  <c r="N225" i="3"/>
  <c r="L225" i="3"/>
  <c r="B225" i="3"/>
  <c r="T224" i="3"/>
  <c r="P224" i="3"/>
  <c r="X224" i="3" s="1"/>
  <c r="Z224" i="3" s="1"/>
  <c r="H224" i="3"/>
  <c r="N224" i="3" s="1"/>
  <c r="D224" i="3"/>
  <c r="L224" i="3" s="1"/>
  <c r="B224" i="3"/>
  <c r="Z223" i="3"/>
  <c r="X223" i="3"/>
  <c r="N223" i="3"/>
  <c r="L223" i="3"/>
  <c r="B223" i="3"/>
  <c r="X222" i="3"/>
  <c r="Z222" i="3" s="1"/>
  <c r="L222" i="3"/>
  <c r="N222" i="3" s="1"/>
  <c r="B222" i="3"/>
  <c r="T221" i="3"/>
  <c r="Z221" i="3" s="1"/>
  <c r="P221" i="3"/>
  <c r="X221" i="3" s="1"/>
  <c r="H221" i="3"/>
  <c r="L221" i="3" s="1"/>
  <c r="D221" i="3"/>
  <c r="B221" i="3"/>
  <c r="X220" i="3"/>
  <c r="Z220" i="3" s="1"/>
  <c r="N220" i="3"/>
  <c r="L220" i="3"/>
  <c r="B220" i="3"/>
  <c r="T219" i="3"/>
  <c r="P219" i="3"/>
  <c r="X219" i="3" s="1"/>
  <c r="Z219" i="3" s="1"/>
  <c r="L219" i="3"/>
  <c r="N219" i="3" s="1"/>
  <c r="H219" i="3"/>
  <c r="D219" i="3"/>
  <c r="B219" i="3"/>
  <c r="X218" i="3"/>
  <c r="Z218" i="3" s="1"/>
  <c r="L218" i="3"/>
  <c r="N218" i="3" s="1"/>
  <c r="B218" i="3"/>
  <c r="Z217" i="3"/>
  <c r="X217" i="3"/>
  <c r="N217" i="3"/>
  <c r="L217" i="3"/>
  <c r="B217" i="3"/>
  <c r="Z216" i="3"/>
  <c r="X216" i="3"/>
  <c r="L216" i="3"/>
  <c r="N216" i="3" s="1"/>
  <c r="B216" i="3"/>
  <c r="X215" i="3"/>
  <c r="Z215" i="3" s="1"/>
  <c r="N215" i="3"/>
  <c r="L215" i="3"/>
  <c r="B215" i="3"/>
  <c r="X214" i="3"/>
  <c r="Z214" i="3" s="1"/>
  <c r="L214" i="3"/>
  <c r="N214" i="3" s="1"/>
  <c r="B214" i="3"/>
  <c r="Z213" i="3"/>
  <c r="X213" i="3"/>
  <c r="N213" i="3"/>
  <c r="L213" i="3"/>
  <c r="B213" i="3"/>
  <c r="Z212" i="3"/>
  <c r="X212" i="3"/>
  <c r="L212" i="3"/>
  <c r="N212" i="3" s="1"/>
  <c r="B212" i="3"/>
  <c r="T211" i="3"/>
  <c r="P211" i="3"/>
  <c r="N211" i="3"/>
  <c r="L211" i="3"/>
  <c r="H211" i="3"/>
  <c r="D211" i="3"/>
  <c r="B211" i="3"/>
  <c r="X210" i="3"/>
  <c r="Z210" i="3" s="1"/>
  <c r="L210" i="3"/>
  <c r="N210" i="3" s="1"/>
  <c r="B210" i="3"/>
  <c r="Z209" i="3"/>
  <c r="X209" i="3"/>
  <c r="L209" i="3"/>
  <c r="N209" i="3" s="1"/>
  <c r="B209" i="3"/>
  <c r="X208" i="3"/>
  <c r="Z208" i="3" s="1"/>
  <c r="N208" i="3"/>
  <c r="L208" i="3"/>
  <c r="B208" i="3"/>
  <c r="Z207" i="3"/>
  <c r="X207" i="3"/>
  <c r="N207" i="3"/>
  <c r="L207" i="3"/>
  <c r="B207" i="3"/>
  <c r="X206" i="3"/>
  <c r="Z206" i="3" s="1"/>
  <c r="L206" i="3"/>
  <c r="N206" i="3" s="1"/>
  <c r="B206" i="3"/>
  <c r="Z205" i="3"/>
  <c r="X205" i="3"/>
  <c r="L205" i="3"/>
  <c r="N205" i="3" s="1"/>
  <c r="B205" i="3"/>
  <c r="X204" i="3"/>
  <c r="Z204" i="3" s="1"/>
  <c r="N204" i="3"/>
  <c r="L204" i="3"/>
  <c r="B204" i="3"/>
  <c r="Z203" i="3"/>
  <c r="X203" i="3"/>
  <c r="N203" i="3"/>
  <c r="L203" i="3"/>
  <c r="B203" i="3"/>
  <c r="X202" i="3"/>
  <c r="Z202" i="3" s="1"/>
  <c r="L202" i="3"/>
  <c r="N202" i="3" s="1"/>
  <c r="B202" i="3"/>
  <c r="T201" i="3"/>
  <c r="Z201" i="3" s="1"/>
  <c r="P201" i="3"/>
  <c r="X201" i="3" s="1"/>
  <c r="H201" i="3"/>
  <c r="L201" i="3" s="1"/>
  <c r="D201" i="3"/>
  <c r="B201" i="3"/>
  <c r="T200" i="3"/>
  <c r="Z200" i="3" s="1"/>
  <c r="P200" i="3"/>
  <c r="X200" i="3" s="1"/>
  <c r="H200" i="3"/>
  <c r="D200" i="3"/>
  <c r="Z196" i="3"/>
  <c r="X196" i="3"/>
  <c r="N196" i="3"/>
  <c r="L196" i="3"/>
  <c r="B196" i="3"/>
  <c r="Z195" i="3"/>
  <c r="X195" i="3"/>
  <c r="N195" i="3"/>
  <c r="L195" i="3"/>
  <c r="B195" i="3"/>
  <c r="X194" i="3"/>
  <c r="Z194" i="3" s="1"/>
  <c r="N194" i="3"/>
  <c r="L194" i="3"/>
  <c r="B194" i="3"/>
  <c r="X193" i="3"/>
  <c r="Z193" i="3" s="1"/>
  <c r="N193" i="3"/>
  <c r="L193" i="3"/>
  <c r="B193" i="3"/>
  <c r="Z192" i="3"/>
  <c r="X192" i="3"/>
  <c r="N192" i="3"/>
  <c r="L192" i="3"/>
  <c r="B192" i="3"/>
  <c r="Z191" i="3"/>
  <c r="X191" i="3"/>
  <c r="L191" i="3"/>
  <c r="N191" i="3" s="1"/>
  <c r="B191" i="3"/>
  <c r="X190" i="3"/>
  <c r="Z190" i="3" s="1"/>
  <c r="N190" i="3"/>
  <c r="L190" i="3"/>
  <c r="B190" i="3"/>
  <c r="X189" i="3"/>
  <c r="Z189" i="3" s="1"/>
  <c r="N189" i="3"/>
  <c r="L189" i="3"/>
  <c r="B189" i="3"/>
  <c r="X188" i="3"/>
  <c r="Z188" i="3" s="1"/>
  <c r="N188" i="3"/>
  <c r="L188" i="3"/>
  <c r="B188" i="3"/>
  <c r="Z187" i="3"/>
  <c r="X187" i="3"/>
  <c r="L187" i="3"/>
  <c r="N187" i="3" s="1"/>
  <c r="B187" i="3"/>
  <c r="X186" i="3"/>
  <c r="Z186" i="3" s="1"/>
  <c r="L186" i="3"/>
  <c r="N186" i="3" s="1"/>
  <c r="B186" i="3"/>
  <c r="X185" i="3"/>
  <c r="Z185" i="3" s="1"/>
  <c r="N185" i="3"/>
  <c r="L185" i="3"/>
  <c r="B185" i="3"/>
  <c r="X184" i="3"/>
  <c r="Z184" i="3" s="1"/>
  <c r="N184" i="3"/>
  <c r="L184" i="3"/>
  <c r="B184" i="3"/>
  <c r="Z183" i="3"/>
  <c r="X183" i="3"/>
  <c r="L183" i="3"/>
  <c r="N183" i="3" s="1"/>
  <c r="B183" i="3"/>
  <c r="X182" i="3"/>
  <c r="Z182" i="3" s="1"/>
  <c r="N182" i="3"/>
  <c r="L182" i="3"/>
  <c r="B182" i="3"/>
  <c r="Z181" i="3"/>
  <c r="X181" i="3"/>
  <c r="N181" i="3"/>
  <c r="L181" i="3"/>
  <c r="B181" i="3"/>
  <c r="X180" i="3"/>
  <c r="Z180" i="3" s="1"/>
  <c r="N180" i="3"/>
  <c r="L180" i="3"/>
  <c r="B180" i="3"/>
  <c r="Z179" i="3"/>
  <c r="X179" i="3"/>
  <c r="N179" i="3"/>
  <c r="L179" i="3"/>
  <c r="B179" i="3"/>
  <c r="X178" i="3"/>
  <c r="Z178" i="3" s="1"/>
  <c r="L178" i="3"/>
  <c r="N178" i="3" s="1"/>
  <c r="B178" i="3"/>
  <c r="X177" i="3"/>
  <c r="Z177" i="3" s="1"/>
  <c r="N177" i="3"/>
  <c r="L177" i="3"/>
  <c r="B177" i="3"/>
  <c r="X176" i="3"/>
  <c r="Z176" i="3" s="1"/>
  <c r="N176" i="3"/>
  <c r="L176" i="3"/>
  <c r="B176" i="3"/>
  <c r="Z175" i="3"/>
  <c r="X175" i="3"/>
  <c r="L175" i="3"/>
  <c r="N175" i="3" s="1"/>
  <c r="B175" i="3"/>
  <c r="X174" i="3"/>
  <c r="Z174" i="3" s="1"/>
  <c r="L174" i="3"/>
  <c r="N174" i="3" s="1"/>
  <c r="B174" i="3"/>
  <c r="Z173" i="3"/>
  <c r="X173" i="3"/>
  <c r="N173" i="3"/>
  <c r="L173" i="3"/>
  <c r="B173" i="3"/>
  <c r="X172" i="3"/>
  <c r="Z172" i="3" s="1"/>
  <c r="N172" i="3"/>
  <c r="L172" i="3"/>
  <c r="B172" i="3"/>
  <c r="Z171" i="3"/>
  <c r="X171" i="3"/>
  <c r="N171" i="3"/>
  <c r="L171" i="3"/>
  <c r="B171" i="3"/>
  <c r="X170" i="3"/>
  <c r="Z170" i="3" s="1"/>
  <c r="L170" i="3"/>
  <c r="N170" i="3" s="1"/>
  <c r="B170" i="3"/>
  <c r="X169" i="3"/>
  <c r="Z169" i="3" s="1"/>
  <c r="N169" i="3"/>
  <c r="L169" i="3"/>
  <c r="B169" i="3"/>
  <c r="X168" i="3"/>
  <c r="Z168" i="3" s="1"/>
  <c r="N168" i="3"/>
  <c r="L168" i="3"/>
  <c r="B168" i="3"/>
  <c r="Z167" i="3"/>
  <c r="X167" i="3"/>
  <c r="L167" i="3"/>
  <c r="N167" i="3" s="1"/>
  <c r="B167" i="3"/>
  <c r="X166" i="3"/>
  <c r="Z166" i="3" s="1"/>
  <c r="L166" i="3"/>
  <c r="N166" i="3" s="1"/>
  <c r="B166" i="3"/>
  <c r="X165" i="3"/>
  <c r="Z165" i="3" s="1"/>
  <c r="L165" i="3"/>
  <c r="N165" i="3" s="1"/>
  <c r="B165" i="3"/>
  <c r="X164" i="3"/>
  <c r="Z164" i="3" s="1"/>
  <c r="N164" i="3"/>
  <c r="L164" i="3"/>
  <c r="B164" i="3"/>
  <c r="Z163" i="3"/>
  <c r="X163" i="3"/>
  <c r="L163" i="3"/>
  <c r="N163" i="3" s="1"/>
  <c r="B163" i="3"/>
  <c r="X162" i="3"/>
  <c r="Z162" i="3" s="1"/>
  <c r="L162" i="3"/>
  <c r="N162" i="3" s="1"/>
  <c r="B162" i="3"/>
  <c r="X161" i="3"/>
  <c r="Z161" i="3" s="1"/>
  <c r="L161" i="3"/>
  <c r="N161" i="3" s="1"/>
  <c r="B161" i="3"/>
  <c r="X160" i="3"/>
  <c r="Z160" i="3" s="1"/>
  <c r="N160" i="3"/>
  <c r="L160" i="3"/>
  <c r="B160" i="3"/>
  <c r="Z159" i="3"/>
  <c r="X159" i="3"/>
  <c r="L159" i="3"/>
  <c r="N159" i="3" s="1"/>
  <c r="B159" i="3"/>
  <c r="X158" i="3"/>
  <c r="Z158" i="3" s="1"/>
  <c r="L158" i="3"/>
  <c r="N158" i="3" s="1"/>
  <c r="B158" i="3"/>
  <c r="X157" i="3"/>
  <c r="Z157" i="3" s="1"/>
  <c r="L157" i="3"/>
  <c r="N157" i="3" s="1"/>
  <c r="B157" i="3"/>
  <c r="X156" i="3"/>
  <c r="Z156" i="3" s="1"/>
  <c r="N156" i="3"/>
  <c r="L156" i="3"/>
  <c r="B156" i="3"/>
  <c r="Z155" i="3"/>
  <c r="X155" i="3"/>
  <c r="L155" i="3"/>
  <c r="N155" i="3" s="1"/>
  <c r="B155" i="3"/>
  <c r="X154" i="3"/>
  <c r="Z154" i="3" s="1"/>
  <c r="L154" i="3"/>
  <c r="N154" i="3" s="1"/>
  <c r="B154" i="3"/>
  <c r="X153" i="3"/>
  <c r="Z153" i="3" s="1"/>
  <c r="L153" i="3"/>
  <c r="N153" i="3" s="1"/>
  <c r="B153" i="3"/>
  <c r="X152" i="3"/>
  <c r="Z152" i="3" s="1"/>
  <c r="N152" i="3"/>
  <c r="L152" i="3"/>
  <c r="B152" i="3"/>
  <c r="Z151" i="3"/>
  <c r="X151" i="3"/>
  <c r="L151" i="3"/>
  <c r="N151" i="3" s="1"/>
  <c r="B151" i="3"/>
  <c r="X150" i="3"/>
  <c r="Z150" i="3" s="1"/>
  <c r="L150" i="3"/>
  <c r="N150" i="3" s="1"/>
  <c r="B150" i="3"/>
  <c r="X149" i="3"/>
  <c r="Z149" i="3" s="1"/>
  <c r="L149" i="3"/>
  <c r="N149" i="3" s="1"/>
  <c r="B149" i="3"/>
  <c r="X148" i="3"/>
  <c r="Z148" i="3" s="1"/>
  <c r="N148" i="3"/>
  <c r="L148" i="3"/>
  <c r="B148" i="3"/>
  <c r="Z147" i="3"/>
  <c r="X147" i="3"/>
  <c r="L147" i="3"/>
  <c r="N147" i="3" s="1"/>
  <c r="B147" i="3"/>
  <c r="X146" i="3"/>
  <c r="Z146" i="3" s="1"/>
  <c r="L146" i="3"/>
  <c r="N146" i="3" s="1"/>
  <c r="B146" i="3"/>
  <c r="X145" i="3"/>
  <c r="Z145" i="3" s="1"/>
  <c r="N145" i="3"/>
  <c r="L145" i="3"/>
  <c r="B145" i="3"/>
  <c r="X144" i="3"/>
  <c r="Z144" i="3" s="1"/>
  <c r="N144" i="3"/>
  <c r="L144" i="3"/>
  <c r="B144" i="3"/>
  <c r="Z143" i="3"/>
  <c r="X143" i="3"/>
  <c r="N143" i="3"/>
  <c r="L143" i="3"/>
  <c r="B143" i="3"/>
  <c r="X142" i="3"/>
  <c r="Z142" i="3" s="1"/>
  <c r="L142" i="3"/>
  <c r="N142" i="3" s="1"/>
  <c r="B142" i="3"/>
  <c r="X141" i="3"/>
  <c r="Z141" i="3" s="1"/>
  <c r="L141" i="3"/>
  <c r="N141" i="3" s="1"/>
  <c r="B141" i="3"/>
  <c r="X140" i="3"/>
  <c r="Z140" i="3" s="1"/>
  <c r="N140" i="3"/>
  <c r="L140" i="3"/>
  <c r="B140" i="3"/>
  <c r="Z139" i="3"/>
  <c r="X139" i="3"/>
  <c r="L139" i="3"/>
  <c r="N139" i="3" s="1"/>
  <c r="B139" i="3"/>
  <c r="X138" i="3"/>
  <c r="Z138" i="3" s="1"/>
  <c r="L138" i="3"/>
  <c r="N138" i="3" s="1"/>
  <c r="B138" i="3"/>
  <c r="X137" i="3"/>
  <c r="Z137" i="3" s="1"/>
  <c r="T137" i="3"/>
  <c r="P137" i="3"/>
  <c r="H137" i="3"/>
  <c r="D137" i="3"/>
  <c r="L137" i="3" s="1"/>
  <c r="N137" i="3" s="1"/>
  <c r="X135" i="3"/>
  <c r="Z135" i="3" s="1"/>
  <c r="T135" i="3"/>
  <c r="P135" i="3"/>
  <c r="H135" i="3"/>
  <c r="D135" i="3"/>
  <c r="B135" i="3"/>
  <c r="T134" i="3"/>
  <c r="Z134" i="3" s="1"/>
  <c r="P134" i="3"/>
  <c r="X134" i="3" s="1"/>
  <c r="N134" i="3"/>
  <c r="L134" i="3"/>
  <c r="H134" i="3"/>
  <c r="D134" i="3"/>
  <c r="B134" i="3"/>
  <c r="T133" i="3"/>
  <c r="P133" i="3"/>
  <c r="X133" i="3" s="1"/>
  <c r="Z133" i="3" s="1"/>
  <c r="H133" i="3"/>
  <c r="D133" i="3"/>
  <c r="L133" i="3" s="1"/>
  <c r="B133" i="3"/>
  <c r="T132" i="3"/>
  <c r="Z132" i="3" s="1"/>
  <c r="P132" i="3"/>
  <c r="X132" i="3" s="1"/>
  <c r="L132" i="3"/>
  <c r="H132" i="3"/>
  <c r="N132" i="3" s="1"/>
  <c r="D132" i="3"/>
  <c r="B132" i="3"/>
  <c r="X131" i="3"/>
  <c r="Z131" i="3" s="1"/>
  <c r="T131" i="3"/>
  <c r="P131" i="3"/>
  <c r="H131" i="3"/>
  <c r="D131" i="3"/>
  <c r="B131" i="3"/>
  <c r="T130" i="3"/>
  <c r="Z130" i="3" s="1"/>
  <c r="P130" i="3"/>
  <c r="X130" i="3" s="1"/>
  <c r="N130" i="3"/>
  <c r="L130" i="3"/>
  <c r="H130" i="3"/>
  <c r="D130" i="3"/>
  <c r="B130" i="3"/>
  <c r="T129" i="3"/>
  <c r="P129" i="3"/>
  <c r="X129" i="3" s="1"/>
  <c r="Z129" i="3" s="1"/>
  <c r="H129" i="3"/>
  <c r="N129" i="3" s="1"/>
  <c r="D129" i="3"/>
  <c r="L129" i="3" s="1"/>
  <c r="B129" i="3"/>
  <c r="T128" i="3"/>
  <c r="Z128" i="3" s="1"/>
  <c r="P128" i="3"/>
  <c r="X128" i="3" s="1"/>
  <c r="L128" i="3"/>
  <c r="H128" i="3"/>
  <c r="N128" i="3" s="1"/>
  <c r="D128" i="3"/>
  <c r="B128" i="3"/>
  <c r="X127" i="3"/>
  <c r="Z127" i="3" s="1"/>
  <c r="T127" i="3"/>
  <c r="P127" i="3"/>
  <c r="H127" i="3"/>
  <c r="N127" i="3" s="1"/>
  <c r="D127" i="3"/>
  <c r="B127" i="3"/>
  <c r="T126" i="3"/>
  <c r="Z126" i="3" s="1"/>
  <c r="P126" i="3"/>
  <c r="X126" i="3" s="1"/>
  <c r="N126" i="3"/>
  <c r="L126" i="3"/>
  <c r="H126" i="3"/>
  <c r="D126" i="3"/>
  <c r="B126" i="3"/>
  <c r="T125" i="3"/>
  <c r="P125" i="3"/>
  <c r="X125" i="3" s="1"/>
  <c r="Z125" i="3" s="1"/>
  <c r="H125" i="3"/>
  <c r="N125" i="3" s="1"/>
  <c r="D125" i="3"/>
  <c r="L125" i="3" s="1"/>
  <c r="B125" i="3"/>
  <c r="T124" i="3"/>
  <c r="Z124" i="3" s="1"/>
  <c r="P124" i="3"/>
  <c r="X124" i="3" s="1"/>
  <c r="L124" i="3"/>
  <c r="H124" i="3"/>
  <c r="N124" i="3" s="1"/>
  <c r="D124" i="3"/>
  <c r="B124" i="3"/>
  <c r="X123" i="3"/>
  <c r="Z123" i="3" s="1"/>
  <c r="T123" i="3"/>
  <c r="P123" i="3"/>
  <c r="H123" i="3"/>
  <c r="D123" i="3"/>
  <c r="B123" i="3"/>
  <c r="T122" i="3"/>
  <c r="Z122" i="3" s="1"/>
  <c r="P122" i="3"/>
  <c r="X122" i="3" s="1"/>
  <c r="N122" i="3"/>
  <c r="L122" i="3"/>
  <c r="H122" i="3"/>
  <c r="D122" i="3"/>
  <c r="B122" i="3"/>
  <c r="T121" i="3"/>
  <c r="P121" i="3"/>
  <c r="X121" i="3" s="1"/>
  <c r="Z121" i="3" s="1"/>
  <c r="H121" i="3"/>
  <c r="N121" i="3" s="1"/>
  <c r="D121" i="3"/>
  <c r="L121" i="3" s="1"/>
  <c r="B121" i="3"/>
  <c r="T120" i="3"/>
  <c r="Z120" i="3" s="1"/>
  <c r="P120" i="3"/>
  <c r="X120" i="3" s="1"/>
  <c r="L120" i="3"/>
  <c r="H120" i="3"/>
  <c r="N120" i="3" s="1"/>
  <c r="D120" i="3"/>
  <c r="B120" i="3"/>
  <c r="Z119" i="3"/>
  <c r="X119" i="3"/>
  <c r="T119" i="3"/>
  <c r="P119" i="3"/>
  <c r="H119" i="3"/>
  <c r="N119" i="3" s="1"/>
  <c r="D119" i="3"/>
  <c r="B119" i="3"/>
  <c r="T118" i="3"/>
  <c r="Z118" i="3" s="1"/>
  <c r="P118" i="3"/>
  <c r="X118" i="3" s="1"/>
  <c r="N118" i="3"/>
  <c r="L118" i="3"/>
  <c r="H118" i="3"/>
  <c r="D118" i="3"/>
  <c r="B118" i="3"/>
  <c r="Z117" i="3"/>
  <c r="T117" i="3"/>
  <c r="P117" i="3"/>
  <c r="X117" i="3" s="1"/>
  <c r="H117" i="3"/>
  <c r="N117" i="3" s="1"/>
  <c r="D117" i="3"/>
  <c r="L117" i="3" s="1"/>
  <c r="B117" i="3"/>
  <c r="T116" i="3"/>
  <c r="Z116" i="3" s="1"/>
  <c r="P116" i="3"/>
  <c r="X116" i="3" s="1"/>
  <c r="L116" i="3"/>
  <c r="H116" i="3"/>
  <c r="N116" i="3" s="1"/>
  <c r="D116" i="3"/>
  <c r="B116" i="3"/>
  <c r="X115" i="3"/>
  <c r="Z115" i="3" s="1"/>
  <c r="T115" i="3"/>
  <c r="P115" i="3"/>
  <c r="H115" i="3"/>
  <c r="D115" i="3"/>
  <c r="B115" i="3"/>
  <c r="T114" i="3"/>
  <c r="P114" i="3"/>
  <c r="X114" i="3" s="1"/>
  <c r="N114" i="3"/>
  <c r="L114" i="3"/>
  <c r="H114" i="3"/>
  <c r="D114" i="3"/>
  <c r="B114" i="3"/>
  <c r="T113" i="3"/>
  <c r="P113" i="3"/>
  <c r="X113" i="3" s="1"/>
  <c r="Z113" i="3" s="1"/>
  <c r="H113" i="3"/>
  <c r="N113" i="3" s="1"/>
  <c r="D113" i="3"/>
  <c r="L113" i="3" s="1"/>
  <c r="B113" i="3"/>
  <c r="T112" i="3"/>
  <c r="P112" i="3"/>
  <c r="X112" i="3" s="1"/>
  <c r="L112" i="3"/>
  <c r="H112" i="3"/>
  <c r="N112" i="3" s="1"/>
  <c r="D112" i="3"/>
  <c r="B112" i="3"/>
  <c r="X111" i="3"/>
  <c r="Z111" i="3" s="1"/>
  <c r="T111" i="3"/>
  <c r="P111" i="3"/>
  <c r="H111" i="3"/>
  <c r="D111" i="3"/>
  <c r="B111" i="3"/>
  <c r="T110" i="3"/>
  <c r="P110" i="3"/>
  <c r="X110" i="3" s="1"/>
  <c r="N110" i="3"/>
  <c r="L110" i="3"/>
  <c r="H110" i="3"/>
  <c r="D110" i="3"/>
  <c r="B110" i="3"/>
  <c r="T109" i="3"/>
  <c r="P109" i="3"/>
  <c r="X109" i="3" s="1"/>
  <c r="Z109" i="3" s="1"/>
  <c r="H109" i="3"/>
  <c r="N109" i="3" s="1"/>
  <c r="D109" i="3"/>
  <c r="L109" i="3" s="1"/>
  <c r="B109" i="3"/>
  <c r="T108" i="3"/>
  <c r="P108" i="3"/>
  <c r="X108" i="3" s="1"/>
  <c r="L108" i="3"/>
  <c r="H108" i="3"/>
  <c r="N108" i="3" s="1"/>
  <c r="D108" i="3"/>
  <c r="B108" i="3"/>
  <c r="X107" i="3"/>
  <c r="Z107" i="3" s="1"/>
  <c r="T107" i="3"/>
  <c r="P107" i="3"/>
  <c r="H107" i="3"/>
  <c r="D107" i="3"/>
  <c r="B107" i="3"/>
  <c r="T106" i="3"/>
  <c r="P106" i="3"/>
  <c r="X106" i="3" s="1"/>
  <c r="N106" i="3"/>
  <c r="L106" i="3"/>
  <c r="H106" i="3"/>
  <c r="D106" i="3"/>
  <c r="B106" i="3"/>
  <c r="T105" i="3"/>
  <c r="P105" i="3"/>
  <c r="X105" i="3" s="1"/>
  <c r="Z105" i="3" s="1"/>
  <c r="H105" i="3"/>
  <c r="N105" i="3" s="1"/>
  <c r="D105" i="3"/>
  <c r="L105" i="3" s="1"/>
  <c r="B105" i="3"/>
  <c r="T104" i="3"/>
  <c r="P104" i="3"/>
  <c r="X104" i="3" s="1"/>
  <c r="L104" i="3"/>
  <c r="H104" i="3"/>
  <c r="N104" i="3" s="1"/>
  <c r="D104" i="3"/>
  <c r="B104" i="3"/>
  <c r="X103" i="3"/>
  <c r="Z103" i="3" s="1"/>
  <c r="T103" i="3"/>
  <c r="P103" i="3"/>
  <c r="H103" i="3"/>
  <c r="D103" i="3"/>
  <c r="B103" i="3"/>
  <c r="T102" i="3"/>
  <c r="P102" i="3"/>
  <c r="X102" i="3" s="1"/>
  <c r="N102" i="3"/>
  <c r="L102" i="3"/>
  <c r="H102" i="3"/>
  <c r="D102" i="3"/>
  <c r="B102" i="3"/>
  <c r="T101" i="3"/>
  <c r="P101" i="3"/>
  <c r="X101" i="3" s="1"/>
  <c r="Z101" i="3" s="1"/>
  <c r="H101" i="3"/>
  <c r="N101" i="3" s="1"/>
  <c r="D101" i="3"/>
  <c r="L101" i="3" s="1"/>
  <c r="B101" i="3"/>
  <c r="T100" i="3"/>
  <c r="P100" i="3"/>
  <c r="X100" i="3" s="1"/>
  <c r="L100" i="3"/>
  <c r="H100" i="3"/>
  <c r="N100" i="3" s="1"/>
  <c r="D100" i="3"/>
  <c r="B100" i="3"/>
  <c r="X99" i="3"/>
  <c r="Z99" i="3" s="1"/>
  <c r="T99" i="3"/>
  <c r="P99" i="3"/>
  <c r="H99" i="3"/>
  <c r="N99" i="3" s="1"/>
  <c r="D99" i="3"/>
  <c r="B99" i="3"/>
  <c r="T98" i="3"/>
  <c r="P98" i="3"/>
  <c r="X98" i="3" s="1"/>
  <c r="N98" i="3"/>
  <c r="L98" i="3"/>
  <c r="H98" i="3"/>
  <c r="D98" i="3"/>
  <c r="B98" i="3"/>
  <c r="T97" i="3"/>
  <c r="P97" i="3"/>
  <c r="X97" i="3" s="1"/>
  <c r="Z97" i="3" s="1"/>
  <c r="H97" i="3"/>
  <c r="N97" i="3" s="1"/>
  <c r="D97" i="3"/>
  <c r="L97" i="3" s="1"/>
  <c r="B97" i="3"/>
  <c r="T96" i="3"/>
  <c r="P96" i="3"/>
  <c r="X96" i="3" s="1"/>
  <c r="L96" i="3"/>
  <c r="H96" i="3"/>
  <c r="N96" i="3" s="1"/>
  <c r="D96" i="3"/>
  <c r="B96" i="3"/>
  <c r="X95" i="3"/>
  <c r="Z95" i="3" s="1"/>
  <c r="T95" i="3"/>
  <c r="P95" i="3"/>
  <c r="H95" i="3"/>
  <c r="D95" i="3"/>
  <c r="B95" i="3"/>
  <c r="T94" i="3"/>
  <c r="P94" i="3"/>
  <c r="X94" i="3" s="1"/>
  <c r="N94" i="3"/>
  <c r="L94" i="3"/>
  <c r="H94" i="3"/>
  <c r="D94" i="3"/>
  <c r="B94" i="3"/>
  <c r="T93" i="3"/>
  <c r="P93" i="3"/>
  <c r="X93" i="3" s="1"/>
  <c r="Z93" i="3" s="1"/>
  <c r="H93" i="3"/>
  <c r="N93" i="3" s="1"/>
  <c r="D93" i="3"/>
  <c r="L93" i="3" s="1"/>
  <c r="B93" i="3"/>
  <c r="T92" i="3"/>
  <c r="P92" i="3"/>
  <c r="X92" i="3" s="1"/>
  <c r="L92" i="3"/>
  <c r="H92" i="3"/>
  <c r="N92" i="3" s="1"/>
  <c r="D92" i="3"/>
  <c r="B92" i="3"/>
  <c r="X91" i="3"/>
  <c r="Z91" i="3" s="1"/>
  <c r="T91" i="3"/>
  <c r="P91" i="3"/>
  <c r="H91" i="3"/>
  <c r="D91" i="3"/>
  <c r="B91" i="3"/>
  <c r="T90" i="3"/>
  <c r="P90" i="3"/>
  <c r="X90" i="3" s="1"/>
  <c r="N90" i="3"/>
  <c r="L90" i="3"/>
  <c r="H90" i="3"/>
  <c r="D90" i="3"/>
  <c r="B90" i="3"/>
  <c r="T89" i="3"/>
  <c r="P89" i="3"/>
  <c r="X89" i="3" s="1"/>
  <c r="Z89" i="3" s="1"/>
  <c r="H89" i="3"/>
  <c r="N89" i="3" s="1"/>
  <c r="D89" i="3"/>
  <c r="L89" i="3" s="1"/>
  <c r="B89" i="3"/>
  <c r="T88" i="3"/>
  <c r="P88" i="3"/>
  <c r="X88" i="3" s="1"/>
  <c r="L88" i="3"/>
  <c r="H88" i="3"/>
  <c r="N88" i="3" s="1"/>
  <c r="D88" i="3"/>
  <c r="B88" i="3"/>
  <c r="X87" i="3"/>
  <c r="Z87" i="3" s="1"/>
  <c r="T87" i="3"/>
  <c r="P87" i="3"/>
  <c r="H87" i="3"/>
  <c r="D87" i="3"/>
  <c r="B87" i="3"/>
  <c r="T86" i="3"/>
  <c r="P86" i="3"/>
  <c r="X86" i="3" s="1"/>
  <c r="N86" i="3"/>
  <c r="L86" i="3"/>
  <c r="H86" i="3"/>
  <c r="D86" i="3"/>
  <c r="B86" i="3"/>
  <c r="T85" i="3"/>
  <c r="P85" i="3"/>
  <c r="X85" i="3" s="1"/>
  <c r="Z85" i="3" s="1"/>
  <c r="H85" i="3"/>
  <c r="N85" i="3" s="1"/>
  <c r="D85" i="3"/>
  <c r="L85" i="3" s="1"/>
  <c r="B85" i="3"/>
  <c r="T84" i="3"/>
  <c r="P84" i="3"/>
  <c r="X84" i="3" s="1"/>
  <c r="L84" i="3"/>
  <c r="H84" i="3"/>
  <c r="N84" i="3" s="1"/>
  <c r="D84" i="3"/>
  <c r="B84" i="3"/>
  <c r="X83" i="3"/>
  <c r="Z83" i="3" s="1"/>
  <c r="T83" i="3"/>
  <c r="P83" i="3"/>
  <c r="H83" i="3"/>
  <c r="D83" i="3"/>
  <c r="B83" i="3"/>
  <c r="T82" i="3"/>
  <c r="P82" i="3"/>
  <c r="X82" i="3" s="1"/>
  <c r="N82" i="3"/>
  <c r="L82" i="3"/>
  <c r="H82" i="3"/>
  <c r="D82" i="3"/>
  <c r="B82" i="3"/>
  <c r="T81" i="3"/>
  <c r="P81" i="3"/>
  <c r="X81" i="3" s="1"/>
  <c r="Z81" i="3" s="1"/>
  <c r="H81" i="3"/>
  <c r="N81" i="3" s="1"/>
  <c r="D81" i="3"/>
  <c r="L81" i="3" s="1"/>
  <c r="B81" i="3"/>
  <c r="T80" i="3"/>
  <c r="P80" i="3"/>
  <c r="X80" i="3" s="1"/>
  <c r="L80" i="3"/>
  <c r="H80" i="3"/>
  <c r="N80" i="3" s="1"/>
  <c r="D80" i="3"/>
  <c r="B80" i="3"/>
  <c r="X79" i="3"/>
  <c r="Z79" i="3" s="1"/>
  <c r="T79" i="3"/>
  <c r="P79" i="3"/>
  <c r="H79" i="3"/>
  <c r="D79" i="3"/>
  <c r="B79" i="3"/>
  <c r="T78" i="3"/>
  <c r="P78" i="3"/>
  <c r="X78" i="3" s="1"/>
  <c r="N78" i="3"/>
  <c r="L78" i="3"/>
  <c r="H78" i="3"/>
  <c r="D78" i="3"/>
  <c r="B78" i="3"/>
  <c r="T77" i="3"/>
  <c r="P77" i="3"/>
  <c r="X77" i="3" s="1"/>
  <c r="Z77" i="3" s="1"/>
  <c r="H77" i="3"/>
  <c r="N77" i="3" s="1"/>
  <c r="D77" i="3"/>
  <c r="L77" i="3" s="1"/>
  <c r="B77" i="3"/>
  <c r="T76" i="3"/>
  <c r="P76" i="3"/>
  <c r="X76" i="3" s="1"/>
  <c r="L76" i="3"/>
  <c r="H76" i="3"/>
  <c r="N76" i="3" s="1"/>
  <c r="D76" i="3"/>
  <c r="B76" i="3"/>
  <c r="X75" i="3"/>
  <c r="Z75" i="3" s="1"/>
  <c r="T75" i="3"/>
  <c r="P75" i="3"/>
  <c r="H75" i="3"/>
  <c r="D75" i="3"/>
  <c r="B75" i="3"/>
  <c r="T74" i="3"/>
  <c r="P74" i="3"/>
  <c r="X74" i="3" s="1"/>
  <c r="N74" i="3"/>
  <c r="L74" i="3"/>
  <c r="H74" i="3"/>
  <c r="D74" i="3"/>
  <c r="B74" i="3"/>
  <c r="T73" i="3"/>
  <c r="P73" i="3"/>
  <c r="X73" i="3" s="1"/>
  <c r="Z73" i="3" s="1"/>
  <c r="H73" i="3"/>
  <c r="N73" i="3" s="1"/>
  <c r="D73" i="3"/>
  <c r="L73" i="3" s="1"/>
  <c r="B73" i="3"/>
  <c r="T72" i="3"/>
  <c r="P72" i="3"/>
  <c r="X72" i="3" s="1"/>
  <c r="L72" i="3"/>
  <c r="H72" i="3"/>
  <c r="N72" i="3" s="1"/>
  <c r="D72" i="3"/>
  <c r="B72" i="3"/>
  <c r="X71" i="3"/>
  <c r="Z71" i="3" s="1"/>
  <c r="T71" i="3"/>
  <c r="P71" i="3"/>
  <c r="H71" i="3"/>
  <c r="N71" i="3" s="1"/>
  <c r="D71" i="3"/>
  <c r="B71" i="3"/>
  <c r="T70" i="3"/>
  <c r="P70" i="3"/>
  <c r="X70" i="3" s="1"/>
  <c r="N70" i="3"/>
  <c r="L70" i="3"/>
  <c r="H70" i="3"/>
  <c r="D70" i="3"/>
  <c r="B70" i="3"/>
  <c r="T69" i="3"/>
  <c r="P69" i="3"/>
  <c r="X69" i="3" s="1"/>
  <c r="Z69" i="3" s="1"/>
  <c r="H69" i="3"/>
  <c r="N69" i="3" s="1"/>
  <c r="D69" i="3"/>
  <c r="L69" i="3" s="1"/>
  <c r="B69" i="3"/>
  <c r="T68" i="3"/>
  <c r="P68" i="3"/>
  <c r="X68" i="3" s="1"/>
  <c r="L68" i="3"/>
  <c r="H68" i="3"/>
  <c r="N68" i="3" s="1"/>
  <c r="D68" i="3"/>
  <c r="B68" i="3"/>
  <c r="X67" i="3"/>
  <c r="Z67" i="3" s="1"/>
  <c r="T67" i="3"/>
  <c r="P67" i="3"/>
  <c r="H67" i="3"/>
  <c r="D67" i="3"/>
  <c r="B67" i="3"/>
  <c r="T66" i="3"/>
  <c r="P66" i="3"/>
  <c r="X66" i="3" s="1"/>
  <c r="N66" i="3"/>
  <c r="L66" i="3"/>
  <c r="H66" i="3"/>
  <c r="D66" i="3"/>
  <c r="B66" i="3"/>
  <c r="T65" i="3"/>
  <c r="P65" i="3"/>
  <c r="X65" i="3" s="1"/>
  <c r="Z65" i="3" s="1"/>
  <c r="H65" i="3"/>
  <c r="N65" i="3" s="1"/>
  <c r="D65" i="3"/>
  <c r="L65" i="3" s="1"/>
  <c r="B65" i="3"/>
  <c r="T64" i="3"/>
  <c r="P64" i="3"/>
  <c r="X64" i="3" s="1"/>
  <c r="L64" i="3"/>
  <c r="H64" i="3"/>
  <c r="N64" i="3" s="1"/>
  <c r="D64" i="3"/>
  <c r="B64" i="3"/>
  <c r="X63" i="3"/>
  <c r="Z63" i="3" s="1"/>
  <c r="T63" i="3"/>
  <c r="P63" i="3"/>
  <c r="H63" i="3"/>
  <c r="D63" i="3"/>
  <c r="B63" i="3"/>
  <c r="T62" i="3"/>
  <c r="P62" i="3"/>
  <c r="X62" i="3" s="1"/>
  <c r="N62" i="3"/>
  <c r="L62" i="3"/>
  <c r="H62" i="3"/>
  <c r="D62" i="3"/>
  <c r="B62" i="3"/>
  <c r="T61" i="3"/>
  <c r="P61" i="3"/>
  <c r="X61" i="3" s="1"/>
  <c r="Z61" i="3" s="1"/>
  <c r="H61" i="3"/>
  <c r="N61" i="3" s="1"/>
  <c r="D61" i="3"/>
  <c r="L61" i="3" s="1"/>
  <c r="B61" i="3"/>
  <c r="T60" i="3"/>
  <c r="P60" i="3"/>
  <c r="X60" i="3" s="1"/>
  <c r="L60" i="3"/>
  <c r="H60" i="3"/>
  <c r="N60" i="3" s="1"/>
  <c r="D60" i="3"/>
  <c r="B60" i="3"/>
  <c r="X59" i="3"/>
  <c r="Z59" i="3" s="1"/>
  <c r="T59" i="3"/>
  <c r="P59" i="3"/>
  <c r="H59" i="3"/>
  <c r="N59" i="3" s="1"/>
  <c r="D59" i="3"/>
  <c r="B59" i="3"/>
  <c r="T58" i="3"/>
  <c r="P58" i="3"/>
  <c r="X58" i="3" s="1"/>
  <c r="N58" i="3"/>
  <c r="L58" i="3"/>
  <c r="H58" i="3"/>
  <c r="D58" i="3"/>
  <c r="B58" i="3"/>
  <c r="T57" i="3"/>
  <c r="P57" i="3"/>
  <c r="X57" i="3" s="1"/>
  <c r="Z57" i="3" s="1"/>
  <c r="H57" i="3"/>
  <c r="N57" i="3" s="1"/>
  <c r="D57" i="3"/>
  <c r="L57" i="3" s="1"/>
  <c r="B57" i="3"/>
  <c r="T56" i="3"/>
  <c r="P56" i="3"/>
  <c r="X56" i="3" s="1"/>
  <c r="L56" i="3"/>
  <c r="H56" i="3"/>
  <c r="N56" i="3" s="1"/>
  <c r="D56" i="3"/>
  <c r="B56" i="3"/>
  <c r="X55" i="3"/>
  <c r="Z55" i="3" s="1"/>
  <c r="T55" i="3"/>
  <c r="P55" i="3"/>
  <c r="H55" i="3"/>
  <c r="D55" i="3"/>
  <c r="B55" i="3"/>
  <c r="T54" i="3"/>
  <c r="P54" i="3"/>
  <c r="X54" i="3" s="1"/>
  <c r="N54" i="3"/>
  <c r="L54" i="3"/>
  <c r="H54" i="3"/>
  <c r="D54" i="3"/>
  <c r="B54" i="3"/>
  <c r="T53" i="3"/>
  <c r="X53" i="3" s="1"/>
  <c r="Z53" i="3" s="1"/>
  <c r="P53" i="3"/>
  <c r="H53" i="3"/>
  <c r="N53" i="3" s="1"/>
  <c r="D53" i="3"/>
  <c r="L53" i="3" s="1"/>
  <c r="B53" i="3"/>
  <c r="T52" i="3"/>
  <c r="P52" i="3"/>
  <c r="X52" i="3" s="1"/>
  <c r="L52" i="3"/>
  <c r="N52" i="3" s="1"/>
  <c r="H52" i="3"/>
  <c r="D52" i="3"/>
  <c r="B52" i="3"/>
  <c r="X51" i="3"/>
  <c r="Z51" i="3" s="1"/>
  <c r="T51" i="3"/>
  <c r="P51" i="3"/>
  <c r="H51" i="3"/>
  <c r="D51" i="3"/>
  <c r="B51" i="3"/>
  <c r="T50" i="3"/>
  <c r="P50" i="3"/>
  <c r="X50" i="3" s="1"/>
  <c r="N50" i="3"/>
  <c r="L50" i="3"/>
  <c r="H50" i="3"/>
  <c r="D50" i="3"/>
  <c r="B50" i="3"/>
  <c r="T49" i="3"/>
  <c r="X49" i="3" s="1"/>
  <c r="Z49" i="3" s="1"/>
  <c r="P49" i="3"/>
  <c r="H49" i="3"/>
  <c r="N49" i="3" s="1"/>
  <c r="D49" i="3"/>
  <c r="L49" i="3" s="1"/>
  <c r="B49" i="3"/>
  <c r="T48" i="3"/>
  <c r="P48" i="3"/>
  <c r="X48" i="3" s="1"/>
  <c r="L48" i="3"/>
  <c r="N48" i="3" s="1"/>
  <c r="H48" i="3"/>
  <c r="D48" i="3"/>
  <c r="B48" i="3"/>
  <c r="X47" i="3"/>
  <c r="T47" i="3"/>
  <c r="Z47" i="3" s="1"/>
  <c r="P47" i="3"/>
  <c r="H47" i="3"/>
  <c r="D47" i="3"/>
  <c r="B47" i="3"/>
  <c r="T46" i="3"/>
  <c r="P46" i="3"/>
  <c r="X46" i="3" s="1"/>
  <c r="N46" i="3"/>
  <c r="L46" i="3"/>
  <c r="H46" i="3"/>
  <c r="D46" i="3"/>
  <c r="B46" i="3"/>
  <c r="T45" i="3"/>
  <c r="P45" i="3"/>
  <c r="H45" i="3"/>
  <c r="N45" i="3" s="1"/>
  <c r="D45" i="3"/>
  <c r="L45" i="3" s="1"/>
  <c r="B45" i="3"/>
  <c r="T44" i="3"/>
  <c r="P44" i="3"/>
  <c r="X44" i="3" s="1"/>
  <c r="L44" i="3"/>
  <c r="N44" i="3" s="1"/>
  <c r="H44" i="3"/>
  <c r="D44" i="3"/>
  <c r="B44" i="3"/>
  <c r="X43" i="3"/>
  <c r="T43" i="3"/>
  <c r="Z43" i="3" s="1"/>
  <c r="P43" i="3"/>
  <c r="H43" i="3"/>
  <c r="D43" i="3"/>
  <c r="B43" i="3"/>
  <c r="T42" i="3"/>
  <c r="P42" i="3"/>
  <c r="X42" i="3" s="1"/>
  <c r="N42" i="3"/>
  <c r="L42" i="3"/>
  <c r="H42" i="3"/>
  <c r="D42" i="3"/>
  <c r="B42" i="3"/>
  <c r="T41" i="3"/>
  <c r="P41" i="3"/>
  <c r="H41" i="3"/>
  <c r="N41" i="3" s="1"/>
  <c r="D41" i="3"/>
  <c r="L41" i="3" s="1"/>
  <c r="B41" i="3"/>
  <c r="T40" i="3"/>
  <c r="P40" i="3"/>
  <c r="X40" i="3" s="1"/>
  <c r="L40" i="3"/>
  <c r="N40" i="3" s="1"/>
  <c r="H40" i="3"/>
  <c r="D40" i="3"/>
  <c r="B40" i="3"/>
  <c r="X39" i="3"/>
  <c r="T39" i="3"/>
  <c r="Z39" i="3" s="1"/>
  <c r="P39" i="3"/>
  <c r="H39" i="3"/>
  <c r="D39" i="3"/>
  <c r="B39" i="3"/>
  <c r="T38" i="3"/>
  <c r="P38" i="3"/>
  <c r="X38" i="3" s="1"/>
  <c r="N38" i="3"/>
  <c r="L38" i="3"/>
  <c r="H38" i="3"/>
  <c r="D38" i="3"/>
  <c r="B38" i="3"/>
  <c r="T37" i="3"/>
  <c r="P37" i="3"/>
  <c r="H37" i="3"/>
  <c r="N37" i="3" s="1"/>
  <c r="D37" i="3"/>
  <c r="L37" i="3" s="1"/>
  <c r="B37" i="3"/>
  <c r="T36" i="3"/>
  <c r="P36" i="3"/>
  <c r="X36" i="3" s="1"/>
  <c r="L36" i="3"/>
  <c r="N36" i="3" s="1"/>
  <c r="H36" i="3"/>
  <c r="D36" i="3"/>
  <c r="B36" i="3"/>
  <c r="X35" i="3"/>
  <c r="T35" i="3"/>
  <c r="Z35" i="3" s="1"/>
  <c r="P35" i="3"/>
  <c r="H35" i="3"/>
  <c r="D35" i="3"/>
  <c r="B35" i="3"/>
  <c r="T34" i="3"/>
  <c r="P34" i="3"/>
  <c r="X34" i="3" s="1"/>
  <c r="N34" i="3"/>
  <c r="L34" i="3"/>
  <c r="H34" i="3"/>
  <c r="D34" i="3"/>
  <c r="B34" i="3"/>
  <c r="T33" i="3"/>
  <c r="P33" i="3"/>
  <c r="H33" i="3"/>
  <c r="N33" i="3" s="1"/>
  <c r="D33" i="3"/>
  <c r="L33" i="3" s="1"/>
  <c r="B33" i="3"/>
  <c r="T32" i="3"/>
  <c r="P32" i="3"/>
  <c r="X32" i="3" s="1"/>
  <c r="L32" i="3"/>
  <c r="N32" i="3" s="1"/>
  <c r="H32" i="3"/>
  <c r="D32" i="3"/>
  <c r="B32" i="3"/>
  <c r="X31" i="3"/>
  <c r="T31" i="3"/>
  <c r="Z31" i="3" s="1"/>
  <c r="P31" i="3"/>
  <c r="H31" i="3"/>
  <c r="D31" i="3"/>
  <c r="B31" i="3"/>
  <c r="T30" i="3"/>
  <c r="P30" i="3"/>
  <c r="X30" i="3" s="1"/>
  <c r="N30" i="3"/>
  <c r="L30" i="3"/>
  <c r="H30" i="3"/>
  <c r="D30" i="3"/>
  <c r="B30" i="3"/>
  <c r="T29" i="3"/>
  <c r="P29" i="3"/>
  <c r="H29" i="3"/>
  <c r="N29" i="3" s="1"/>
  <c r="D29" i="3"/>
  <c r="L29" i="3" s="1"/>
  <c r="B29" i="3"/>
  <c r="T28" i="3"/>
  <c r="P28" i="3"/>
  <c r="X28" i="3" s="1"/>
  <c r="L28" i="3"/>
  <c r="N28" i="3" s="1"/>
  <c r="H28" i="3"/>
  <c r="D28" i="3"/>
  <c r="B28" i="3"/>
  <c r="X27" i="3"/>
  <c r="T27" i="3"/>
  <c r="Z27" i="3" s="1"/>
  <c r="P27" i="3"/>
  <c r="H27" i="3"/>
  <c r="D27" i="3"/>
  <c r="B27" i="3"/>
  <c r="T26" i="3"/>
  <c r="P26" i="3"/>
  <c r="X26" i="3" s="1"/>
  <c r="N26" i="3"/>
  <c r="L26" i="3"/>
  <c r="H26" i="3"/>
  <c r="D26" i="3"/>
  <c r="B26" i="3"/>
  <c r="T25" i="3"/>
  <c r="P25" i="3"/>
  <c r="H25" i="3"/>
  <c r="N25" i="3" s="1"/>
  <c r="D25" i="3"/>
  <c r="L25" i="3" s="1"/>
  <c r="B25" i="3"/>
  <c r="T24" i="3"/>
  <c r="P24" i="3"/>
  <c r="X24" i="3" s="1"/>
  <c r="L24" i="3"/>
  <c r="N24" i="3" s="1"/>
  <c r="H24" i="3"/>
  <c r="D24" i="3"/>
  <c r="B24" i="3"/>
  <c r="X23" i="3"/>
  <c r="T23" i="3"/>
  <c r="Z23" i="3" s="1"/>
  <c r="P23" i="3"/>
  <c r="L23" i="3"/>
  <c r="H23" i="3"/>
  <c r="N23" i="3" s="1"/>
  <c r="D23" i="3"/>
  <c r="B23" i="3"/>
  <c r="T22" i="3"/>
  <c r="Z22" i="3" s="1"/>
  <c r="P22" i="3"/>
  <c r="X22" i="3" s="1"/>
  <c r="N22" i="3"/>
  <c r="L22" i="3"/>
  <c r="H22" i="3"/>
  <c r="D22" i="3"/>
  <c r="B22" i="3"/>
  <c r="T21" i="3"/>
  <c r="P21" i="3"/>
  <c r="H21" i="3"/>
  <c r="N21" i="3" s="1"/>
  <c r="D21" i="3"/>
  <c r="L21" i="3" s="1"/>
  <c r="B21" i="3"/>
  <c r="T20" i="3"/>
  <c r="Z20" i="3" s="1"/>
  <c r="P20" i="3"/>
  <c r="X20" i="3" s="1"/>
  <c r="L20" i="3"/>
  <c r="N20" i="3" s="1"/>
  <c r="H20" i="3"/>
  <c r="D20" i="3"/>
  <c r="B20" i="3"/>
  <c r="X19" i="3"/>
  <c r="T19" i="3"/>
  <c r="Z19" i="3" s="1"/>
  <c r="P19" i="3"/>
  <c r="L19" i="3"/>
  <c r="H19" i="3"/>
  <c r="N19" i="3" s="1"/>
  <c r="D19" i="3"/>
  <c r="B19" i="3"/>
  <c r="T18" i="3"/>
  <c r="P18" i="3"/>
  <c r="X18" i="3" s="1"/>
  <c r="N18" i="3"/>
  <c r="L18" i="3"/>
  <c r="H18" i="3"/>
  <c r="D18" i="3"/>
  <c r="B18" i="3"/>
  <c r="T17" i="3"/>
  <c r="P17" i="3"/>
  <c r="H17" i="3"/>
  <c r="D17" i="3"/>
  <c r="L17" i="3" s="1"/>
  <c r="B17" i="3"/>
  <c r="T16" i="3"/>
  <c r="P16" i="3"/>
  <c r="X16" i="3" s="1"/>
  <c r="N16" i="3"/>
  <c r="L16" i="3"/>
  <c r="H16" i="3"/>
  <c r="D16" i="3"/>
  <c r="B16" i="3"/>
  <c r="X15" i="3"/>
  <c r="T15" i="3"/>
  <c r="Z15" i="3" s="1"/>
  <c r="P15" i="3"/>
  <c r="L15" i="3"/>
  <c r="H15" i="3"/>
  <c r="N15" i="3" s="1"/>
  <c r="D15" i="3"/>
  <c r="B15" i="3"/>
  <c r="T14" i="3"/>
  <c r="P14" i="3"/>
  <c r="P12" i="3" s="1"/>
  <c r="N14" i="3"/>
  <c r="L14" i="3"/>
  <c r="H14" i="3"/>
  <c r="D14" i="3"/>
  <c r="B14" i="3"/>
  <c r="T13" i="3"/>
  <c r="T12" i="3" s="1"/>
  <c r="P13" i="3"/>
  <c r="H13" i="3"/>
  <c r="H12" i="3" s="1"/>
  <c r="D13" i="3"/>
  <c r="D12" i="3" s="1"/>
  <c r="B13" i="3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1" i="113"/>
  <c r="T15" i="113"/>
  <c r="P13" i="113"/>
  <c r="H12" i="113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P20" i="113"/>
  <c r="P16" i="113"/>
  <c r="D12" i="113"/>
  <c r="P24" i="112"/>
  <c r="P22" i="112"/>
  <c r="T20" i="112"/>
  <c r="T16" i="112"/>
  <c r="T13" i="112"/>
  <c r="T24" i="111"/>
  <c r="T22" i="111"/>
  <c r="P12" i="111"/>
  <c r="H34" i="113"/>
  <c r="H33" i="113"/>
  <c r="H29" i="113"/>
  <c r="H25" i="113"/>
  <c r="P15" i="113"/>
  <c r="D6" i="113"/>
  <c r="P21" i="112"/>
  <c r="T15" i="112"/>
  <c r="P13" i="112"/>
  <c r="H12" i="112"/>
  <c r="P34" i="111"/>
  <c r="P33" i="111"/>
  <c r="P29" i="111"/>
  <c r="P25" i="111"/>
  <c r="T21" i="111"/>
  <c r="B21" i="112"/>
  <c r="D29" i="112"/>
  <c r="H25" i="111"/>
  <c r="H15" i="113"/>
  <c r="D20" i="112"/>
  <c r="B25" i="111"/>
  <c r="H16" i="111"/>
  <c r="H34" i="111"/>
  <c r="P15" i="111"/>
  <c r="B38" i="112"/>
  <c r="D24" i="111"/>
  <c r="D25" i="112"/>
  <c r="H33" i="111"/>
  <c r="D16" i="112"/>
  <c r="D22" i="111"/>
  <c r="B13" i="111"/>
  <c r="D34" i="112"/>
  <c r="D6" i="111"/>
  <c r="D21" i="113"/>
  <c r="H20" i="111"/>
  <c r="H21" i="112"/>
  <c r="D4" i="112"/>
  <c r="B22" i="113"/>
  <c r="D33" i="112"/>
  <c r="D13" i="112"/>
  <c r="H29" i="111"/>
  <c r="D34" i="53"/>
  <c r="P22" i="53"/>
  <c r="T20" i="53"/>
  <c r="T16" i="53"/>
  <c r="T13" i="53"/>
  <c r="P34" i="52"/>
  <c r="P33" i="52"/>
  <c r="P29" i="52"/>
  <c r="P25" i="52"/>
  <c r="T21" i="52"/>
  <c r="P21" i="50"/>
  <c r="T15" i="50"/>
  <c r="P13" i="50"/>
  <c r="H12" i="50"/>
  <c r="P24" i="49"/>
  <c r="P22" i="49"/>
  <c r="T20" i="49"/>
  <c r="T16" i="49"/>
  <c r="T13" i="49"/>
  <c r="B38" i="53"/>
  <c r="P20" i="53"/>
  <c r="P16" i="53"/>
  <c r="D12" i="53"/>
  <c r="P21" i="52"/>
  <c r="T15" i="52"/>
  <c r="P13" i="52"/>
  <c r="H12" i="52"/>
  <c r="H34" i="50"/>
  <c r="H33" i="50"/>
  <c r="H29" i="50"/>
  <c r="H25" i="50"/>
  <c r="P15" i="50"/>
  <c r="D5" i="50"/>
  <c r="P20" i="49"/>
  <c r="P16" i="49"/>
  <c r="D12" i="49"/>
  <c r="T33" i="53"/>
  <c r="P29" i="53"/>
  <c r="P15" i="53"/>
  <c r="D5" i="53"/>
  <c r="P20" i="52"/>
  <c r="P16" i="52"/>
  <c r="D12" i="52"/>
  <c r="B39" i="50"/>
  <c r="H24" i="50"/>
  <c r="H22" i="50"/>
  <c r="H13" i="50"/>
  <c r="D4" i="50"/>
  <c r="H34" i="49"/>
  <c r="H33" i="49"/>
  <c r="H29" i="49"/>
  <c r="H25" i="49"/>
  <c r="P15" i="49"/>
  <c r="D5" i="49"/>
  <c r="T34" i="53"/>
  <c r="H22" i="53"/>
  <c r="H13" i="53"/>
  <c r="D4" i="53"/>
  <c r="H34" i="52"/>
  <c r="H33" i="52"/>
  <c r="H29" i="52"/>
  <c r="H25" i="52"/>
  <c r="P15" i="52"/>
  <c r="D5" i="52"/>
  <c r="P33" i="53"/>
  <c r="H25" i="53"/>
  <c r="H24" i="53"/>
  <c r="H21" i="53"/>
  <c r="D13" i="53"/>
  <c r="B39" i="52"/>
  <c r="H24" i="52"/>
  <c r="H22" i="52"/>
  <c r="H13" i="52"/>
  <c r="D4" i="52"/>
  <c r="P34" i="53"/>
  <c r="D22" i="53"/>
  <c r="H20" i="53"/>
  <c r="H16" i="53"/>
  <c r="B13" i="53"/>
  <c r="B38" i="52"/>
  <c r="D34" i="52"/>
  <c r="D33" i="52"/>
  <c r="D29" i="52"/>
  <c r="D25" i="52"/>
  <c r="H21" i="52"/>
  <c r="D13" i="52"/>
  <c r="H29" i="53"/>
  <c r="D25" i="53"/>
  <c r="D24" i="53"/>
  <c r="B22" i="53"/>
  <c r="D21" i="53"/>
  <c r="H15" i="53"/>
  <c r="B25" i="52"/>
  <c r="D24" i="52"/>
  <c r="D22" i="52"/>
  <c r="H20" i="52"/>
  <c r="H16" i="52"/>
  <c r="B13" i="52"/>
  <c r="B21" i="50"/>
  <c r="D20" i="50"/>
  <c r="D16" i="50"/>
  <c r="B22" i="49"/>
  <c r="D21" i="49"/>
  <c r="H15" i="49"/>
  <c r="T34" i="47"/>
  <c r="T33" i="47"/>
  <c r="T29" i="47"/>
  <c r="T25" i="47"/>
  <c r="B25" i="53"/>
  <c r="B21" i="53"/>
  <c r="D20" i="53"/>
  <c r="D16" i="53"/>
  <c r="B22" i="52"/>
  <c r="D21" i="52"/>
  <c r="H15" i="52"/>
  <c r="H34" i="53"/>
  <c r="T22" i="53"/>
  <c r="P12" i="53"/>
  <c r="T34" i="52"/>
  <c r="T33" i="52"/>
  <c r="T29" i="52"/>
  <c r="T25" i="52"/>
  <c r="B16" i="52"/>
  <c r="D15" i="52"/>
  <c r="T12" i="52"/>
  <c r="P34" i="50"/>
  <c r="P33" i="50"/>
  <c r="P29" i="50"/>
  <c r="P25" i="50"/>
  <c r="T21" i="50"/>
  <c r="T24" i="49"/>
  <c r="T22" i="49"/>
  <c r="P12" i="49"/>
  <c r="P24" i="47"/>
  <c r="P22" i="47"/>
  <c r="T20" i="47"/>
  <c r="T16" i="47"/>
  <c r="T13" i="47"/>
  <c r="B39" i="53"/>
  <c r="T29" i="53"/>
  <c r="P22" i="52"/>
  <c r="T16" i="52"/>
  <c r="T29" i="50"/>
  <c r="T13" i="50"/>
  <c r="D34" i="49"/>
  <c r="B25" i="49"/>
  <c r="H22" i="49"/>
  <c r="H12" i="49"/>
  <c r="H22" i="47"/>
  <c r="H21" i="47"/>
  <c r="H20" i="47"/>
  <c r="D16" i="47"/>
  <c r="D15" i="47"/>
  <c r="P12" i="47"/>
  <c r="P34" i="46"/>
  <c r="P33" i="46"/>
  <c r="P29" i="46"/>
  <c r="P25" i="46"/>
  <c r="T21" i="46"/>
  <c r="P34" i="44"/>
  <c r="P33" i="44"/>
  <c r="P29" i="44"/>
  <c r="P25" i="44"/>
  <c r="T21" i="44"/>
  <c r="T24" i="43"/>
  <c r="T22" i="43"/>
  <c r="P12" i="43"/>
  <c r="D29" i="53"/>
  <c r="B16" i="53"/>
  <c r="D16" i="52"/>
  <c r="H16" i="50"/>
  <c r="D4" i="49"/>
  <c r="D34" i="47"/>
  <c r="H25" i="47"/>
  <c r="H24" i="47"/>
  <c r="B16" i="47"/>
  <c r="P24" i="46"/>
  <c r="P22" i="46"/>
  <c r="T20" i="46"/>
  <c r="T16" i="46"/>
  <c r="T13" i="46"/>
  <c r="P24" i="44"/>
  <c r="T21" i="53"/>
  <c r="D33" i="50"/>
  <c r="T25" i="50"/>
  <c r="D24" i="50"/>
  <c r="D13" i="50"/>
  <c r="D22" i="49"/>
  <c r="P29" i="47"/>
  <c r="D22" i="47"/>
  <c r="D21" i="47"/>
  <c r="D20" i="47"/>
  <c r="H12" i="47"/>
  <c r="P21" i="46"/>
  <c r="T15" i="46"/>
  <c r="P13" i="46"/>
  <c r="H12" i="46"/>
  <c r="P21" i="44"/>
  <c r="T15" i="44"/>
  <c r="P13" i="44"/>
  <c r="H12" i="44"/>
  <c r="P24" i="43"/>
  <c r="P22" i="43"/>
  <c r="T20" i="43"/>
  <c r="T16" i="43"/>
  <c r="T13" i="43"/>
  <c r="P21" i="53"/>
  <c r="T15" i="53"/>
  <c r="T34" i="50"/>
  <c r="H21" i="50"/>
  <c r="B16" i="50"/>
  <c r="B13" i="50"/>
  <c r="T33" i="49"/>
  <c r="D15" i="49"/>
  <c r="D25" i="47"/>
  <c r="D24" i="47"/>
  <c r="B22" i="47"/>
  <c r="B21" i="47"/>
  <c r="P13" i="47"/>
  <c r="D12" i="47"/>
  <c r="P20" i="46"/>
  <c r="P16" i="46"/>
  <c r="D12" i="46"/>
  <c r="P20" i="44"/>
  <c r="P16" i="44"/>
  <c r="D12" i="44"/>
  <c r="P21" i="43"/>
  <c r="T15" i="43"/>
  <c r="P13" i="43"/>
  <c r="H12" i="43"/>
  <c r="D15" i="53"/>
  <c r="B21" i="52"/>
  <c r="T25" i="53"/>
  <c r="B38" i="50"/>
  <c r="T22" i="50"/>
  <c r="D21" i="50"/>
  <c r="T12" i="50"/>
  <c r="T29" i="49"/>
  <c r="H24" i="49"/>
  <c r="T21" i="49"/>
  <c r="D20" i="49"/>
  <c r="P13" i="49"/>
  <c r="B38" i="47"/>
  <c r="H29" i="47"/>
  <c r="D4" i="47"/>
  <c r="H24" i="46"/>
  <c r="H22" i="46"/>
  <c r="H13" i="46"/>
  <c r="D4" i="46"/>
  <c r="P25" i="53"/>
  <c r="P13" i="53"/>
  <c r="T20" i="52"/>
  <c r="T13" i="52"/>
  <c r="D25" i="50"/>
  <c r="P22" i="50"/>
  <c r="P12" i="50"/>
  <c r="P29" i="49"/>
  <c r="P21" i="49"/>
  <c r="H16" i="49"/>
  <c r="H13" i="49"/>
  <c r="P33" i="47"/>
  <c r="P16" i="47"/>
  <c r="P15" i="47"/>
  <c r="H13" i="47"/>
  <c r="B39" i="46"/>
  <c r="D34" i="46"/>
  <c r="D33" i="46"/>
  <c r="D29" i="46"/>
  <c r="D25" i="46"/>
  <c r="H21" i="46"/>
  <c r="D13" i="46"/>
  <c r="H33" i="53"/>
  <c r="T12" i="53"/>
  <c r="D20" i="52"/>
  <c r="D34" i="50"/>
  <c r="B25" i="50"/>
  <c r="D33" i="49"/>
  <c r="T25" i="49"/>
  <c r="D24" i="49"/>
  <c r="D16" i="49"/>
  <c r="D13" i="49"/>
  <c r="D29" i="47"/>
  <c r="T22" i="47"/>
  <c r="T21" i="47"/>
  <c r="D13" i="47"/>
  <c r="B38" i="46"/>
  <c r="B25" i="46"/>
  <c r="D24" i="46"/>
  <c r="D22" i="46"/>
  <c r="H20" i="46"/>
  <c r="H16" i="46"/>
  <c r="B13" i="46"/>
  <c r="B25" i="44"/>
  <c r="D24" i="44"/>
  <c r="D22" i="44"/>
  <c r="T33" i="50"/>
  <c r="T24" i="50"/>
  <c r="B22" i="50"/>
  <c r="T16" i="50"/>
  <c r="D15" i="50"/>
  <c r="B38" i="49"/>
  <c r="B21" i="49"/>
  <c r="T15" i="49"/>
  <c r="T12" i="49"/>
  <c r="P25" i="47"/>
  <c r="H16" i="47"/>
  <c r="H15" i="47"/>
  <c r="T34" i="46"/>
  <c r="T33" i="46"/>
  <c r="T29" i="46"/>
  <c r="T25" i="46"/>
  <c r="B16" i="46"/>
  <c r="D15" i="46"/>
  <c r="T12" i="46"/>
  <c r="T34" i="44"/>
  <c r="T33" i="44"/>
  <c r="T29" i="44"/>
  <c r="T25" i="44"/>
  <c r="B16" i="44"/>
  <c r="D15" i="44"/>
  <c r="T12" i="44"/>
  <c r="T22" i="52"/>
  <c r="P24" i="50"/>
  <c r="H20" i="50"/>
  <c r="P16" i="50"/>
  <c r="D25" i="49"/>
  <c r="H34" i="47"/>
  <c r="D33" i="47"/>
  <c r="T12" i="47"/>
  <c r="T24" i="46"/>
  <c r="T22" i="46"/>
  <c r="P12" i="46"/>
  <c r="T24" i="44"/>
  <c r="T22" i="44"/>
  <c r="P12" i="44"/>
  <c r="T34" i="43"/>
  <c r="T33" i="43"/>
  <c r="T29" i="43"/>
  <c r="T25" i="43"/>
  <c r="B16" i="43"/>
  <c r="D15" i="43"/>
  <c r="T12" i="43"/>
  <c r="D33" i="53"/>
  <c r="D12" i="50"/>
  <c r="P25" i="49"/>
  <c r="B16" i="49"/>
  <c r="B21" i="46"/>
  <c r="B38" i="44"/>
  <c r="H24" i="43"/>
  <c r="D22" i="50"/>
  <c r="B39" i="49"/>
  <c r="H33" i="46"/>
  <c r="H25" i="46"/>
  <c r="H33" i="44"/>
  <c r="D29" i="44"/>
  <c r="D20" i="44"/>
  <c r="H16" i="44"/>
  <c r="H13" i="44"/>
  <c r="D34" i="43"/>
  <c r="D29" i="43"/>
  <c r="P25" i="43"/>
  <c r="T21" i="43"/>
  <c r="T24" i="53"/>
  <c r="P12" i="52"/>
  <c r="P34" i="47"/>
  <c r="P20" i="47"/>
  <c r="B13" i="47"/>
  <c r="D13" i="44"/>
  <c r="D24" i="43"/>
  <c r="H20" i="43"/>
  <c r="P16" i="43"/>
  <c r="D12" i="43"/>
  <c r="H34" i="41"/>
  <c r="H33" i="41"/>
  <c r="H29" i="41"/>
  <c r="H25" i="41"/>
  <c r="P15" i="41"/>
  <c r="D5" i="41"/>
  <c r="P20" i="40"/>
  <c r="P16" i="40"/>
  <c r="D12" i="40"/>
  <c r="P24" i="53"/>
  <c r="T20" i="50"/>
  <c r="T34" i="49"/>
  <c r="B13" i="49"/>
  <c r="D20" i="46"/>
  <c r="D33" i="44"/>
  <c r="H24" i="44"/>
  <c r="D16" i="44"/>
  <c r="B13" i="44"/>
  <c r="H25" i="43"/>
  <c r="H15" i="43"/>
  <c r="D5" i="43"/>
  <c r="B39" i="41"/>
  <c r="H24" i="41"/>
  <c r="H22" i="41"/>
  <c r="H13" i="41"/>
  <c r="D4" i="41"/>
  <c r="H34" i="40"/>
  <c r="H33" i="40"/>
  <c r="H29" i="40"/>
  <c r="H25" i="40"/>
  <c r="P15" i="40"/>
  <c r="D5" i="40"/>
  <c r="P20" i="50"/>
  <c r="P34" i="49"/>
  <c r="B25" i="47"/>
  <c r="D5" i="47"/>
  <c r="D5" i="46"/>
  <c r="H21" i="44"/>
  <c r="D20" i="43"/>
  <c r="D4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D29" i="50"/>
  <c r="P33" i="49"/>
  <c r="T24" i="47"/>
  <c r="D21" i="44"/>
  <c r="P15" i="44"/>
  <c r="P33" i="43"/>
  <c r="D25" i="43"/>
  <c r="H21" i="43"/>
  <c r="H21" i="49"/>
  <c r="H33" i="47"/>
  <c r="B21" i="44"/>
  <c r="B25" i="43"/>
  <c r="H16" i="43"/>
  <c r="H12" i="53"/>
  <c r="H29" i="46"/>
  <c r="P22" i="44"/>
  <c r="T20" i="44"/>
  <c r="D5" i="44"/>
  <c r="H33" i="43"/>
  <c r="D21" i="43"/>
  <c r="B21" i="41"/>
  <c r="D20" i="41"/>
  <c r="D16" i="41"/>
  <c r="B22" i="40"/>
  <c r="D21" i="40"/>
  <c r="H15" i="40"/>
  <c r="H20" i="49"/>
  <c r="B22" i="46"/>
  <c r="H34" i="44"/>
  <c r="D4" i="44"/>
  <c r="H22" i="43"/>
  <c r="B21" i="43"/>
  <c r="D16" i="43"/>
  <c r="H13" i="43"/>
  <c r="T34" i="41"/>
  <c r="T33" i="41"/>
  <c r="T29" i="41"/>
  <c r="T25" i="41"/>
  <c r="B16" i="41"/>
  <c r="D15" i="41"/>
  <c r="T12" i="41"/>
  <c r="B21" i="40"/>
  <c r="D20" i="40"/>
  <c r="D16" i="40"/>
  <c r="T24" i="52"/>
  <c r="H15" i="50"/>
  <c r="D29" i="49"/>
  <c r="B39" i="47"/>
  <c r="T15" i="47"/>
  <c r="H34" i="46"/>
  <c r="P15" i="46"/>
  <c r="D34" i="44"/>
  <c r="B38" i="43"/>
  <c r="D22" i="43"/>
  <c r="P20" i="43"/>
  <c r="B13" i="43"/>
  <c r="P34" i="41"/>
  <c r="P33" i="41"/>
  <c r="P29" i="41"/>
  <c r="P25" i="41"/>
  <c r="T21" i="41"/>
  <c r="T24" i="40"/>
  <c r="T22" i="40"/>
  <c r="P12" i="40"/>
  <c r="B39" i="43"/>
  <c r="T24" i="41"/>
  <c r="P12" i="41"/>
  <c r="T34" i="40"/>
  <c r="B16" i="40"/>
  <c r="T12" i="40"/>
  <c r="B39" i="38"/>
  <c r="H24" i="38"/>
  <c r="H22" i="38"/>
  <c r="H13" i="38"/>
  <c r="D4" i="38"/>
  <c r="H34" i="37"/>
  <c r="H33" i="37"/>
  <c r="H29" i="37"/>
  <c r="H25" i="37"/>
  <c r="P15" i="37"/>
  <c r="D5" i="37"/>
  <c r="H29" i="44"/>
  <c r="B22" i="43"/>
  <c r="P24" i="41"/>
  <c r="P34" i="40"/>
  <c r="T21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H25" i="44"/>
  <c r="P34" i="43"/>
  <c r="P21" i="41"/>
  <c r="T15" i="41"/>
  <c r="H12" i="41"/>
  <c r="P24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D25" i="44"/>
  <c r="H34" i="43"/>
  <c r="D12" i="41"/>
  <c r="P21" i="40"/>
  <c r="T15" i="40"/>
  <c r="H12" i="40"/>
  <c r="B22" i="38"/>
  <c r="D21" i="38"/>
  <c r="H15" i="38"/>
  <c r="B25" i="37"/>
  <c r="D24" i="37"/>
  <c r="D22" i="37"/>
  <c r="H20" i="37"/>
  <c r="H16" i="37"/>
  <c r="B13" i="37"/>
  <c r="H22" i="44"/>
  <c r="D33" i="43"/>
  <c r="D24" i="41"/>
  <c r="B38" i="40"/>
  <c r="D34" i="40"/>
  <c r="H21" i="40"/>
  <c r="B21" i="38"/>
  <c r="D20" i="38"/>
  <c r="D16" i="38"/>
  <c r="B22" i="37"/>
  <c r="D21" i="37"/>
  <c r="H15" i="37"/>
  <c r="B22" i="44"/>
  <c r="D21" i="41"/>
  <c r="H15" i="41"/>
  <c r="D24" i="40"/>
  <c r="T34" i="38"/>
  <c r="T33" i="38"/>
  <c r="T29" i="38"/>
  <c r="T25" i="38"/>
  <c r="B16" i="38"/>
  <c r="D15" i="38"/>
  <c r="T12" i="38"/>
  <c r="B21" i="37"/>
  <c r="D20" i="37"/>
  <c r="D16" i="37"/>
  <c r="P29" i="43"/>
  <c r="T22" i="41"/>
  <c r="T33" i="40"/>
  <c r="T29" i="40"/>
  <c r="T25" i="40"/>
  <c r="D15" i="40"/>
  <c r="T24" i="38"/>
  <c r="T22" i="38"/>
  <c r="P12" i="38"/>
  <c r="T34" i="37"/>
  <c r="T33" i="37"/>
  <c r="T29" i="37"/>
  <c r="T25" i="37"/>
  <c r="B16" i="37"/>
  <c r="D15" i="37"/>
  <c r="T12" i="37"/>
  <c r="D21" i="46"/>
  <c r="H20" i="44"/>
  <c r="H29" i="43"/>
  <c r="P15" i="43"/>
  <c r="P22" i="41"/>
  <c r="T20" i="41"/>
  <c r="T16" i="41"/>
  <c r="T13" i="41"/>
  <c r="P33" i="40"/>
  <c r="P29" i="40"/>
  <c r="P25" i="40"/>
  <c r="P34" i="38"/>
  <c r="P33" i="38"/>
  <c r="P29" i="38"/>
  <c r="P25" i="38"/>
  <c r="T21" i="38"/>
  <c r="T24" i="37"/>
  <c r="T22" i="37"/>
  <c r="P12" i="37"/>
  <c r="D16" i="46"/>
  <c r="T16" i="44"/>
  <c r="D13" i="43"/>
  <c r="P13" i="41"/>
  <c r="P22" i="40"/>
  <c r="T20" i="40"/>
  <c r="T16" i="40"/>
  <c r="T13" i="40"/>
  <c r="P24" i="38"/>
  <c r="P22" i="38"/>
  <c r="T20" i="38"/>
  <c r="T16" i="38"/>
  <c r="T13" i="38"/>
  <c r="P34" i="37"/>
  <c r="P33" i="37"/>
  <c r="P29" i="37"/>
  <c r="P25" i="37"/>
  <c r="T21" i="37"/>
  <c r="H15" i="46"/>
  <c r="B39" i="44"/>
  <c r="P20" i="41"/>
  <c r="P16" i="41"/>
  <c r="P13" i="40"/>
  <c r="P21" i="38"/>
  <c r="T15" i="38"/>
  <c r="P13" i="38"/>
  <c r="H12" i="38"/>
  <c r="P24" i="37"/>
  <c r="P22" i="37"/>
  <c r="T20" i="37"/>
  <c r="T16" i="37"/>
  <c r="T13" i="37"/>
  <c r="P24" i="52"/>
  <c r="H15" i="44"/>
  <c r="B25" i="41"/>
  <c r="D22" i="41"/>
  <c r="H20" i="41"/>
  <c r="H16" i="41"/>
  <c r="B13" i="41"/>
  <c r="D33" i="40"/>
  <c r="D29" i="40"/>
  <c r="D25" i="40"/>
  <c r="D13" i="40"/>
  <c r="P20" i="38"/>
  <c r="P16" i="38"/>
  <c r="D12" i="38"/>
  <c r="P21" i="37"/>
  <c r="T15" i="37"/>
  <c r="P13" i="37"/>
  <c r="H12" i="37"/>
  <c r="P21" i="47"/>
  <c r="T13" i="44"/>
  <c r="B22" i="41"/>
  <c r="B25" i="40"/>
  <c r="D22" i="40"/>
  <c r="H20" i="40"/>
  <c r="H16" i="40"/>
  <c r="B13" i="40"/>
  <c r="H34" i="38"/>
  <c r="H33" i="38"/>
  <c r="H29" i="38"/>
  <c r="H25" i="38"/>
  <c r="P15" i="38"/>
  <c r="D5" i="38"/>
  <c r="P20" i="37"/>
  <c r="P16" i="37"/>
  <c r="D12" i="37"/>
  <c r="T34" i="35"/>
  <c r="T33" i="35"/>
  <c r="T29" i="35"/>
  <c r="T25" i="35"/>
  <c r="B16" i="35"/>
  <c r="D15" i="35"/>
  <c r="T12" i="35"/>
  <c r="B21" i="34"/>
  <c r="D20" i="34"/>
  <c r="D16" i="34"/>
  <c r="H34" i="32"/>
  <c r="H33" i="32"/>
  <c r="H29" i="32"/>
  <c r="H25" i="32"/>
  <c r="P15" i="32"/>
  <c r="D5" i="32"/>
  <c r="P20" i="31"/>
  <c r="P16" i="31"/>
  <c r="D12" i="31"/>
  <c r="T24" i="35"/>
  <c r="T22" i="35"/>
  <c r="P12" i="35"/>
  <c r="T34" i="34"/>
  <c r="T33" i="34"/>
  <c r="T29" i="34"/>
  <c r="T25" i="34"/>
  <c r="B16" i="34"/>
  <c r="D15" i="34"/>
  <c r="T12" i="34"/>
  <c r="B39" i="32"/>
  <c r="H24" i="32"/>
  <c r="H22" i="32"/>
  <c r="H13" i="32"/>
  <c r="D4" i="32"/>
  <c r="H34" i="31"/>
  <c r="H33" i="31"/>
  <c r="H29" i="31"/>
  <c r="H25" i="31"/>
  <c r="P15" i="31"/>
  <c r="D5" i="31"/>
  <c r="P34" i="35"/>
  <c r="P33" i="35"/>
  <c r="P29" i="35"/>
  <c r="P25" i="35"/>
  <c r="T21" i="35"/>
  <c r="T24" i="34"/>
  <c r="T22" i="34"/>
  <c r="P12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P24" i="35"/>
  <c r="P22" i="35"/>
  <c r="T20" i="35"/>
  <c r="T16" i="35"/>
  <c r="T13" i="35"/>
  <c r="P34" i="34"/>
  <c r="P33" i="34"/>
  <c r="P29" i="34"/>
  <c r="P25" i="34"/>
  <c r="T21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P21" i="35"/>
  <c r="T15" i="35"/>
  <c r="P13" i="35"/>
  <c r="H12" i="35"/>
  <c r="P24" i="34"/>
  <c r="P22" i="34"/>
  <c r="T20" i="34"/>
  <c r="T16" i="34"/>
  <c r="T13" i="34"/>
  <c r="B22" i="32"/>
  <c r="D21" i="32"/>
  <c r="H15" i="32"/>
  <c r="B25" i="31"/>
  <c r="D24" i="31"/>
  <c r="D22" i="31"/>
  <c r="H20" i="31"/>
  <c r="H16" i="31"/>
  <c r="B13" i="31"/>
  <c r="P20" i="35"/>
  <c r="P16" i="35"/>
  <c r="D12" i="35"/>
  <c r="P21" i="34"/>
  <c r="T15" i="34"/>
  <c r="P13" i="34"/>
  <c r="H12" i="34"/>
  <c r="B21" i="32"/>
  <c r="D20" i="32"/>
  <c r="D16" i="32"/>
  <c r="B22" i="31"/>
  <c r="D21" i="31"/>
  <c r="H15" i="31"/>
  <c r="H34" i="35"/>
  <c r="H33" i="35"/>
  <c r="H29" i="35"/>
  <c r="H25" i="35"/>
  <c r="P15" i="35"/>
  <c r="D5" i="35"/>
  <c r="P20" i="34"/>
  <c r="P16" i="34"/>
  <c r="D12" i="34"/>
  <c r="T34" i="32"/>
  <c r="T33" i="32"/>
  <c r="T29" i="32"/>
  <c r="T25" i="32"/>
  <c r="B16" i="32"/>
  <c r="D15" i="32"/>
  <c r="T12" i="32"/>
  <c r="B21" i="31"/>
  <c r="D20" i="31"/>
  <c r="D16" i="31"/>
  <c r="B39" i="35"/>
  <c r="H24" i="35"/>
  <c r="H22" i="35"/>
  <c r="H13" i="35"/>
  <c r="D4" i="35"/>
  <c r="H34" i="34"/>
  <c r="H33" i="34"/>
  <c r="H29" i="34"/>
  <c r="H25" i="34"/>
  <c r="P15" i="34"/>
  <c r="D5" i="34"/>
  <c r="T24" i="32"/>
  <c r="T22" i="32"/>
  <c r="P12" i="32"/>
  <c r="T34" i="31"/>
  <c r="T33" i="31"/>
  <c r="T29" i="31"/>
  <c r="T25" i="31"/>
  <c r="B16" i="31"/>
  <c r="B38" i="35"/>
  <c r="D34" i="35"/>
  <c r="D33" i="35"/>
  <c r="D29" i="35"/>
  <c r="D25" i="35"/>
  <c r="H21" i="35"/>
  <c r="D13" i="35"/>
  <c r="B39" i="34"/>
  <c r="H24" i="34"/>
  <c r="H22" i="34"/>
  <c r="H13" i="34"/>
  <c r="D4" i="34"/>
  <c r="P34" i="32"/>
  <c r="P33" i="32"/>
  <c r="P29" i="32"/>
  <c r="P25" i="32"/>
  <c r="T21" i="32"/>
  <c r="T24" i="31"/>
  <c r="T22" i="31"/>
  <c r="P12" i="31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P24" i="32"/>
  <c r="P22" i="32"/>
  <c r="T20" i="32"/>
  <c r="T16" i="32"/>
  <c r="T13" i="32"/>
  <c r="P34" i="31"/>
  <c r="P33" i="31"/>
  <c r="P29" i="31"/>
  <c r="P25" i="31"/>
  <c r="T21" i="31"/>
  <c r="T15" i="31"/>
  <c r="P34" i="29"/>
  <c r="P33" i="29"/>
  <c r="P29" i="29"/>
  <c r="P25" i="29"/>
  <c r="T21" i="29"/>
  <c r="T24" i="28"/>
  <c r="T22" i="28"/>
  <c r="P12" i="28"/>
  <c r="B39" i="26"/>
  <c r="H24" i="26"/>
  <c r="H22" i="26"/>
  <c r="H13" i="26"/>
  <c r="D4" i="26"/>
  <c r="H34" i="25"/>
  <c r="H33" i="25"/>
  <c r="H29" i="25"/>
  <c r="H25" i="25"/>
  <c r="P15" i="25"/>
  <c r="D5" i="25"/>
  <c r="P34" i="23"/>
  <c r="P33" i="23"/>
  <c r="P29" i="23"/>
  <c r="P25" i="23"/>
  <c r="T21" i="23"/>
  <c r="T24" i="22"/>
  <c r="T22" i="22"/>
  <c r="P12" i="22"/>
  <c r="D21" i="35"/>
  <c r="P22" i="31"/>
  <c r="D15" i="31"/>
  <c r="B21" i="35"/>
  <c r="P16" i="32"/>
  <c r="T13" i="31"/>
  <c r="P21" i="29"/>
  <c r="T15" i="29"/>
  <c r="P13" i="29"/>
  <c r="H12" i="29"/>
  <c r="P24" i="28"/>
  <c r="P22" i="28"/>
  <c r="T20" i="28"/>
  <c r="T16" i="28"/>
  <c r="T13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P21" i="23"/>
  <c r="T15" i="23"/>
  <c r="P13" i="23"/>
  <c r="H12" i="23"/>
  <c r="P24" i="22"/>
  <c r="P22" i="22"/>
  <c r="T20" i="22"/>
  <c r="T16" i="22"/>
  <c r="T13" i="22"/>
  <c r="B25" i="34"/>
  <c r="H16" i="34"/>
  <c r="T15" i="32"/>
  <c r="P13" i="31"/>
  <c r="P20" i="29"/>
  <c r="P16" i="29"/>
  <c r="D12" i="29"/>
  <c r="P21" i="28"/>
  <c r="T15" i="28"/>
  <c r="P13" i="28"/>
  <c r="H12" i="28"/>
  <c r="B22" i="26"/>
  <c r="D21" i="26"/>
  <c r="H15" i="26"/>
  <c r="B25" i="25"/>
  <c r="D24" i="25"/>
  <c r="D22" i="25"/>
  <c r="H20" i="25"/>
  <c r="H16" i="25"/>
  <c r="B13" i="25"/>
  <c r="P20" i="23"/>
  <c r="P16" i="23"/>
  <c r="D12" i="23"/>
  <c r="P21" i="22"/>
  <c r="T15" i="22"/>
  <c r="P13" i="22"/>
  <c r="H12" i="22"/>
  <c r="D20" i="35"/>
  <c r="P21" i="31"/>
  <c r="T12" i="31"/>
  <c r="H34" i="29"/>
  <c r="H33" i="29"/>
  <c r="H29" i="29"/>
  <c r="H25" i="29"/>
  <c r="P15" i="29"/>
  <c r="D5" i="29"/>
  <c r="P20" i="28"/>
  <c r="P16" i="28"/>
  <c r="D12" i="28"/>
  <c r="B21" i="26"/>
  <c r="D20" i="26"/>
  <c r="D16" i="26"/>
  <c r="B22" i="25"/>
  <c r="D21" i="25"/>
  <c r="H15" i="25"/>
  <c r="D24" i="34"/>
  <c r="P13" i="32"/>
  <c r="T20" i="31"/>
  <c r="B39" i="29"/>
  <c r="H24" i="29"/>
  <c r="H22" i="29"/>
  <c r="H13" i="29"/>
  <c r="D4" i="29"/>
  <c r="H34" i="28"/>
  <c r="H33" i="28"/>
  <c r="H29" i="28"/>
  <c r="H25" i="28"/>
  <c r="P15" i="28"/>
  <c r="D5" i="28"/>
  <c r="T34" i="26"/>
  <c r="T33" i="26"/>
  <c r="T29" i="26"/>
  <c r="T25" i="26"/>
  <c r="B16" i="26"/>
  <c r="D15" i="26"/>
  <c r="T12" i="26"/>
  <c r="B21" i="25"/>
  <c r="D20" i="25"/>
  <c r="D16" i="25"/>
  <c r="B39" i="23"/>
  <c r="H24" i="23"/>
  <c r="H22" i="23"/>
  <c r="H13" i="23"/>
  <c r="D4" i="23"/>
  <c r="H34" i="22"/>
  <c r="H33" i="22"/>
  <c r="H29" i="22"/>
  <c r="H25" i="22"/>
  <c r="P15" i="22"/>
  <c r="D5" i="22"/>
  <c r="B21" i="20"/>
  <c r="D20" i="20"/>
  <c r="D16" i="20"/>
  <c r="B22" i="19"/>
  <c r="D21" i="19"/>
  <c r="H15" i="34"/>
  <c r="H12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T24" i="26"/>
  <c r="T22" i="26"/>
  <c r="P12" i="26"/>
  <c r="T34" i="25"/>
  <c r="T33" i="25"/>
  <c r="T29" i="25"/>
  <c r="T25" i="25"/>
  <c r="B16" i="25"/>
  <c r="D15" i="25"/>
  <c r="T12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T34" i="20"/>
  <c r="T33" i="20"/>
  <c r="T29" i="20"/>
  <c r="T25" i="20"/>
  <c r="D22" i="34"/>
  <c r="B13" i="34"/>
  <c r="P21" i="32"/>
  <c r="H12" i="32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P34" i="26"/>
  <c r="P33" i="26"/>
  <c r="P29" i="26"/>
  <c r="P25" i="26"/>
  <c r="T21" i="26"/>
  <c r="T24" i="25"/>
  <c r="T22" i="25"/>
  <c r="P12" i="25"/>
  <c r="D16" i="35"/>
  <c r="B22" i="34"/>
  <c r="D12" i="32"/>
  <c r="B22" i="29"/>
  <c r="D21" i="29"/>
  <c r="H15" i="29"/>
  <c r="B25" i="28"/>
  <c r="D24" i="28"/>
  <c r="D22" i="28"/>
  <c r="H20" i="28"/>
  <c r="H16" i="28"/>
  <c r="B13" i="28"/>
  <c r="P24" i="26"/>
  <c r="P22" i="26"/>
  <c r="T20" i="26"/>
  <c r="T16" i="26"/>
  <c r="T13" i="26"/>
  <c r="P34" i="25"/>
  <c r="P33" i="25"/>
  <c r="P29" i="25"/>
  <c r="P25" i="25"/>
  <c r="T21" i="25"/>
  <c r="B22" i="23"/>
  <c r="D21" i="23"/>
  <c r="H15" i="23"/>
  <c r="B25" i="22"/>
  <c r="D24" i="22"/>
  <c r="D22" i="22"/>
  <c r="H20" i="22"/>
  <c r="H16" i="22"/>
  <c r="B13" i="22"/>
  <c r="H15" i="35"/>
  <c r="T16" i="31"/>
  <c r="B21" i="29"/>
  <c r="D20" i="29"/>
  <c r="D16" i="29"/>
  <c r="B22" i="28"/>
  <c r="D21" i="28"/>
  <c r="H15" i="28"/>
  <c r="P21" i="26"/>
  <c r="T15" i="26"/>
  <c r="P13" i="26"/>
  <c r="H12" i="26"/>
  <c r="P24" i="25"/>
  <c r="P22" i="25"/>
  <c r="T20" i="25"/>
  <c r="T16" i="25"/>
  <c r="T13" i="25"/>
  <c r="B21" i="23"/>
  <c r="D20" i="23"/>
  <c r="D16" i="23"/>
  <c r="B22" i="22"/>
  <c r="D21" i="22"/>
  <c r="H15" i="22"/>
  <c r="P24" i="20"/>
  <c r="P22" i="20"/>
  <c r="D21" i="34"/>
  <c r="P20" i="32"/>
  <c r="T34" i="29"/>
  <c r="T33" i="29"/>
  <c r="T29" i="29"/>
  <c r="T25" i="29"/>
  <c r="B16" i="29"/>
  <c r="D15" i="29"/>
  <c r="T12" i="29"/>
  <c r="B21" i="28"/>
  <c r="D20" i="28"/>
  <c r="D16" i="28"/>
  <c r="P20" i="26"/>
  <c r="P16" i="26"/>
  <c r="D12" i="26"/>
  <c r="P21" i="25"/>
  <c r="T15" i="25"/>
  <c r="P13" i="25"/>
  <c r="H12" i="25"/>
  <c r="T34" i="23"/>
  <c r="T33" i="23"/>
  <c r="T29" i="23"/>
  <c r="T25" i="23"/>
  <c r="B16" i="23"/>
  <c r="D15" i="23"/>
  <c r="T12" i="23"/>
  <c r="B21" i="22"/>
  <c r="D20" i="22"/>
  <c r="D16" i="22"/>
  <c r="P21" i="20"/>
  <c r="T15" i="20"/>
  <c r="P13" i="20"/>
  <c r="H12" i="20"/>
  <c r="P24" i="19"/>
  <c r="P22" i="19"/>
  <c r="T20" i="19"/>
  <c r="T16" i="19"/>
  <c r="P12" i="29"/>
  <c r="D25" i="26"/>
  <c r="H22" i="25"/>
  <c r="H13" i="25"/>
  <c r="T22" i="23"/>
  <c r="T34" i="22"/>
  <c r="T29" i="22"/>
  <c r="B16" i="22"/>
  <c r="B39" i="20"/>
  <c r="T24" i="20"/>
  <c r="H22" i="20"/>
  <c r="T12" i="20"/>
  <c r="H33" i="19"/>
  <c r="H21" i="19"/>
  <c r="D20" i="19"/>
  <c r="T13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H34" i="26"/>
  <c r="P15" i="26"/>
  <c r="D12" i="25"/>
  <c r="P22" i="23"/>
  <c r="T13" i="23"/>
  <c r="P34" i="22"/>
  <c r="P29" i="22"/>
  <c r="B38" i="20"/>
  <c r="P34" i="20"/>
  <c r="D33" i="20"/>
  <c r="P29" i="20"/>
  <c r="H15" i="20"/>
  <c r="P12" i="20"/>
  <c r="P25" i="19"/>
  <c r="H22" i="19"/>
  <c r="T15" i="19"/>
  <c r="P13" i="19"/>
  <c r="H12" i="19"/>
  <c r="T25" i="28"/>
  <c r="D34" i="26"/>
  <c r="D4" i="25"/>
  <c r="H33" i="23"/>
  <c r="P20" i="22"/>
  <c r="D22" i="20"/>
  <c r="T20" i="20"/>
  <c r="H16" i="20"/>
  <c r="D15" i="20"/>
  <c r="H34" i="19"/>
  <c r="D33" i="19"/>
  <c r="B21" i="19"/>
  <c r="D12" i="19"/>
  <c r="B22" i="17"/>
  <c r="D21" i="17"/>
  <c r="H15" i="17"/>
  <c r="B25" i="16"/>
  <c r="D24" i="16"/>
  <c r="D22" i="16"/>
  <c r="H20" i="16"/>
  <c r="H16" i="16"/>
  <c r="B13" i="16"/>
  <c r="B22" i="35"/>
  <c r="T20" i="29"/>
  <c r="P25" i="28"/>
  <c r="H33" i="26"/>
  <c r="P20" i="25"/>
  <c r="D22" i="23"/>
  <c r="B13" i="23"/>
  <c r="D34" i="22"/>
  <c r="D29" i="22"/>
  <c r="H34" i="20"/>
  <c r="H29" i="20"/>
  <c r="B22" i="20"/>
  <c r="P20" i="20"/>
  <c r="T29" i="19"/>
  <c r="H24" i="19"/>
  <c r="D22" i="19"/>
  <c r="P16" i="19"/>
  <c r="P15" i="19"/>
  <c r="D5" i="19"/>
  <c r="B21" i="17"/>
  <c r="D20" i="17"/>
  <c r="D16" i="17"/>
  <c r="B22" i="16"/>
  <c r="D21" i="16"/>
  <c r="H15" i="16"/>
  <c r="T34" i="28"/>
  <c r="B16" i="28"/>
  <c r="D33" i="26"/>
  <c r="D13" i="26"/>
  <c r="P12" i="23"/>
  <c r="T33" i="22"/>
  <c r="D15" i="22"/>
  <c r="H24" i="20"/>
  <c r="B16" i="20"/>
  <c r="D12" i="20"/>
  <c r="D34" i="19"/>
  <c r="H25" i="19"/>
  <c r="H13" i="19"/>
  <c r="D4" i="19"/>
  <c r="P34" i="28"/>
  <c r="D5" i="26"/>
  <c r="T16" i="23"/>
  <c r="P33" i="22"/>
  <c r="D34" i="20"/>
  <c r="D29" i="20"/>
  <c r="P25" i="20"/>
  <c r="T21" i="20"/>
  <c r="T13" i="20"/>
  <c r="D5" i="20"/>
  <c r="P29" i="19"/>
  <c r="D24" i="19"/>
  <c r="D13" i="19"/>
  <c r="T24" i="17"/>
  <c r="T22" i="17"/>
  <c r="P12" i="17"/>
  <c r="T34" i="16"/>
  <c r="T33" i="16"/>
  <c r="T29" i="16"/>
  <c r="T25" i="16"/>
  <c r="B16" i="16"/>
  <c r="D15" i="16"/>
  <c r="T12" i="16"/>
  <c r="H20" i="34"/>
  <c r="T33" i="28"/>
  <c r="D15" i="28"/>
  <c r="H21" i="26"/>
  <c r="B39" i="25"/>
  <c r="H25" i="23"/>
  <c r="D5" i="23"/>
  <c r="D24" i="20"/>
  <c r="D4" i="20"/>
  <c r="D25" i="19"/>
  <c r="B13" i="19"/>
  <c r="P34" i="17"/>
  <c r="P33" i="17"/>
  <c r="P29" i="17"/>
  <c r="P25" i="17"/>
  <c r="T21" i="17"/>
  <c r="T24" i="16"/>
  <c r="T22" i="16"/>
  <c r="P12" i="16"/>
  <c r="P24" i="31"/>
  <c r="T16" i="29"/>
  <c r="P33" i="28"/>
  <c r="H29" i="26"/>
  <c r="P16" i="25"/>
  <c r="B25" i="23"/>
  <c r="H16" i="23"/>
  <c r="B38" i="22"/>
  <c r="D33" i="22"/>
  <c r="D13" i="22"/>
  <c r="H25" i="20"/>
  <c r="H20" i="20"/>
  <c r="B39" i="19"/>
  <c r="T33" i="19"/>
  <c r="B25" i="19"/>
  <c r="T21" i="19"/>
  <c r="P20" i="19"/>
  <c r="H16" i="19"/>
  <c r="H15" i="19"/>
  <c r="T22" i="29"/>
  <c r="T29" i="28"/>
  <c r="B38" i="26"/>
  <c r="H24" i="25"/>
  <c r="H34" i="23"/>
  <c r="H29" i="23"/>
  <c r="P15" i="23"/>
  <c r="P16" i="22"/>
  <c r="D12" i="22"/>
  <c r="B25" i="20"/>
  <c r="P16" i="20"/>
  <c r="B13" i="20"/>
  <c r="D29" i="19"/>
  <c r="T24" i="19"/>
  <c r="P12" i="19"/>
  <c r="H34" i="17"/>
  <c r="H33" i="17"/>
  <c r="H29" i="17"/>
  <c r="H25" i="17"/>
  <c r="P15" i="17"/>
  <c r="D5" i="17"/>
  <c r="P20" i="16"/>
  <c r="P22" i="29"/>
  <c r="T13" i="29"/>
  <c r="P29" i="28"/>
  <c r="H25" i="26"/>
  <c r="D24" i="23"/>
  <c r="H20" i="23"/>
  <c r="D25" i="22"/>
  <c r="H21" i="22"/>
  <c r="H33" i="20"/>
  <c r="D21" i="20"/>
  <c r="P34" i="19"/>
  <c r="T25" i="19"/>
  <c r="H20" i="19"/>
  <c r="B39" i="17"/>
  <c r="H24" i="17"/>
  <c r="H22" i="17"/>
  <c r="H13" i="17"/>
  <c r="D4" i="17"/>
  <c r="H34" i="16"/>
  <c r="H33" i="16"/>
  <c r="H29" i="16"/>
  <c r="H25" i="16"/>
  <c r="P15" i="16"/>
  <c r="D5" i="16"/>
  <c r="T24" i="23"/>
  <c r="H13" i="20"/>
  <c r="D16" i="19"/>
  <c r="P21" i="17"/>
  <c r="T13" i="17"/>
  <c r="P13" i="16"/>
  <c r="P24" i="23"/>
  <c r="T21" i="22"/>
  <c r="D25" i="20"/>
  <c r="D13" i="20"/>
  <c r="B16" i="19"/>
  <c r="P24" i="17"/>
  <c r="P13" i="17"/>
  <c r="T20" i="16"/>
  <c r="P16" i="16"/>
  <c r="B38" i="14"/>
  <c r="D34" i="14"/>
  <c r="D33" i="14"/>
  <c r="D29" i="14"/>
  <c r="D25" i="14"/>
  <c r="T22" i="20"/>
  <c r="B38" i="19"/>
  <c r="T16" i="17"/>
  <c r="D13" i="16"/>
  <c r="T21" i="28"/>
  <c r="T20" i="23"/>
  <c r="D15" i="19"/>
  <c r="B13" i="17"/>
  <c r="P34" i="16"/>
  <c r="P22" i="16"/>
  <c r="D16" i="16"/>
  <c r="T12" i="28"/>
  <c r="T12" i="22"/>
  <c r="T22" i="19"/>
  <c r="D24" i="17"/>
  <c r="T20" i="17"/>
  <c r="P16" i="17"/>
  <c r="T12" i="17"/>
  <c r="P25" i="16"/>
  <c r="D20" i="16"/>
  <c r="H21" i="20"/>
  <c r="T34" i="19"/>
  <c r="T12" i="19"/>
  <c r="H16" i="17"/>
  <c r="P21" i="19"/>
  <c r="T34" i="17"/>
  <c r="P22" i="17"/>
  <c r="P20" i="17"/>
  <c r="B16" i="17"/>
  <c r="H12" i="17"/>
  <c r="D34" i="16"/>
  <c r="P29" i="16"/>
  <c r="T15" i="16"/>
  <c r="H12" i="16"/>
  <c r="D29" i="26"/>
  <c r="P33" i="20"/>
  <c r="P33" i="19"/>
  <c r="T25" i="17"/>
  <c r="H20" i="17"/>
  <c r="D12" i="17"/>
  <c r="D25" i="16"/>
  <c r="T21" i="16"/>
  <c r="D12" i="16"/>
  <c r="T24" i="29"/>
  <c r="T15" i="17"/>
  <c r="B38" i="16"/>
  <c r="P33" i="16"/>
  <c r="T29" i="17"/>
  <c r="P33" i="14"/>
  <c r="H25" i="14"/>
  <c r="H24" i="14"/>
  <c r="H21" i="14"/>
  <c r="D13" i="14"/>
  <c r="B39" i="13"/>
  <c r="H24" i="13"/>
  <c r="H22" i="13"/>
  <c r="H13" i="13"/>
  <c r="D4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P24" i="16"/>
  <c r="P34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B25" i="11"/>
  <c r="D24" i="11"/>
  <c r="D22" i="11"/>
  <c r="H20" i="11"/>
  <c r="H16" i="11"/>
  <c r="B13" i="11"/>
  <c r="B38" i="10"/>
  <c r="P24" i="29"/>
  <c r="D15" i="17"/>
  <c r="H29" i="14"/>
  <c r="B25" i="14"/>
  <c r="B22" i="14"/>
  <c r="D21" i="14"/>
  <c r="H15" i="14"/>
  <c r="B25" i="13"/>
  <c r="D24" i="13"/>
  <c r="D22" i="13"/>
  <c r="H20" i="13"/>
  <c r="H16" i="13"/>
  <c r="B13" i="13"/>
  <c r="B22" i="11"/>
  <c r="D21" i="11"/>
  <c r="H15" i="11"/>
  <c r="B25" i="10"/>
  <c r="D24" i="10"/>
  <c r="D22" i="10"/>
  <c r="H20" i="10"/>
  <c r="H16" i="10"/>
  <c r="B13" i="10"/>
  <c r="B22" i="8"/>
  <c r="D21" i="8"/>
  <c r="H15" i="8"/>
  <c r="B25" i="7"/>
  <c r="D24" i="7"/>
  <c r="D22" i="7"/>
  <c r="H20" i="7"/>
  <c r="H16" i="7"/>
  <c r="B13" i="7"/>
  <c r="P24" i="5"/>
  <c r="T25" i="22"/>
  <c r="P21" i="16"/>
  <c r="B21" i="14"/>
  <c r="D20" i="14"/>
  <c r="D16" i="14"/>
  <c r="B22" i="13"/>
  <c r="D21" i="13"/>
  <c r="H15" i="13"/>
  <c r="B21" i="11"/>
  <c r="D20" i="11"/>
  <c r="D16" i="11"/>
  <c r="B22" i="10"/>
  <c r="D21" i="10"/>
  <c r="H15" i="10"/>
  <c r="B21" i="8"/>
  <c r="D20" i="8"/>
  <c r="D16" i="8"/>
  <c r="B22" i="7"/>
  <c r="D21" i="7"/>
  <c r="H15" i="7"/>
  <c r="P25" i="22"/>
  <c r="T16" i="20"/>
  <c r="H21" i="16"/>
  <c r="H33" i="14"/>
  <c r="B16" i="14"/>
  <c r="D15" i="14"/>
  <c r="T12" i="14"/>
  <c r="B21" i="13"/>
  <c r="D20" i="13"/>
  <c r="D16" i="13"/>
  <c r="T34" i="11"/>
  <c r="T33" i="11"/>
  <c r="T29" i="11"/>
  <c r="T25" i="11"/>
  <c r="B16" i="11"/>
  <c r="D15" i="11"/>
  <c r="T12" i="11"/>
  <c r="B21" i="10"/>
  <c r="D20" i="10"/>
  <c r="D16" i="10"/>
  <c r="B25" i="17"/>
  <c r="B21" i="16"/>
  <c r="H34" i="14"/>
  <c r="T22" i="14"/>
  <c r="P12" i="14"/>
  <c r="T34" i="13"/>
  <c r="T33" i="13"/>
  <c r="T29" i="13"/>
  <c r="T25" i="13"/>
  <c r="B16" i="13"/>
  <c r="D15" i="13"/>
  <c r="T12" i="13"/>
  <c r="T24" i="11"/>
  <c r="T22" i="11"/>
  <c r="P12" i="11"/>
  <c r="T34" i="10"/>
  <c r="T33" i="10"/>
  <c r="T29" i="10"/>
  <c r="T25" i="10"/>
  <c r="B16" i="10"/>
  <c r="D15" i="10"/>
  <c r="T12" i="10"/>
  <c r="T24" i="8"/>
  <c r="T22" i="8"/>
  <c r="P12" i="8"/>
  <c r="T34" i="7"/>
  <c r="T33" i="7"/>
  <c r="T29" i="7"/>
  <c r="T25" i="7"/>
  <c r="B16" i="7"/>
  <c r="D15" i="7"/>
  <c r="T12" i="7"/>
  <c r="P15" i="20"/>
  <c r="D22" i="17"/>
  <c r="T25" i="14"/>
  <c r="T24" i="14"/>
  <c r="T21" i="14"/>
  <c r="T24" i="13"/>
  <c r="T22" i="13"/>
  <c r="P12" i="13"/>
  <c r="P34" i="11"/>
  <c r="P33" i="11"/>
  <c r="P29" i="11"/>
  <c r="P25" i="11"/>
  <c r="T21" i="11"/>
  <c r="T24" i="10"/>
  <c r="T22" i="10"/>
  <c r="P12" i="10"/>
  <c r="P34" i="8"/>
  <c r="P33" i="8"/>
  <c r="P29" i="8"/>
  <c r="P25" i="8"/>
  <c r="T21" i="8"/>
  <c r="T24" i="7"/>
  <c r="T22" i="7"/>
  <c r="P12" i="7"/>
  <c r="B39" i="5"/>
  <c r="P22" i="14"/>
  <c r="T20" i="14"/>
  <c r="T16" i="14"/>
  <c r="T13" i="14"/>
  <c r="P34" i="13"/>
  <c r="P33" i="13"/>
  <c r="P29" i="13"/>
  <c r="P25" i="13"/>
  <c r="T21" i="13"/>
  <c r="H29" i="19"/>
  <c r="D33" i="16"/>
  <c r="T16" i="16"/>
  <c r="B39" i="14"/>
  <c r="T29" i="14"/>
  <c r="P25" i="14"/>
  <c r="P24" i="14"/>
  <c r="P21" i="14"/>
  <c r="T15" i="14"/>
  <c r="P13" i="14"/>
  <c r="H12" i="14"/>
  <c r="P24" i="13"/>
  <c r="P22" i="13"/>
  <c r="T20" i="13"/>
  <c r="T16" i="13"/>
  <c r="T13" i="13"/>
  <c r="P21" i="11"/>
  <c r="T15" i="11"/>
  <c r="P13" i="11"/>
  <c r="H12" i="11"/>
  <c r="P24" i="10"/>
  <c r="P22" i="10"/>
  <c r="T20" i="10"/>
  <c r="T16" i="10"/>
  <c r="T13" i="10"/>
  <c r="P21" i="8"/>
  <c r="T15" i="8"/>
  <c r="P13" i="8"/>
  <c r="H12" i="8"/>
  <c r="P24" i="7"/>
  <c r="P22" i="7"/>
  <c r="T20" i="7"/>
  <c r="T16" i="7"/>
  <c r="T13" i="7"/>
  <c r="B25" i="5"/>
  <c r="T33" i="14"/>
  <c r="P29" i="14"/>
  <c r="P15" i="14"/>
  <c r="D5" i="14"/>
  <c r="P20" i="13"/>
  <c r="P16" i="13"/>
  <c r="D12" i="13"/>
  <c r="H34" i="11"/>
  <c r="H33" i="11"/>
  <c r="H29" i="11"/>
  <c r="H25" i="11"/>
  <c r="P15" i="11"/>
  <c r="D5" i="11"/>
  <c r="P20" i="10"/>
  <c r="P16" i="10"/>
  <c r="D12" i="10"/>
  <c r="H34" i="8"/>
  <c r="H33" i="8"/>
  <c r="H29" i="8"/>
  <c r="H25" i="8"/>
  <c r="P15" i="8"/>
  <c r="D5" i="8"/>
  <c r="P20" i="7"/>
  <c r="P16" i="7"/>
  <c r="D12" i="7"/>
  <c r="T33" i="17"/>
  <c r="T13" i="16"/>
  <c r="P16" i="14"/>
  <c r="P13" i="13"/>
  <c r="P20" i="11"/>
  <c r="P33" i="10"/>
  <c r="T16" i="8"/>
  <c r="H13" i="8"/>
  <c r="D16" i="7"/>
  <c r="H12" i="7"/>
  <c r="H25" i="5"/>
  <c r="D24" i="5"/>
  <c r="D22" i="5"/>
  <c r="H20" i="5"/>
  <c r="H16" i="5"/>
  <c r="B13" i="5"/>
  <c r="B38" i="4"/>
  <c r="D34" i="4"/>
  <c r="D33" i="4"/>
  <c r="D29" i="4"/>
  <c r="D25" i="4"/>
  <c r="H21" i="4"/>
  <c r="D13" i="4"/>
  <c r="H33" i="13"/>
  <c r="H13" i="11"/>
  <c r="P13" i="10"/>
  <c r="H24" i="8"/>
  <c r="P16" i="8"/>
  <c r="B13" i="8"/>
  <c r="P34" i="7"/>
  <c r="D5" i="7"/>
  <c r="T33" i="5"/>
  <c r="B22" i="5"/>
  <c r="D21" i="5"/>
  <c r="H15" i="5"/>
  <c r="B25" i="4"/>
  <c r="D24" i="4"/>
  <c r="D22" i="4"/>
  <c r="H20" i="4"/>
  <c r="H16" i="4"/>
  <c r="B13" i="4"/>
  <c r="P21" i="13"/>
  <c r="H12" i="13"/>
  <c r="P24" i="11"/>
  <c r="H33" i="10"/>
  <c r="D24" i="8"/>
  <c r="T20" i="8"/>
  <c r="T12" i="8"/>
  <c r="P25" i="7"/>
  <c r="D20" i="7"/>
  <c r="T15" i="7"/>
  <c r="P33" i="5"/>
  <c r="D25" i="5"/>
  <c r="B21" i="5"/>
  <c r="D20" i="5"/>
  <c r="D16" i="5"/>
  <c r="B22" i="4"/>
  <c r="D21" i="4"/>
  <c r="H15" i="4"/>
  <c r="D29" i="16"/>
  <c r="T34" i="14"/>
  <c r="D5" i="13"/>
  <c r="D12" i="11"/>
  <c r="D33" i="10"/>
  <c r="D13" i="10"/>
  <c r="P20" i="8"/>
  <c r="H16" i="8"/>
  <c r="H34" i="7"/>
  <c r="P15" i="7"/>
  <c r="B16" i="5"/>
  <c r="D15" i="5"/>
  <c r="T12" i="5"/>
  <c r="B21" i="4"/>
  <c r="D20" i="4"/>
  <c r="D16" i="4"/>
  <c r="B39" i="11"/>
  <c r="H24" i="11"/>
  <c r="D4" i="11"/>
  <c r="P25" i="10"/>
  <c r="T21" i="10"/>
  <c r="T34" i="8"/>
  <c r="P22" i="8"/>
  <c r="B16" i="8"/>
  <c r="D12" i="8"/>
  <c r="D34" i="7"/>
  <c r="P29" i="7"/>
  <c r="H25" i="7"/>
  <c r="H33" i="5"/>
  <c r="T22" i="5"/>
  <c r="P12" i="5"/>
  <c r="T34" i="4"/>
  <c r="T33" i="4"/>
  <c r="T29" i="4"/>
  <c r="T25" i="4"/>
  <c r="B16" i="4"/>
  <c r="D15" i="4"/>
  <c r="T12" i="4"/>
  <c r="H22" i="14"/>
  <c r="H13" i="14"/>
  <c r="H29" i="13"/>
  <c r="P22" i="11"/>
  <c r="T16" i="11"/>
  <c r="P21" i="10"/>
  <c r="H12" i="10"/>
  <c r="T25" i="8"/>
  <c r="H20" i="8"/>
  <c r="D4" i="8"/>
  <c r="D25" i="7"/>
  <c r="T21" i="7"/>
  <c r="T34" i="5"/>
  <c r="T29" i="5"/>
  <c r="T21" i="5"/>
  <c r="T24" i="4"/>
  <c r="T22" i="4"/>
  <c r="P12" i="4"/>
  <c r="D12" i="14"/>
  <c r="P16" i="11"/>
  <c r="H25" i="10"/>
  <c r="D5" i="10"/>
  <c r="H22" i="8"/>
  <c r="B38" i="7"/>
  <c r="P33" i="7"/>
  <c r="H29" i="7"/>
  <c r="P21" i="7"/>
  <c r="B38" i="5"/>
  <c r="P34" i="5"/>
  <c r="D33" i="5"/>
  <c r="P29" i="5"/>
  <c r="P22" i="5"/>
  <c r="T20" i="5"/>
  <c r="T16" i="5"/>
  <c r="T13" i="5"/>
  <c r="P34" i="4"/>
  <c r="P33" i="4"/>
  <c r="P29" i="4"/>
  <c r="P25" i="4"/>
  <c r="T21" i="4"/>
  <c r="D4" i="14"/>
  <c r="H22" i="11"/>
  <c r="D25" i="10"/>
  <c r="H21" i="10"/>
  <c r="T29" i="8"/>
  <c r="D22" i="8"/>
  <c r="D29" i="7"/>
  <c r="P13" i="7"/>
  <c r="P21" i="5"/>
  <c r="T15" i="5"/>
  <c r="P13" i="5"/>
  <c r="H12" i="5"/>
  <c r="P24" i="4"/>
  <c r="P22" i="4"/>
  <c r="T20" i="4"/>
  <c r="T16" i="4"/>
  <c r="T13" i="4"/>
  <c r="P20" i="14"/>
  <c r="P34" i="10"/>
  <c r="P29" i="10"/>
  <c r="H33" i="7"/>
  <c r="H21" i="7"/>
  <c r="H34" i="5"/>
  <c r="H29" i="5"/>
  <c r="P20" i="5"/>
  <c r="P16" i="5"/>
  <c r="D12" i="5"/>
  <c r="P21" i="4"/>
  <c r="T15" i="4"/>
  <c r="P13" i="4"/>
  <c r="H12" i="4"/>
  <c r="H25" i="13"/>
  <c r="T15" i="10"/>
  <c r="B39" i="8"/>
  <c r="T33" i="8"/>
  <c r="B25" i="8"/>
  <c r="D15" i="8"/>
  <c r="D33" i="7"/>
  <c r="B21" i="7"/>
  <c r="D13" i="7"/>
  <c r="T25" i="5"/>
  <c r="P15" i="5"/>
  <c r="D5" i="5"/>
  <c r="P20" i="4"/>
  <c r="P16" i="4"/>
  <c r="D12" i="4"/>
  <c r="T15" i="13"/>
  <c r="H34" i="10"/>
  <c r="H29" i="10"/>
  <c r="P15" i="10"/>
  <c r="T13" i="8"/>
  <c r="D34" i="5"/>
  <c r="D29" i="5"/>
  <c r="P25" i="5"/>
  <c r="H24" i="5"/>
  <c r="H22" i="5"/>
  <c r="H13" i="5"/>
  <c r="D4" i="5"/>
  <c r="H34" i="4"/>
  <c r="H33" i="4"/>
  <c r="H29" i="4"/>
  <c r="H25" i="4"/>
  <c r="P15" i="4"/>
  <c r="D5" i="4"/>
  <c r="H34" i="13"/>
  <c r="P15" i="13"/>
  <c r="T20" i="11"/>
  <c r="T13" i="11"/>
  <c r="D34" i="10"/>
  <c r="D29" i="10"/>
  <c r="P24" i="8"/>
  <c r="H21" i="5"/>
  <c r="D13" i="5"/>
  <c r="B39" i="4"/>
  <c r="H24" i="4"/>
  <c r="H22" i="4"/>
  <c r="H13" i="4"/>
  <c r="D4" i="4"/>
  <c r="N13" i="4" l="1"/>
  <c r="N22" i="4"/>
  <c r="N24" i="4"/>
  <c r="L13" i="5"/>
  <c r="N21" i="5"/>
  <c r="X24" i="8"/>
  <c r="L29" i="10"/>
  <c r="L34" i="10"/>
  <c r="Z13" i="11"/>
  <c r="Z20" i="11"/>
  <c r="X15" i="13"/>
  <c r="N34" i="13"/>
  <c r="X15" i="4"/>
  <c r="N25" i="4"/>
  <c r="N29" i="4"/>
  <c r="N33" i="4"/>
  <c r="N34" i="4"/>
  <c r="N13" i="5"/>
  <c r="N22" i="5"/>
  <c r="N24" i="5"/>
  <c r="X25" i="5"/>
  <c r="L29" i="5"/>
  <c r="L34" i="5"/>
  <c r="Z13" i="8"/>
  <c r="X15" i="10"/>
  <c r="N29" i="10"/>
  <c r="N34" i="10"/>
  <c r="Z15" i="13"/>
  <c r="F24" i="4"/>
  <c r="F22" i="4"/>
  <c r="F21" i="4"/>
  <c r="F20" i="4"/>
  <c r="F18" i="4"/>
  <c r="F16" i="4"/>
  <c r="D18" i="4"/>
  <c r="F15" i="4"/>
  <c r="L12" i="4"/>
  <c r="F36" i="4"/>
  <c r="F34" i="4"/>
  <c r="F33" i="4"/>
  <c r="F31" i="4"/>
  <c r="F29" i="4"/>
  <c r="F27" i="4"/>
  <c r="F25" i="4"/>
  <c r="X16" i="4"/>
  <c r="X20" i="4"/>
  <c r="X15" i="5"/>
  <c r="Z25" i="5"/>
  <c r="L13" i="7"/>
  <c r="L33" i="7"/>
  <c r="L15" i="8"/>
  <c r="Z33" i="8"/>
  <c r="Z15" i="10"/>
  <c r="N25" i="13"/>
  <c r="J20" i="4"/>
  <c r="J18" i="4"/>
  <c r="J16" i="4"/>
  <c r="H18" i="4"/>
  <c r="J15" i="4"/>
  <c r="N12" i="4"/>
  <c r="J36" i="4"/>
  <c r="J34" i="4"/>
  <c r="J33" i="4"/>
  <c r="J31" i="4"/>
  <c r="J29" i="4"/>
  <c r="J27" i="4"/>
  <c r="J25" i="4"/>
  <c r="J24" i="4"/>
  <c r="J22" i="4"/>
  <c r="J21" i="4"/>
  <c r="X13" i="4"/>
  <c r="Z15" i="4"/>
  <c r="X21" i="4"/>
  <c r="F21" i="5"/>
  <c r="F36" i="5"/>
  <c r="F31" i="5"/>
  <c r="F25" i="5"/>
  <c r="F20" i="5"/>
  <c r="F18" i="5"/>
  <c r="F16" i="5"/>
  <c r="D18" i="5"/>
  <c r="F15" i="5"/>
  <c r="F33" i="5"/>
  <c r="F27" i="5"/>
  <c r="L12" i="5"/>
  <c r="F34" i="5"/>
  <c r="F29" i="5"/>
  <c r="F24" i="5"/>
  <c r="F22" i="5"/>
  <c r="X16" i="5"/>
  <c r="X20" i="5"/>
  <c r="N29" i="5"/>
  <c r="N34" i="5"/>
  <c r="N21" i="7"/>
  <c r="N33" i="7"/>
  <c r="X29" i="10"/>
  <c r="X34" i="10"/>
  <c r="X20" i="14"/>
  <c r="Z13" i="4"/>
  <c r="Z16" i="4"/>
  <c r="Z20" i="4"/>
  <c r="X22" i="4"/>
  <c r="X24" i="4"/>
  <c r="H18" i="5"/>
  <c r="J15" i="5"/>
  <c r="J33" i="5"/>
  <c r="J27" i="5"/>
  <c r="N12" i="5"/>
  <c r="J34" i="5"/>
  <c r="J29" i="5"/>
  <c r="J24" i="5"/>
  <c r="J22" i="5"/>
  <c r="J21" i="5"/>
  <c r="J36" i="5"/>
  <c r="J31" i="5"/>
  <c r="J25" i="5"/>
  <c r="J20" i="5"/>
  <c r="J18" i="5"/>
  <c r="J16" i="5"/>
  <c r="X13" i="5"/>
  <c r="Z15" i="5"/>
  <c r="X21" i="5"/>
  <c r="X13" i="7"/>
  <c r="L29" i="7"/>
  <c r="L22" i="8"/>
  <c r="Z29" i="8"/>
  <c r="N21" i="10"/>
  <c r="L25" i="10"/>
  <c r="N22" i="11"/>
  <c r="Z21" i="4"/>
  <c r="X25" i="4"/>
  <c r="X29" i="4"/>
  <c r="X33" i="4"/>
  <c r="X34" i="4"/>
  <c r="Z13" i="5"/>
  <c r="Z16" i="5"/>
  <c r="Z20" i="5"/>
  <c r="X22" i="5"/>
  <c r="X29" i="5"/>
  <c r="L33" i="5"/>
  <c r="X34" i="5"/>
  <c r="X21" i="7"/>
  <c r="N29" i="7"/>
  <c r="X33" i="7"/>
  <c r="N22" i="8"/>
  <c r="N25" i="10"/>
  <c r="X16" i="11"/>
  <c r="F24" i="14"/>
  <c r="F22" i="14"/>
  <c r="F25" i="14"/>
  <c r="F21" i="14"/>
  <c r="F27" i="14"/>
  <c r="F20" i="14"/>
  <c r="F18" i="14"/>
  <c r="F16" i="14"/>
  <c r="F29" i="14"/>
  <c r="D18" i="14"/>
  <c r="F15" i="14"/>
  <c r="F31" i="14"/>
  <c r="F33" i="14"/>
  <c r="F34" i="14"/>
  <c r="F36" i="14"/>
  <c r="L12" i="14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Z22" i="4"/>
  <c r="Z24" i="4"/>
  <c r="Z21" i="5"/>
  <c r="Z29" i="5"/>
  <c r="Z34" i="5"/>
  <c r="Z21" i="7"/>
  <c r="L25" i="7"/>
  <c r="N20" i="8"/>
  <c r="Z25" i="8"/>
  <c r="J21" i="10"/>
  <c r="H18" i="10"/>
  <c r="J15" i="10"/>
  <c r="J36" i="10"/>
  <c r="J34" i="10"/>
  <c r="J33" i="10"/>
  <c r="J31" i="10"/>
  <c r="J29" i="10"/>
  <c r="J27" i="10"/>
  <c r="J25" i="10"/>
  <c r="J22" i="10"/>
  <c r="J18" i="10"/>
  <c r="N12" i="10"/>
  <c r="J16" i="10"/>
  <c r="J24" i="10"/>
  <c r="J20" i="10"/>
  <c r="X21" i="10"/>
  <c r="Z16" i="11"/>
  <c r="X22" i="11"/>
  <c r="N29" i="13"/>
  <c r="N13" i="14"/>
  <c r="N22" i="14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R36" i="5"/>
  <c r="R34" i="5"/>
  <c r="R33" i="5"/>
  <c r="R31" i="5"/>
  <c r="R29" i="5"/>
  <c r="R27" i="5"/>
  <c r="R25" i="5"/>
  <c r="X12" i="5"/>
  <c r="R22" i="5"/>
  <c r="R24" i="5"/>
  <c r="R21" i="5"/>
  <c r="R20" i="5"/>
  <c r="R18" i="5"/>
  <c r="R16" i="5"/>
  <c r="P18" i="5"/>
  <c r="R15" i="5"/>
  <c r="Z22" i="5"/>
  <c r="N33" i="5"/>
  <c r="N25" i="7"/>
  <c r="X29" i="7"/>
  <c r="L34" i="7"/>
  <c r="F24" i="8"/>
  <c r="F22" i="8"/>
  <c r="F20" i="8"/>
  <c r="F18" i="8"/>
  <c r="F16" i="8"/>
  <c r="D18" i="8"/>
  <c r="F15" i="8"/>
  <c r="F33" i="8"/>
  <c r="F21" i="8"/>
  <c r="F36" i="8"/>
  <c r="F27" i="8"/>
  <c r="L12" i="8"/>
  <c r="F31" i="8"/>
  <c r="F34" i="8"/>
  <c r="F25" i="8"/>
  <c r="F29" i="8"/>
  <c r="X22" i="8"/>
  <c r="Z34" i="8"/>
  <c r="Z21" i="10"/>
  <c r="X25" i="10"/>
  <c r="N24" i="11"/>
  <c r="L16" i="4"/>
  <c r="L20" i="4"/>
  <c r="V33" i="5"/>
  <c r="V27" i="5"/>
  <c r="Z12" i="5"/>
  <c r="V22" i="5"/>
  <c r="V34" i="5"/>
  <c r="V29" i="5"/>
  <c r="V21" i="5"/>
  <c r="V24" i="5"/>
  <c r="V20" i="5"/>
  <c r="V18" i="5"/>
  <c r="V16" i="5"/>
  <c r="T18" i="5"/>
  <c r="V15" i="5"/>
  <c r="V36" i="5"/>
  <c r="V31" i="5"/>
  <c r="V25" i="5"/>
  <c r="L15" i="5"/>
  <c r="X15" i="7"/>
  <c r="N34" i="7"/>
  <c r="N16" i="8"/>
  <c r="X20" i="8"/>
  <c r="L13" i="10"/>
  <c r="L33" i="10"/>
  <c r="F24" i="11"/>
  <c r="F22" i="11"/>
  <c r="F21" i="11"/>
  <c r="F20" i="11"/>
  <c r="F18" i="11"/>
  <c r="F16" i="11"/>
  <c r="D18" i="11"/>
  <c r="F15" i="11"/>
  <c r="F33" i="11"/>
  <c r="F25" i="11"/>
  <c r="L12" i="11"/>
  <c r="F31" i="11"/>
  <c r="F36" i="11"/>
  <c r="F29" i="11"/>
  <c r="F34" i="11"/>
  <c r="F27" i="11"/>
  <c r="Z34" i="14"/>
  <c r="L29" i="16"/>
  <c r="N15" i="4"/>
  <c r="L21" i="4"/>
  <c r="L16" i="5"/>
  <c r="L20" i="5"/>
  <c r="L25" i="5"/>
  <c r="X33" i="5"/>
  <c r="Z15" i="7"/>
  <c r="L20" i="7"/>
  <c r="X25" i="7"/>
  <c r="Z12" i="8"/>
  <c r="V36" i="8"/>
  <c r="V34" i="8"/>
  <c r="V33" i="8"/>
  <c r="V31" i="8"/>
  <c r="V29" i="8"/>
  <c r="V27" i="8"/>
  <c r="V25" i="8"/>
  <c r="V21" i="8"/>
  <c r="V20" i="8"/>
  <c r="V18" i="8"/>
  <c r="V16" i="8"/>
  <c r="V22" i="8"/>
  <c r="V15" i="8"/>
  <c r="T18" i="8"/>
  <c r="V24" i="8"/>
  <c r="Z20" i="8"/>
  <c r="L24" i="8"/>
  <c r="N33" i="10"/>
  <c r="X24" i="11"/>
  <c r="J21" i="13"/>
  <c r="J20" i="13"/>
  <c r="J18" i="13"/>
  <c r="J16" i="13"/>
  <c r="H18" i="13"/>
  <c r="J15" i="13"/>
  <c r="N12" i="13"/>
  <c r="J36" i="13"/>
  <c r="J34" i="13"/>
  <c r="J33" i="13"/>
  <c r="J31" i="13"/>
  <c r="J29" i="13"/>
  <c r="J27" i="13"/>
  <c r="J25" i="13"/>
  <c r="J22" i="13"/>
  <c r="J24" i="13"/>
  <c r="X21" i="13"/>
  <c r="N16" i="4"/>
  <c r="N20" i="4"/>
  <c r="L22" i="4"/>
  <c r="L24" i="4"/>
  <c r="N15" i="5"/>
  <c r="L21" i="5"/>
  <c r="Z33" i="5"/>
  <c r="X34" i="7"/>
  <c r="X16" i="8"/>
  <c r="N24" i="8"/>
  <c r="X13" i="10"/>
  <c r="N13" i="11"/>
  <c r="N33" i="13"/>
  <c r="L13" i="4"/>
  <c r="N21" i="4"/>
  <c r="L25" i="4"/>
  <c r="L29" i="4"/>
  <c r="L33" i="4"/>
  <c r="L34" i="4"/>
  <c r="N16" i="5"/>
  <c r="N20" i="5"/>
  <c r="L22" i="5"/>
  <c r="L24" i="5"/>
  <c r="N25" i="5"/>
  <c r="J21" i="7"/>
  <c r="H18" i="7"/>
  <c r="J15" i="7"/>
  <c r="J36" i="7"/>
  <c r="J34" i="7"/>
  <c r="J33" i="7"/>
  <c r="J31" i="7"/>
  <c r="J29" i="7"/>
  <c r="J27" i="7"/>
  <c r="J25" i="7"/>
  <c r="J20" i="7"/>
  <c r="J22" i="7"/>
  <c r="J18" i="7"/>
  <c r="J24" i="7"/>
  <c r="J16" i="7"/>
  <c r="N12" i="7"/>
  <c r="L16" i="7"/>
  <c r="N13" i="8"/>
  <c r="Z16" i="8"/>
  <c r="X33" i="10"/>
  <c r="X20" i="11"/>
  <c r="X13" i="13"/>
  <c r="X16" i="14"/>
  <c r="Z13" i="16"/>
  <c r="Z33" i="17"/>
  <c r="F36" i="7"/>
  <c r="F34" i="7"/>
  <c r="F33" i="7"/>
  <c r="F31" i="7"/>
  <c r="F29" i="7"/>
  <c r="F27" i="7"/>
  <c r="F25" i="7"/>
  <c r="F21" i="7"/>
  <c r="F20" i="7"/>
  <c r="F18" i="7"/>
  <c r="F16" i="7"/>
  <c r="L12" i="7"/>
  <c r="F22" i="7"/>
  <c r="F15" i="7"/>
  <c r="D18" i="7"/>
  <c r="F24" i="7"/>
  <c r="X16" i="7"/>
  <c r="X20" i="7"/>
  <c r="X15" i="8"/>
  <c r="N25" i="8"/>
  <c r="N29" i="8"/>
  <c r="N33" i="8"/>
  <c r="N34" i="8"/>
  <c r="F36" i="10"/>
  <c r="F34" i="10"/>
  <c r="F33" i="10"/>
  <c r="F31" i="10"/>
  <c r="F29" i="10"/>
  <c r="F27" i="10"/>
  <c r="F25" i="10"/>
  <c r="F21" i="10"/>
  <c r="F20" i="10"/>
  <c r="F18" i="10"/>
  <c r="F16" i="10"/>
  <c r="D18" i="10"/>
  <c r="F15" i="10"/>
  <c r="L12" i="10"/>
  <c r="F22" i="10"/>
  <c r="F24" i="10"/>
  <c r="X16" i="10"/>
  <c r="X20" i="10"/>
  <c r="X15" i="11"/>
  <c r="N25" i="11"/>
  <c r="N29" i="11"/>
  <c r="N33" i="11"/>
  <c r="N34" i="11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X16" i="13"/>
  <c r="X20" i="13"/>
  <c r="X15" i="14"/>
  <c r="X29" i="14"/>
  <c r="Z33" i="14"/>
  <c r="Z13" i="7"/>
  <c r="Z16" i="7"/>
  <c r="Z20" i="7"/>
  <c r="X22" i="7"/>
  <c r="X24" i="7"/>
  <c r="J20" i="8"/>
  <c r="J18" i="8"/>
  <c r="J16" i="8"/>
  <c r="N12" i="8"/>
  <c r="J24" i="8"/>
  <c r="J22" i="8"/>
  <c r="J36" i="8"/>
  <c r="J27" i="8"/>
  <c r="J31" i="8"/>
  <c r="J34" i="8"/>
  <c r="J25" i="8"/>
  <c r="J15" i="8"/>
  <c r="J29" i="8"/>
  <c r="H18" i="8"/>
  <c r="J33" i="8"/>
  <c r="J21" i="8"/>
  <c r="X13" i="8"/>
  <c r="Z15" i="8"/>
  <c r="X21" i="8"/>
  <c r="Z13" i="10"/>
  <c r="Z16" i="10"/>
  <c r="Z20" i="10"/>
  <c r="X22" i="10"/>
  <c r="X24" i="10"/>
  <c r="J20" i="11"/>
  <c r="J18" i="11"/>
  <c r="J16" i="11"/>
  <c r="H18" i="11"/>
  <c r="J15" i="11"/>
  <c r="N12" i="11"/>
  <c r="J24" i="11"/>
  <c r="J22" i="11"/>
  <c r="J33" i="11"/>
  <c r="J25" i="11"/>
  <c r="J31" i="11"/>
  <c r="J36" i="11"/>
  <c r="J29" i="11"/>
  <c r="J34" i="11"/>
  <c r="J27" i="11"/>
  <c r="J21" i="11"/>
  <c r="X13" i="11"/>
  <c r="Z15" i="11"/>
  <c r="X21" i="11"/>
  <c r="Z13" i="13"/>
  <c r="Z16" i="13"/>
  <c r="Z20" i="13"/>
  <c r="X22" i="13"/>
  <c r="X24" i="13"/>
  <c r="J27" i="14"/>
  <c r="J20" i="14"/>
  <c r="J18" i="14"/>
  <c r="J16" i="14"/>
  <c r="J29" i="14"/>
  <c r="H18" i="14"/>
  <c r="J15" i="14"/>
  <c r="J31" i="14"/>
  <c r="J33" i="14"/>
  <c r="J34" i="14"/>
  <c r="J36" i="14"/>
  <c r="N12" i="14"/>
  <c r="J22" i="14"/>
  <c r="J25" i="14"/>
  <c r="J24" i="14"/>
  <c r="J21" i="14"/>
  <c r="X13" i="14"/>
  <c r="Z15" i="14"/>
  <c r="X21" i="14"/>
  <c r="X24" i="14"/>
  <c r="X25" i="14"/>
  <c r="Z29" i="14"/>
  <c r="Z16" i="16"/>
  <c r="L33" i="16"/>
  <c r="N29" i="19"/>
  <c r="Z21" i="13"/>
  <c r="X25" i="13"/>
  <c r="X29" i="13"/>
  <c r="X33" i="13"/>
  <c r="X34" i="13"/>
  <c r="Z13" i="14"/>
  <c r="Z16" i="14"/>
  <c r="Z20" i="14"/>
  <c r="X22" i="14"/>
  <c r="R36" i="7"/>
  <c r="R34" i="7"/>
  <c r="R33" i="7"/>
  <c r="R31" i="7"/>
  <c r="R29" i="7"/>
  <c r="R27" i="7"/>
  <c r="R25" i="7"/>
  <c r="R21" i="7"/>
  <c r="P18" i="7"/>
  <c r="R15" i="7"/>
  <c r="R22" i="7"/>
  <c r="R18" i="7"/>
  <c r="R24" i="7"/>
  <c r="R16" i="7"/>
  <c r="X12" i="7"/>
  <c r="R20" i="7"/>
  <c r="Z22" i="7"/>
  <c r="Z24" i="7"/>
  <c r="Z21" i="8"/>
  <c r="X25" i="8"/>
  <c r="X29" i="8"/>
  <c r="X33" i="8"/>
  <c r="X34" i="8"/>
  <c r="X12" i="10"/>
  <c r="R36" i="10"/>
  <c r="R34" i="10"/>
  <c r="R33" i="10"/>
  <c r="R31" i="10"/>
  <c r="R29" i="10"/>
  <c r="R27" i="10"/>
  <c r="R25" i="10"/>
  <c r="R21" i="10"/>
  <c r="P18" i="10"/>
  <c r="R15" i="10"/>
  <c r="R22" i="10"/>
  <c r="R18" i="10"/>
  <c r="R16" i="10"/>
  <c r="R24" i="10"/>
  <c r="R20" i="10"/>
  <c r="Z22" i="10"/>
  <c r="Z24" i="10"/>
  <c r="Z21" i="11"/>
  <c r="X25" i="11"/>
  <c r="X29" i="11"/>
  <c r="X33" i="11"/>
  <c r="X34" i="11"/>
  <c r="X12" i="13"/>
  <c r="R36" i="13"/>
  <c r="R34" i="13"/>
  <c r="R33" i="13"/>
  <c r="R31" i="13"/>
  <c r="R29" i="13"/>
  <c r="R27" i="13"/>
  <c r="R25" i="13"/>
  <c r="R24" i="13"/>
  <c r="R22" i="13"/>
  <c r="R21" i="13"/>
  <c r="P18" i="13"/>
  <c r="R15" i="13"/>
  <c r="R20" i="13"/>
  <c r="R18" i="13"/>
  <c r="R16" i="13"/>
  <c r="Z22" i="13"/>
  <c r="Z24" i="13"/>
  <c r="Z21" i="14"/>
  <c r="Z24" i="14"/>
  <c r="Z25" i="14"/>
  <c r="L22" i="17"/>
  <c r="X15" i="20"/>
  <c r="Z12" i="7"/>
  <c r="V24" i="7"/>
  <c r="V22" i="7"/>
  <c r="V21" i="7"/>
  <c r="T18" i="7"/>
  <c r="V15" i="7"/>
  <c r="V34" i="7"/>
  <c r="V25" i="7"/>
  <c r="V29" i="7"/>
  <c r="V18" i="7"/>
  <c r="V33" i="7"/>
  <c r="V36" i="7"/>
  <c r="V27" i="7"/>
  <c r="V16" i="7"/>
  <c r="V31" i="7"/>
  <c r="V20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0" i="8"/>
  <c r="R18" i="8"/>
  <c r="R16" i="8"/>
  <c r="R15" i="8"/>
  <c r="P18" i="8"/>
  <c r="R21" i="8"/>
  <c r="Z22" i="8"/>
  <c r="Z24" i="8"/>
  <c r="Z12" i="10"/>
  <c r="V36" i="10"/>
  <c r="V34" i="10"/>
  <c r="V33" i="10"/>
  <c r="V31" i="10"/>
  <c r="V29" i="10"/>
  <c r="V27" i="10"/>
  <c r="V25" i="10"/>
  <c r="V24" i="10"/>
  <c r="V22" i="10"/>
  <c r="V21" i="10"/>
  <c r="T18" i="10"/>
  <c r="V15" i="10"/>
  <c r="V18" i="10"/>
  <c r="V16" i="10"/>
  <c r="V20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0" i="11"/>
  <c r="R18" i="11"/>
  <c r="R16" i="11"/>
  <c r="P18" i="11"/>
  <c r="R21" i="11"/>
  <c r="R15" i="11"/>
  <c r="Z22" i="11"/>
  <c r="Z24" i="11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R34" i="14"/>
  <c r="R36" i="14"/>
  <c r="X12" i="14"/>
  <c r="R22" i="14"/>
  <c r="R25" i="14"/>
  <c r="R24" i="14"/>
  <c r="R21" i="14"/>
  <c r="R27" i="14"/>
  <c r="R20" i="14"/>
  <c r="R18" i="14"/>
  <c r="R16" i="14"/>
  <c r="R31" i="14"/>
  <c r="R15" i="14"/>
  <c r="R33" i="14"/>
  <c r="R29" i="14"/>
  <c r="P18" i="14"/>
  <c r="Z22" i="14"/>
  <c r="N34" i="14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L15" i="11"/>
  <c r="Z25" i="11"/>
  <c r="Z29" i="11"/>
  <c r="Z33" i="11"/>
  <c r="Z34" i="11"/>
  <c r="L16" i="13"/>
  <c r="L20" i="13"/>
  <c r="Z12" i="14"/>
  <c r="V22" i="14"/>
  <c r="V25" i="14"/>
  <c r="V24" i="14"/>
  <c r="V21" i="14"/>
  <c r="V27" i="14"/>
  <c r="V20" i="14"/>
  <c r="V18" i="14"/>
  <c r="V16" i="14"/>
  <c r="V29" i="14"/>
  <c r="T18" i="14"/>
  <c r="V15" i="14"/>
  <c r="V31" i="14"/>
  <c r="V34" i="14"/>
  <c r="V36" i="14"/>
  <c r="V33" i="14"/>
  <c r="L15" i="14"/>
  <c r="N33" i="14"/>
  <c r="N21" i="16"/>
  <c r="Z16" i="20"/>
  <c r="X25" i="22"/>
  <c r="N15" i="7"/>
  <c r="L21" i="7"/>
  <c r="L16" i="8"/>
  <c r="L20" i="8"/>
  <c r="N15" i="10"/>
  <c r="L21" i="10"/>
  <c r="L16" i="11"/>
  <c r="L20" i="11"/>
  <c r="N15" i="13"/>
  <c r="L21" i="13"/>
  <c r="L16" i="14"/>
  <c r="L20" i="14"/>
  <c r="X21" i="16"/>
  <c r="Z25" i="22"/>
  <c r="X24" i="5"/>
  <c r="N16" i="7"/>
  <c r="N20" i="7"/>
  <c r="L22" i="7"/>
  <c r="L24" i="7"/>
  <c r="N15" i="8"/>
  <c r="L21" i="8"/>
  <c r="N16" i="10"/>
  <c r="N20" i="10"/>
  <c r="L22" i="10"/>
  <c r="L24" i="10"/>
  <c r="N15" i="11"/>
  <c r="L21" i="11"/>
  <c r="N16" i="13"/>
  <c r="N20" i="13"/>
  <c r="L22" i="13"/>
  <c r="L24" i="13"/>
  <c r="N15" i="14"/>
  <c r="L21" i="14"/>
  <c r="N29" i="14"/>
  <c r="L15" i="17"/>
  <c r="X24" i="29"/>
  <c r="N16" i="11"/>
  <c r="N20" i="11"/>
  <c r="L22" i="11"/>
  <c r="L24" i="11"/>
  <c r="L13" i="13"/>
  <c r="N21" i="13"/>
  <c r="L25" i="13"/>
  <c r="L29" i="13"/>
  <c r="L33" i="13"/>
  <c r="L34" i="13"/>
  <c r="N16" i="14"/>
  <c r="N20" i="14"/>
  <c r="L22" i="14"/>
  <c r="L24" i="14"/>
  <c r="X34" i="14"/>
  <c r="X24" i="16"/>
  <c r="Z24" i="5"/>
  <c r="N13" i="7"/>
  <c r="N22" i="7"/>
  <c r="N24" i="7"/>
  <c r="L13" i="8"/>
  <c r="N21" i="8"/>
  <c r="L25" i="8"/>
  <c r="L29" i="8"/>
  <c r="L33" i="8"/>
  <c r="L34" i="8"/>
  <c r="N13" i="10"/>
  <c r="N22" i="10"/>
  <c r="N24" i="10"/>
  <c r="L13" i="11"/>
  <c r="N21" i="11"/>
  <c r="L25" i="11"/>
  <c r="L29" i="11"/>
  <c r="L33" i="11"/>
  <c r="L34" i="11"/>
  <c r="N13" i="13"/>
  <c r="N22" i="13"/>
  <c r="N24" i="13"/>
  <c r="L13" i="14"/>
  <c r="N21" i="14"/>
  <c r="N24" i="14"/>
  <c r="N25" i="14"/>
  <c r="X33" i="14"/>
  <c r="Z29" i="17"/>
  <c r="X33" i="16"/>
  <c r="Z15" i="17"/>
  <c r="Z24" i="29"/>
  <c r="F36" i="16"/>
  <c r="F34" i="16"/>
  <c r="F33" i="16"/>
  <c r="F31" i="16"/>
  <c r="F29" i="16"/>
  <c r="F27" i="16"/>
  <c r="F25" i="16"/>
  <c r="F21" i="16"/>
  <c r="F20" i="16"/>
  <c r="F18" i="16"/>
  <c r="F16" i="16"/>
  <c r="F24" i="16"/>
  <c r="F22" i="16"/>
  <c r="L12" i="16"/>
  <c r="D18" i="16"/>
  <c r="F15" i="16"/>
  <c r="Z21" i="16"/>
  <c r="L25" i="16"/>
  <c r="F24" i="17"/>
  <c r="F22" i="17"/>
  <c r="F20" i="17"/>
  <c r="F18" i="17"/>
  <c r="F16" i="17"/>
  <c r="D18" i="17"/>
  <c r="F15" i="17"/>
  <c r="F36" i="17"/>
  <c r="F34" i="17"/>
  <c r="F33" i="17"/>
  <c r="F31" i="17"/>
  <c r="F29" i="17"/>
  <c r="F27" i="17"/>
  <c r="F25" i="17"/>
  <c r="F21" i="17"/>
  <c r="L12" i="17"/>
  <c r="N20" i="17"/>
  <c r="Z25" i="17"/>
  <c r="X33" i="19"/>
  <c r="X33" i="20"/>
  <c r="L29" i="26"/>
  <c r="J21" i="16"/>
  <c r="H18" i="16"/>
  <c r="J15" i="16"/>
  <c r="J36" i="16"/>
  <c r="J34" i="16"/>
  <c r="J33" i="16"/>
  <c r="J31" i="16"/>
  <c r="J29" i="16"/>
  <c r="J27" i="16"/>
  <c r="J25" i="16"/>
  <c r="J24" i="16"/>
  <c r="J22" i="16"/>
  <c r="J16" i="16"/>
  <c r="J20" i="16"/>
  <c r="N12" i="16"/>
  <c r="J18" i="16"/>
  <c r="Z15" i="16"/>
  <c r="X29" i="16"/>
  <c r="L34" i="16"/>
  <c r="J20" i="17"/>
  <c r="J18" i="17"/>
  <c r="J16" i="17"/>
  <c r="N12" i="17"/>
  <c r="J24" i="17"/>
  <c r="J22" i="17"/>
  <c r="J21" i="17"/>
  <c r="J29" i="17"/>
  <c r="H18" i="17"/>
  <c r="J33" i="17"/>
  <c r="J36" i="17"/>
  <c r="J27" i="17"/>
  <c r="J31" i="17"/>
  <c r="J15" i="17"/>
  <c r="J25" i="17"/>
  <c r="J34" i="17"/>
  <c r="X20" i="17"/>
  <c r="X22" i="17"/>
  <c r="Z34" i="17"/>
  <c r="X21" i="19"/>
  <c r="N16" i="17"/>
  <c r="T18" i="19"/>
  <c r="V27" i="19"/>
  <c r="V15" i="19"/>
  <c r="V16" i="19"/>
  <c r="V29" i="19"/>
  <c r="V18" i="19"/>
  <c r="V31" i="19"/>
  <c r="V20" i="19"/>
  <c r="V33" i="19"/>
  <c r="V21" i="19"/>
  <c r="V22" i="19"/>
  <c r="Z12" i="19"/>
  <c r="V36" i="19"/>
  <c r="V25" i="19"/>
  <c r="V24" i="19"/>
  <c r="V34" i="19"/>
  <c r="Z34" i="19"/>
  <c r="N21" i="20"/>
  <c r="L20" i="16"/>
  <c r="X25" i="16"/>
  <c r="Z12" i="17"/>
  <c r="V36" i="17"/>
  <c r="V34" i="17"/>
  <c r="V33" i="17"/>
  <c r="V31" i="17"/>
  <c r="V29" i="17"/>
  <c r="V27" i="17"/>
  <c r="V25" i="17"/>
  <c r="V21" i="17"/>
  <c r="V20" i="17"/>
  <c r="V18" i="17"/>
  <c r="V16" i="17"/>
  <c r="V24" i="17"/>
  <c r="V22" i="17"/>
  <c r="V15" i="17"/>
  <c r="T18" i="17"/>
  <c r="X16" i="17"/>
  <c r="Z20" i="17"/>
  <c r="L24" i="17"/>
  <c r="Z22" i="19"/>
  <c r="V21" i="22"/>
  <c r="T18" i="22"/>
  <c r="V15" i="22"/>
  <c r="Z12" i="22"/>
  <c r="V36" i="22"/>
  <c r="V34" i="22"/>
  <c r="V33" i="22"/>
  <c r="V31" i="22"/>
  <c r="V29" i="22"/>
  <c r="V27" i="22"/>
  <c r="V25" i="22"/>
  <c r="V24" i="22"/>
  <c r="V20" i="22"/>
  <c r="V22" i="22"/>
  <c r="V18" i="22"/>
  <c r="V16" i="22"/>
  <c r="V21" i="28"/>
  <c r="T18" i="28"/>
  <c r="V15" i="28"/>
  <c r="Z12" i="28"/>
  <c r="V36" i="28"/>
  <c r="V34" i="28"/>
  <c r="V33" i="28"/>
  <c r="V31" i="28"/>
  <c r="V29" i="28"/>
  <c r="V27" i="28"/>
  <c r="V25" i="28"/>
  <c r="V18" i="28"/>
  <c r="V16" i="28"/>
  <c r="V24" i="28"/>
  <c r="V22" i="28"/>
  <c r="V20" i="28"/>
  <c r="L16" i="16"/>
  <c r="X22" i="16"/>
  <c r="X34" i="16"/>
  <c r="L15" i="19"/>
  <c r="Z20" i="23"/>
  <c r="Z21" i="28"/>
  <c r="L13" i="16"/>
  <c r="Z16" i="17"/>
  <c r="Z22" i="20"/>
  <c r="L25" i="14"/>
  <c r="L29" i="14"/>
  <c r="L33" i="14"/>
  <c r="L34" i="14"/>
  <c r="X16" i="16"/>
  <c r="Z20" i="16"/>
  <c r="X13" i="17"/>
  <c r="X24" i="17"/>
  <c r="L13" i="20"/>
  <c r="L25" i="20"/>
  <c r="Z21" i="22"/>
  <c r="X24" i="23"/>
  <c r="X13" i="16"/>
  <c r="Z13" i="17"/>
  <c r="X21" i="17"/>
  <c r="L16" i="19"/>
  <c r="N13" i="20"/>
  <c r="Z24" i="23"/>
  <c r="X15" i="16"/>
  <c r="N25" i="16"/>
  <c r="N29" i="16"/>
  <c r="N33" i="16"/>
  <c r="N34" i="16"/>
  <c r="N13" i="17"/>
  <c r="N22" i="17"/>
  <c r="N24" i="17"/>
  <c r="N20" i="19"/>
  <c r="Z25" i="19"/>
  <c r="X34" i="19"/>
  <c r="L21" i="20"/>
  <c r="N33" i="20"/>
  <c r="N21" i="22"/>
  <c r="L25" i="22"/>
  <c r="N20" i="23"/>
  <c r="L24" i="23"/>
  <c r="N25" i="26"/>
  <c r="X29" i="28"/>
  <c r="Z13" i="29"/>
  <c r="X22" i="29"/>
  <c r="X20" i="16"/>
  <c r="X15" i="17"/>
  <c r="N25" i="17"/>
  <c r="N29" i="17"/>
  <c r="N33" i="17"/>
  <c r="N34" i="17"/>
  <c r="R21" i="19"/>
  <c r="R36" i="19"/>
  <c r="R25" i="19"/>
  <c r="R27" i="19"/>
  <c r="R16" i="19"/>
  <c r="R15" i="19"/>
  <c r="R29" i="19"/>
  <c r="R18" i="19"/>
  <c r="P18" i="19"/>
  <c r="R31" i="19"/>
  <c r="R20" i="19"/>
  <c r="R34" i="19"/>
  <c r="R24" i="19"/>
  <c r="X12" i="19"/>
  <c r="R22" i="19"/>
  <c r="R33" i="19"/>
  <c r="Z24" i="19"/>
  <c r="L29" i="19"/>
  <c r="X16" i="20"/>
  <c r="L12" i="22"/>
  <c r="F36" i="22"/>
  <c r="F34" i="22"/>
  <c r="F33" i="22"/>
  <c r="F31" i="22"/>
  <c r="F29" i="22"/>
  <c r="F27" i="22"/>
  <c r="F25" i="22"/>
  <c r="F21" i="22"/>
  <c r="F20" i="22"/>
  <c r="F18" i="22"/>
  <c r="F16" i="22"/>
  <c r="D18" i="22"/>
  <c r="F15" i="22"/>
  <c r="F24" i="22"/>
  <c r="F22" i="22"/>
  <c r="X16" i="22"/>
  <c r="X15" i="23"/>
  <c r="N29" i="23"/>
  <c r="N34" i="23"/>
  <c r="N24" i="25"/>
  <c r="Z29" i="28"/>
  <c r="Z22" i="29"/>
  <c r="N15" i="19"/>
  <c r="N16" i="19"/>
  <c r="X20" i="19"/>
  <c r="Z21" i="19"/>
  <c r="Z33" i="19"/>
  <c r="N20" i="20"/>
  <c r="N25" i="20"/>
  <c r="L13" i="22"/>
  <c r="L33" i="22"/>
  <c r="N16" i="23"/>
  <c r="X16" i="25"/>
  <c r="N29" i="26"/>
  <c r="X33" i="28"/>
  <c r="Z16" i="29"/>
  <c r="X24" i="31"/>
  <c r="R36" i="16"/>
  <c r="R34" i="16"/>
  <c r="R33" i="16"/>
  <c r="R31" i="16"/>
  <c r="R29" i="16"/>
  <c r="R27" i="16"/>
  <c r="R25" i="16"/>
  <c r="P18" i="16"/>
  <c r="R16" i="16"/>
  <c r="R22" i="16"/>
  <c r="R20" i="16"/>
  <c r="X12" i="16"/>
  <c r="R18" i="16"/>
  <c r="R15" i="16"/>
  <c r="R21" i="16"/>
  <c r="R24" i="16"/>
  <c r="Z22" i="16"/>
  <c r="Z24" i="16"/>
  <c r="Z21" i="17"/>
  <c r="X25" i="17"/>
  <c r="X29" i="17"/>
  <c r="X33" i="17"/>
  <c r="X34" i="17"/>
  <c r="L25" i="19"/>
  <c r="L24" i="20"/>
  <c r="N25" i="23"/>
  <c r="N21" i="26"/>
  <c r="L15" i="28"/>
  <c r="Z33" i="28"/>
  <c r="N20" i="34"/>
  <c r="Z12" i="16"/>
  <c r="V24" i="16"/>
  <c r="V22" i="16"/>
  <c r="V21" i="16"/>
  <c r="V31" i="16"/>
  <c r="V20" i="16"/>
  <c r="V34" i="16"/>
  <c r="V25" i="16"/>
  <c r="V29" i="16"/>
  <c r="V18" i="16"/>
  <c r="V15" i="16"/>
  <c r="T18" i="16"/>
  <c r="V33" i="16"/>
  <c r="V36" i="16"/>
  <c r="V16" i="16"/>
  <c r="V27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16" i="17"/>
  <c r="R20" i="17"/>
  <c r="R15" i="17"/>
  <c r="R21" i="17"/>
  <c r="R18" i="17"/>
  <c r="P18" i="17"/>
  <c r="Z22" i="17"/>
  <c r="Z24" i="17"/>
  <c r="L13" i="19"/>
  <c r="L24" i="19"/>
  <c r="X29" i="19"/>
  <c r="Z13" i="20"/>
  <c r="Z21" i="20"/>
  <c r="X25" i="20"/>
  <c r="L29" i="20"/>
  <c r="L34" i="20"/>
  <c r="X33" i="22"/>
  <c r="Z16" i="23"/>
  <c r="X34" i="28"/>
  <c r="N13" i="19"/>
  <c r="N25" i="19"/>
  <c r="L34" i="19"/>
  <c r="D18" i="20"/>
  <c r="F15" i="20"/>
  <c r="F33" i="20"/>
  <c r="F27" i="20"/>
  <c r="F22" i="20"/>
  <c r="F16" i="20"/>
  <c r="L12" i="20"/>
  <c r="F34" i="20"/>
  <c r="F29" i="20"/>
  <c r="F24" i="20"/>
  <c r="F18" i="20"/>
  <c r="F21" i="20"/>
  <c r="F25" i="20"/>
  <c r="F36" i="20"/>
  <c r="F20" i="20"/>
  <c r="F31" i="20"/>
  <c r="N24" i="20"/>
  <c r="L15" i="22"/>
  <c r="Z33" i="22"/>
  <c r="R24" i="23"/>
  <c r="R22" i="23"/>
  <c r="R20" i="23"/>
  <c r="R18" i="23"/>
  <c r="R16" i="23"/>
  <c r="P18" i="23"/>
  <c r="R15" i="23"/>
  <c r="X12" i="23"/>
  <c r="R33" i="23"/>
  <c r="R27" i="23"/>
  <c r="R36" i="23"/>
  <c r="R31" i="23"/>
  <c r="R25" i="23"/>
  <c r="R21" i="23"/>
  <c r="R34" i="23"/>
  <c r="R29" i="23"/>
  <c r="L13" i="26"/>
  <c r="L33" i="26"/>
  <c r="Z34" i="28"/>
  <c r="N15" i="16"/>
  <c r="L21" i="16"/>
  <c r="L16" i="17"/>
  <c r="L20" i="17"/>
  <c r="X15" i="19"/>
  <c r="X16" i="19"/>
  <c r="L22" i="19"/>
  <c r="N24" i="19"/>
  <c r="Z29" i="19"/>
  <c r="X20" i="20"/>
  <c r="N29" i="20"/>
  <c r="N34" i="20"/>
  <c r="L29" i="22"/>
  <c r="L34" i="22"/>
  <c r="L22" i="23"/>
  <c r="X20" i="25"/>
  <c r="N33" i="26"/>
  <c r="X25" i="28"/>
  <c r="Z20" i="29"/>
  <c r="N16" i="16"/>
  <c r="N20" i="16"/>
  <c r="L22" i="16"/>
  <c r="L24" i="16"/>
  <c r="N15" i="17"/>
  <c r="L21" i="17"/>
  <c r="F20" i="19"/>
  <c r="F18" i="19"/>
  <c r="F16" i="19"/>
  <c r="L12" i="19"/>
  <c r="F33" i="19"/>
  <c r="F21" i="19"/>
  <c r="F22" i="19"/>
  <c r="F34" i="19"/>
  <c r="F24" i="19"/>
  <c r="F36" i="19"/>
  <c r="F25" i="19"/>
  <c r="F27" i="19"/>
  <c r="D18" i="19"/>
  <c r="F31" i="19"/>
  <c r="F15" i="19"/>
  <c r="F29" i="19"/>
  <c r="L33" i="19"/>
  <c r="N34" i="19"/>
  <c r="L15" i="20"/>
  <c r="N16" i="20"/>
  <c r="Z20" i="20"/>
  <c r="L22" i="20"/>
  <c r="X20" i="22"/>
  <c r="N33" i="23"/>
  <c r="L34" i="26"/>
  <c r="Z25" i="28"/>
  <c r="J22" i="19"/>
  <c r="J34" i="19"/>
  <c r="J24" i="19"/>
  <c r="J36" i="19"/>
  <c r="J25" i="19"/>
  <c r="J27" i="19"/>
  <c r="J16" i="19"/>
  <c r="J15" i="19"/>
  <c r="J29" i="19"/>
  <c r="J20" i="19"/>
  <c r="J33" i="19"/>
  <c r="J21" i="19"/>
  <c r="N12" i="19"/>
  <c r="H18" i="19"/>
  <c r="J31" i="19"/>
  <c r="J18" i="19"/>
  <c r="X13" i="19"/>
  <c r="Z15" i="19"/>
  <c r="N22" i="19"/>
  <c r="X25" i="19"/>
  <c r="X12" i="20"/>
  <c r="R21" i="20"/>
  <c r="R20" i="20"/>
  <c r="R18" i="20"/>
  <c r="R16" i="20"/>
  <c r="R34" i="20"/>
  <c r="R29" i="20"/>
  <c r="P18" i="20"/>
  <c r="R24" i="20"/>
  <c r="R36" i="20"/>
  <c r="R31" i="20"/>
  <c r="R25" i="20"/>
  <c r="R22" i="20"/>
  <c r="R33" i="20"/>
  <c r="R27" i="20"/>
  <c r="R15" i="20"/>
  <c r="N15" i="20"/>
  <c r="X29" i="20"/>
  <c r="L33" i="20"/>
  <c r="X34" i="20"/>
  <c r="X29" i="22"/>
  <c r="X34" i="22"/>
  <c r="Z13" i="23"/>
  <c r="X22" i="23"/>
  <c r="F24" i="25"/>
  <c r="F22" i="25"/>
  <c r="F21" i="25"/>
  <c r="F20" i="25"/>
  <c r="F18" i="25"/>
  <c r="F16" i="25"/>
  <c r="D18" i="25"/>
  <c r="F15" i="25"/>
  <c r="L12" i="25"/>
  <c r="F33" i="25"/>
  <c r="F31" i="25"/>
  <c r="F29" i="25"/>
  <c r="F27" i="25"/>
  <c r="F34" i="25"/>
  <c r="F25" i="25"/>
  <c r="F36" i="25"/>
  <c r="X15" i="26"/>
  <c r="N34" i="26"/>
  <c r="N13" i="16"/>
  <c r="N22" i="16"/>
  <c r="N24" i="16"/>
  <c r="L13" i="17"/>
  <c r="N21" i="17"/>
  <c r="L25" i="17"/>
  <c r="L29" i="17"/>
  <c r="L33" i="17"/>
  <c r="L34" i="17"/>
  <c r="Z13" i="19"/>
  <c r="L20" i="19"/>
  <c r="N21" i="19"/>
  <c r="N33" i="19"/>
  <c r="V36" i="20"/>
  <c r="V34" i="20"/>
  <c r="V33" i="20"/>
  <c r="V31" i="20"/>
  <c r="V29" i="20"/>
  <c r="V27" i="20"/>
  <c r="V25" i="20"/>
  <c r="V24" i="20"/>
  <c r="V22" i="20"/>
  <c r="V20" i="20"/>
  <c r="V21" i="20"/>
  <c r="V15" i="20"/>
  <c r="V18" i="20"/>
  <c r="T18" i="20"/>
  <c r="Z12" i="20"/>
  <c r="V16" i="20"/>
  <c r="N22" i="20"/>
  <c r="Z24" i="20"/>
  <c r="Z29" i="22"/>
  <c r="Z34" i="22"/>
  <c r="Z22" i="23"/>
  <c r="N13" i="25"/>
  <c r="N22" i="25"/>
  <c r="L25" i="26"/>
  <c r="R24" i="29"/>
  <c r="R22" i="29"/>
  <c r="R20" i="29"/>
  <c r="R18" i="29"/>
  <c r="R16" i="29"/>
  <c r="P18" i="29"/>
  <c r="R15" i="29"/>
  <c r="X12" i="29"/>
  <c r="R31" i="29"/>
  <c r="R21" i="29"/>
  <c r="R29" i="29"/>
  <c r="R27" i="29"/>
  <c r="R36" i="29"/>
  <c r="R25" i="29"/>
  <c r="R33" i="29"/>
  <c r="R34" i="29"/>
  <c r="Z16" i="19"/>
  <c r="Z20" i="19"/>
  <c r="X22" i="19"/>
  <c r="X24" i="19"/>
  <c r="J15" i="20"/>
  <c r="J16" i="20"/>
  <c r="J34" i="20"/>
  <c r="J29" i="20"/>
  <c r="N12" i="20"/>
  <c r="J24" i="20"/>
  <c r="J18" i="20"/>
  <c r="H18" i="20"/>
  <c r="J36" i="20"/>
  <c r="J31" i="20"/>
  <c r="J25" i="20"/>
  <c r="J20" i="20"/>
  <c r="J33" i="20"/>
  <c r="J27" i="20"/>
  <c r="J22" i="20"/>
  <c r="J21" i="20"/>
  <c r="X13" i="20"/>
  <c r="Z15" i="20"/>
  <c r="X21" i="20"/>
  <c r="L16" i="22"/>
  <c r="L20" i="22"/>
  <c r="V20" i="23"/>
  <c r="V18" i="23"/>
  <c r="V16" i="23"/>
  <c r="Z12" i="23"/>
  <c r="V36" i="23"/>
  <c r="V34" i="23"/>
  <c r="V33" i="23"/>
  <c r="V31" i="23"/>
  <c r="V29" i="23"/>
  <c r="V27" i="23"/>
  <c r="V25" i="23"/>
  <c r="V24" i="23"/>
  <c r="V22" i="23"/>
  <c r="T18" i="23"/>
  <c r="V21" i="23"/>
  <c r="V15" i="23"/>
  <c r="L15" i="23"/>
  <c r="Z25" i="23"/>
  <c r="Z29" i="23"/>
  <c r="Z33" i="23"/>
  <c r="Z34" i="23"/>
  <c r="J24" i="25"/>
  <c r="J22" i="25"/>
  <c r="J20" i="25"/>
  <c r="J18" i="25"/>
  <c r="J16" i="25"/>
  <c r="H18" i="25"/>
  <c r="J15" i="25"/>
  <c r="N12" i="25"/>
  <c r="J31" i="25"/>
  <c r="J21" i="25"/>
  <c r="J29" i="25"/>
  <c r="J27" i="25"/>
  <c r="J36" i="25"/>
  <c r="J25" i="25"/>
  <c r="J33" i="25"/>
  <c r="J34" i="25"/>
  <c r="X13" i="25"/>
  <c r="Z15" i="25"/>
  <c r="X21" i="25"/>
  <c r="F36" i="26"/>
  <c r="F34" i="26"/>
  <c r="F33" i="26"/>
  <c r="F31" i="26"/>
  <c r="F29" i="26"/>
  <c r="F27" i="26"/>
  <c r="F25" i="26"/>
  <c r="F21" i="26"/>
  <c r="F20" i="26"/>
  <c r="F18" i="26"/>
  <c r="F16" i="26"/>
  <c r="D18" i="26"/>
  <c r="F15" i="26"/>
  <c r="L12" i="26"/>
  <c r="F24" i="26"/>
  <c r="F22" i="26"/>
  <c r="X16" i="26"/>
  <c r="X20" i="26"/>
  <c r="L16" i="28"/>
  <c r="L20" i="28"/>
  <c r="V20" i="29"/>
  <c r="V18" i="29"/>
  <c r="V16" i="29"/>
  <c r="Z12" i="29"/>
  <c r="V36" i="29"/>
  <c r="V34" i="29"/>
  <c r="V33" i="29"/>
  <c r="V31" i="29"/>
  <c r="V29" i="29"/>
  <c r="V27" i="29"/>
  <c r="V25" i="29"/>
  <c r="V24" i="29"/>
  <c r="V22" i="29"/>
  <c r="V21" i="29"/>
  <c r="T18" i="29"/>
  <c r="V15" i="29"/>
  <c r="L15" i="29"/>
  <c r="Z25" i="29"/>
  <c r="Z29" i="29"/>
  <c r="Z33" i="29"/>
  <c r="Z34" i="29"/>
  <c r="X20" i="32"/>
  <c r="L21" i="34"/>
  <c r="X22" i="20"/>
  <c r="X24" i="20"/>
  <c r="N15" i="22"/>
  <c r="L21" i="22"/>
  <c r="L16" i="23"/>
  <c r="L20" i="23"/>
  <c r="Z13" i="25"/>
  <c r="Z16" i="25"/>
  <c r="Z20" i="25"/>
  <c r="X22" i="25"/>
  <c r="X24" i="25"/>
  <c r="J21" i="26"/>
  <c r="H18" i="26"/>
  <c r="J15" i="26"/>
  <c r="N12" i="26"/>
  <c r="J36" i="26"/>
  <c r="J34" i="26"/>
  <c r="J33" i="26"/>
  <c r="J31" i="26"/>
  <c r="J29" i="26"/>
  <c r="J27" i="26"/>
  <c r="J25" i="26"/>
  <c r="J16" i="26"/>
  <c r="J24" i="26"/>
  <c r="J22" i="26"/>
  <c r="J18" i="26"/>
  <c r="J20" i="26"/>
  <c r="X13" i="26"/>
  <c r="Z15" i="26"/>
  <c r="X21" i="26"/>
  <c r="N15" i="28"/>
  <c r="L21" i="28"/>
  <c r="L16" i="29"/>
  <c r="L20" i="29"/>
  <c r="Z16" i="31"/>
  <c r="N15" i="35"/>
  <c r="N16" i="22"/>
  <c r="N20" i="22"/>
  <c r="L22" i="22"/>
  <c r="L24" i="22"/>
  <c r="N15" i="23"/>
  <c r="L21" i="23"/>
  <c r="Z21" i="25"/>
  <c r="X25" i="25"/>
  <c r="X29" i="25"/>
  <c r="X33" i="25"/>
  <c r="X34" i="25"/>
  <c r="Z13" i="26"/>
  <c r="Z16" i="26"/>
  <c r="Z20" i="26"/>
  <c r="X22" i="26"/>
  <c r="X24" i="26"/>
  <c r="N16" i="28"/>
  <c r="N20" i="28"/>
  <c r="L22" i="28"/>
  <c r="L24" i="28"/>
  <c r="N15" i="29"/>
  <c r="L21" i="29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L12" i="32"/>
  <c r="L16" i="35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Z21" i="26"/>
  <c r="X25" i="26"/>
  <c r="X29" i="26"/>
  <c r="X33" i="26"/>
  <c r="X34" i="26"/>
  <c r="L13" i="28"/>
  <c r="N21" i="28"/>
  <c r="L25" i="28"/>
  <c r="L29" i="28"/>
  <c r="L33" i="28"/>
  <c r="L34" i="28"/>
  <c r="N16" i="29"/>
  <c r="N20" i="29"/>
  <c r="L22" i="29"/>
  <c r="L24" i="29"/>
  <c r="J24" i="32"/>
  <c r="J22" i="32"/>
  <c r="J21" i="32"/>
  <c r="J20" i="32"/>
  <c r="J18" i="32"/>
  <c r="J16" i="32"/>
  <c r="H18" i="32"/>
  <c r="J15" i="32"/>
  <c r="N12" i="32"/>
  <c r="J27" i="32"/>
  <c r="J36" i="32"/>
  <c r="J25" i="32"/>
  <c r="J34" i="32"/>
  <c r="J33" i="32"/>
  <c r="J31" i="32"/>
  <c r="J29" i="32"/>
  <c r="X21" i="32"/>
  <c r="L22" i="34"/>
  <c r="Z25" i="20"/>
  <c r="Z29" i="20"/>
  <c r="Z33" i="20"/>
  <c r="Z34" i="20"/>
  <c r="N13" i="22"/>
  <c r="N22" i="22"/>
  <c r="N24" i="22"/>
  <c r="L13" i="23"/>
  <c r="N21" i="23"/>
  <c r="L25" i="23"/>
  <c r="L29" i="23"/>
  <c r="L33" i="23"/>
  <c r="L34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Z22" i="26"/>
  <c r="Z24" i="26"/>
  <c r="N13" i="28"/>
  <c r="N22" i="28"/>
  <c r="N24" i="28"/>
  <c r="L13" i="29"/>
  <c r="N21" i="29"/>
  <c r="L25" i="29"/>
  <c r="L29" i="29"/>
  <c r="L33" i="29"/>
  <c r="L34" i="29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N12" i="31"/>
  <c r="N15" i="34"/>
  <c r="L21" i="19"/>
  <c r="L16" i="20"/>
  <c r="L20" i="20"/>
  <c r="X15" i="22"/>
  <c r="N25" i="22"/>
  <c r="N29" i="22"/>
  <c r="N33" i="22"/>
  <c r="N34" i="22"/>
  <c r="N13" i="23"/>
  <c r="N22" i="23"/>
  <c r="N24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X15" i="28"/>
  <c r="N25" i="28"/>
  <c r="N29" i="28"/>
  <c r="N33" i="28"/>
  <c r="N34" i="28"/>
  <c r="N13" i="29"/>
  <c r="N22" i="29"/>
  <c r="N24" i="29"/>
  <c r="Z20" i="31"/>
  <c r="X13" i="32"/>
  <c r="L24" i="34"/>
  <c r="N15" i="25"/>
  <c r="L21" i="25"/>
  <c r="L16" i="26"/>
  <c r="L20" i="26"/>
  <c r="L12" i="28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X16" i="28"/>
  <c r="X20" i="28"/>
  <c r="X15" i="29"/>
  <c r="N25" i="29"/>
  <c r="N29" i="29"/>
  <c r="N33" i="29"/>
  <c r="N34" i="29"/>
  <c r="Z12" i="31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X21" i="31"/>
  <c r="L20" i="35"/>
  <c r="J24" i="22"/>
  <c r="J22" i="22"/>
  <c r="J21" i="22"/>
  <c r="H18" i="22"/>
  <c r="J15" i="22"/>
  <c r="J34" i="22"/>
  <c r="J29" i="22"/>
  <c r="J20" i="22"/>
  <c r="J33" i="22"/>
  <c r="J27" i="22"/>
  <c r="J18" i="22"/>
  <c r="J36" i="22"/>
  <c r="J31" i="22"/>
  <c r="J25" i="22"/>
  <c r="J16" i="22"/>
  <c r="N12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0" i="23"/>
  <c r="F18" i="23"/>
  <c r="F16" i="23"/>
  <c r="D18" i="23"/>
  <c r="F15" i="23"/>
  <c r="L12" i="23"/>
  <c r="F21" i="23"/>
  <c r="X16" i="23"/>
  <c r="X20" i="23"/>
  <c r="N16" i="25"/>
  <c r="N20" i="25"/>
  <c r="L22" i="25"/>
  <c r="L24" i="25"/>
  <c r="N15" i="26"/>
  <c r="L21" i="26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H18" i="28"/>
  <c r="J15" i="28"/>
  <c r="N12" i="28"/>
  <c r="X13" i="28"/>
  <c r="Z15" i="28"/>
  <c r="X21" i="28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L12" i="29"/>
  <c r="X16" i="29"/>
  <c r="X20" i="29"/>
  <c r="X13" i="31"/>
  <c r="Z15" i="32"/>
  <c r="N16" i="34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1" i="23"/>
  <c r="J20" i="23"/>
  <c r="J18" i="23"/>
  <c r="J16" i="23"/>
  <c r="J22" i="23"/>
  <c r="H18" i="23"/>
  <c r="J24" i="23"/>
  <c r="J15" i="23"/>
  <c r="X13" i="23"/>
  <c r="Z15" i="23"/>
  <c r="X21" i="23"/>
  <c r="L13" i="25"/>
  <c r="N21" i="25"/>
  <c r="L25" i="25"/>
  <c r="L29" i="25"/>
  <c r="L33" i="25"/>
  <c r="L34" i="25"/>
  <c r="N16" i="26"/>
  <c r="N20" i="26"/>
  <c r="L22" i="26"/>
  <c r="L24" i="26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1" i="29"/>
  <c r="J20" i="29"/>
  <c r="J18" i="29"/>
  <c r="J16" i="29"/>
  <c r="H18" i="29"/>
  <c r="J15" i="29"/>
  <c r="X13" i="29"/>
  <c r="Z15" i="29"/>
  <c r="X21" i="29"/>
  <c r="Z13" i="31"/>
  <c r="X16" i="32"/>
  <c r="L15" i="31"/>
  <c r="X22" i="31"/>
  <c r="L21" i="35"/>
  <c r="R36" i="22"/>
  <c r="R34" i="22"/>
  <c r="R33" i="22"/>
  <c r="R31" i="22"/>
  <c r="R29" i="22"/>
  <c r="R27" i="22"/>
  <c r="R25" i="22"/>
  <c r="R21" i="22"/>
  <c r="R20" i="22"/>
  <c r="R18" i="22"/>
  <c r="R16" i="22"/>
  <c r="X12" i="22"/>
  <c r="R24" i="22"/>
  <c r="R15" i="22"/>
  <c r="R22" i="22"/>
  <c r="P18" i="22"/>
  <c r="Z22" i="22"/>
  <c r="Z24" i="22"/>
  <c r="Z21" i="23"/>
  <c r="X25" i="23"/>
  <c r="X29" i="23"/>
  <c r="X33" i="23"/>
  <c r="X34" i="23"/>
  <c r="X15" i="25"/>
  <c r="N25" i="25"/>
  <c r="N29" i="25"/>
  <c r="N33" i="25"/>
  <c r="N34" i="25"/>
  <c r="N13" i="26"/>
  <c r="N22" i="26"/>
  <c r="N24" i="26"/>
  <c r="R36" i="28"/>
  <c r="R34" i="28"/>
  <c r="R33" i="28"/>
  <c r="R31" i="28"/>
  <c r="R29" i="28"/>
  <c r="R27" i="28"/>
  <c r="R25" i="28"/>
  <c r="R21" i="28"/>
  <c r="R20" i="28"/>
  <c r="R18" i="28"/>
  <c r="R16" i="28"/>
  <c r="P18" i="28"/>
  <c r="R15" i="28"/>
  <c r="X12" i="28"/>
  <c r="R24" i="28"/>
  <c r="R22" i="28"/>
  <c r="Z22" i="28"/>
  <c r="Z24" i="28"/>
  <c r="Z21" i="29"/>
  <c r="X25" i="29"/>
  <c r="X29" i="29"/>
  <c r="X33" i="29"/>
  <c r="X34" i="29"/>
  <c r="Z15" i="31"/>
  <c r="Z21" i="31"/>
  <c r="X25" i="31"/>
  <c r="X29" i="31"/>
  <c r="X33" i="31"/>
  <c r="X34" i="31"/>
  <c r="Z13" i="32"/>
  <c r="Z16" i="32"/>
  <c r="Z20" i="32"/>
  <c r="X22" i="32"/>
  <c r="X24" i="32"/>
  <c r="L13" i="34"/>
  <c r="N21" i="34"/>
  <c r="L25" i="34"/>
  <c r="L29" i="34"/>
  <c r="L33" i="34"/>
  <c r="L34" i="34"/>
  <c r="N16" i="35"/>
  <c r="N20" i="35"/>
  <c r="L22" i="35"/>
  <c r="L24" i="35"/>
  <c r="P18" i="31"/>
  <c r="R15" i="31"/>
  <c r="X12" i="31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Z22" i="31"/>
  <c r="Z24" i="31"/>
  <c r="Z21" i="32"/>
  <c r="X25" i="32"/>
  <c r="X29" i="32"/>
  <c r="X33" i="32"/>
  <c r="X34" i="32"/>
  <c r="N13" i="34"/>
  <c r="N22" i="34"/>
  <c r="N24" i="34"/>
  <c r="L13" i="35"/>
  <c r="N21" i="35"/>
  <c r="L25" i="35"/>
  <c r="L29" i="35"/>
  <c r="L33" i="35"/>
  <c r="L34" i="35"/>
  <c r="Z25" i="31"/>
  <c r="Z29" i="31"/>
  <c r="Z33" i="31"/>
  <c r="Z34" i="31"/>
  <c r="X12" i="32"/>
  <c r="R36" i="32"/>
  <c r="R34" i="32"/>
  <c r="R33" i="32"/>
  <c r="R31" i="32"/>
  <c r="R29" i="32"/>
  <c r="R27" i="32"/>
  <c r="R25" i="32"/>
  <c r="R24" i="32"/>
  <c r="R22" i="32"/>
  <c r="R21" i="32"/>
  <c r="P18" i="32"/>
  <c r="R16" i="32"/>
  <c r="R15" i="32"/>
  <c r="R20" i="32"/>
  <c r="R18" i="32"/>
  <c r="Z22" i="32"/>
  <c r="Z24" i="32"/>
  <c r="X15" i="34"/>
  <c r="N25" i="34"/>
  <c r="N29" i="34"/>
  <c r="N33" i="34"/>
  <c r="N34" i="34"/>
  <c r="N13" i="35"/>
  <c r="N22" i="35"/>
  <c r="N24" i="35"/>
  <c r="L16" i="31"/>
  <c r="L20" i="31"/>
  <c r="Z12" i="32"/>
  <c r="V36" i="32"/>
  <c r="V34" i="32"/>
  <c r="V33" i="32"/>
  <c r="V31" i="32"/>
  <c r="V29" i="32"/>
  <c r="V27" i="32"/>
  <c r="V25" i="32"/>
  <c r="V24" i="32"/>
  <c r="V22" i="32"/>
  <c r="V21" i="32"/>
  <c r="V20" i="32"/>
  <c r="V18" i="32"/>
  <c r="V16" i="32"/>
  <c r="T18" i="32"/>
  <c r="V15" i="32"/>
  <c r="L15" i="32"/>
  <c r="Z25" i="32"/>
  <c r="Z29" i="32"/>
  <c r="Z33" i="32"/>
  <c r="Z34" i="32"/>
  <c r="D18" i="34"/>
  <c r="F15" i="34"/>
  <c r="L12" i="34"/>
  <c r="F36" i="34"/>
  <c r="F34" i="34"/>
  <c r="F33" i="34"/>
  <c r="F31" i="34"/>
  <c r="F29" i="34"/>
  <c r="F27" i="34"/>
  <c r="F25" i="34"/>
  <c r="F24" i="34"/>
  <c r="F22" i="34"/>
  <c r="F20" i="34"/>
  <c r="F18" i="34"/>
  <c r="F16" i="34"/>
  <c r="F21" i="34"/>
  <c r="X16" i="34"/>
  <c r="X20" i="34"/>
  <c r="X15" i="35"/>
  <c r="N25" i="35"/>
  <c r="N29" i="35"/>
  <c r="N33" i="35"/>
  <c r="N34" i="35"/>
  <c r="N15" i="31"/>
  <c r="L21" i="31"/>
  <c r="L16" i="32"/>
  <c r="L20" i="32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F20" i="35"/>
  <c r="F18" i="35"/>
  <c r="D18" i="35"/>
  <c r="F16" i="35"/>
  <c r="F15" i="35"/>
  <c r="X16" i="35"/>
  <c r="X20" i="35"/>
  <c r="N16" i="31"/>
  <c r="N20" i="31"/>
  <c r="L22" i="31"/>
  <c r="L24" i="31"/>
  <c r="N15" i="32"/>
  <c r="L21" i="32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X13" i="35"/>
  <c r="Z15" i="35"/>
  <c r="X21" i="35"/>
  <c r="L13" i="31"/>
  <c r="N21" i="31"/>
  <c r="L25" i="31"/>
  <c r="L29" i="31"/>
  <c r="L33" i="31"/>
  <c r="L34" i="31"/>
  <c r="N16" i="32"/>
  <c r="N20" i="32"/>
  <c r="L22" i="32"/>
  <c r="L24" i="32"/>
  <c r="Z21" i="34"/>
  <c r="X25" i="34"/>
  <c r="X29" i="34"/>
  <c r="X33" i="34"/>
  <c r="X34" i="34"/>
  <c r="Z13" i="35"/>
  <c r="Z16" i="35"/>
  <c r="Z20" i="35"/>
  <c r="X22" i="35"/>
  <c r="X24" i="35"/>
  <c r="N13" i="31"/>
  <c r="N22" i="31"/>
  <c r="N24" i="31"/>
  <c r="L13" i="32"/>
  <c r="N21" i="32"/>
  <c r="L25" i="32"/>
  <c r="L29" i="32"/>
  <c r="L33" i="32"/>
  <c r="L34" i="32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X29" i="35"/>
  <c r="X33" i="35"/>
  <c r="X34" i="35"/>
  <c r="X15" i="31"/>
  <c r="N25" i="31"/>
  <c r="N29" i="31"/>
  <c r="N33" i="31"/>
  <c r="N34" i="31"/>
  <c r="N13" i="32"/>
  <c r="N22" i="32"/>
  <c r="N24" i="32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Z12" i="34"/>
  <c r="L15" i="34"/>
  <c r="Z25" i="34"/>
  <c r="Z29" i="34"/>
  <c r="Z33" i="34"/>
  <c r="Z34" i="34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X12" i="35"/>
  <c r="Z22" i="35"/>
  <c r="Z24" i="35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D18" i="31"/>
  <c r="F15" i="31"/>
  <c r="L12" i="31"/>
  <c r="X16" i="31"/>
  <c r="X20" i="31"/>
  <c r="X15" i="32"/>
  <c r="N25" i="32"/>
  <c r="N29" i="32"/>
  <c r="N33" i="32"/>
  <c r="N34" i="32"/>
  <c r="L16" i="34"/>
  <c r="L20" i="34"/>
  <c r="V24" i="35"/>
  <c r="V22" i="35"/>
  <c r="V21" i="35"/>
  <c r="V20" i="35"/>
  <c r="V18" i="35"/>
  <c r="V16" i="35"/>
  <c r="T18" i="35"/>
  <c r="V15" i="35"/>
  <c r="V31" i="35"/>
  <c r="V29" i="35"/>
  <c r="V27" i="35"/>
  <c r="V36" i="35"/>
  <c r="V25" i="35"/>
  <c r="V34" i="35"/>
  <c r="V33" i="35"/>
  <c r="Z12" i="35"/>
  <c r="L15" i="35"/>
  <c r="Z25" i="35"/>
  <c r="Z29" i="35"/>
  <c r="Z33" i="35"/>
  <c r="Z34" i="35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6" i="37"/>
  <c r="X20" i="37"/>
  <c r="X15" i="38"/>
  <c r="N25" i="38"/>
  <c r="N29" i="38"/>
  <c r="N33" i="38"/>
  <c r="N34" i="38"/>
  <c r="N16" i="40"/>
  <c r="N20" i="40"/>
  <c r="L22" i="40"/>
  <c r="Z13" i="44"/>
  <c r="X21" i="47"/>
  <c r="J24" i="37"/>
  <c r="J22" i="37"/>
  <c r="J21" i="37"/>
  <c r="J20" i="37"/>
  <c r="J18" i="37"/>
  <c r="J16" i="37"/>
  <c r="H18" i="37"/>
  <c r="J15" i="37"/>
  <c r="N12" i="37"/>
  <c r="J36" i="37"/>
  <c r="J34" i="37"/>
  <c r="J33" i="37"/>
  <c r="J31" i="37"/>
  <c r="J29" i="37"/>
  <c r="J27" i="37"/>
  <c r="J25" i="37"/>
  <c r="X13" i="37"/>
  <c r="Z15" i="37"/>
  <c r="X21" i="37"/>
  <c r="F36" i="38"/>
  <c r="F34" i="38"/>
  <c r="F33" i="38"/>
  <c r="F31" i="38"/>
  <c r="F29" i="38"/>
  <c r="F27" i="38"/>
  <c r="F25" i="38"/>
  <c r="F24" i="38"/>
  <c r="F22" i="38"/>
  <c r="F21" i="38"/>
  <c r="F20" i="38"/>
  <c r="F18" i="38"/>
  <c r="F16" i="38"/>
  <c r="D18" i="38"/>
  <c r="F15" i="38"/>
  <c r="L12" i="38"/>
  <c r="X16" i="38"/>
  <c r="X20" i="38"/>
  <c r="L13" i="40"/>
  <c r="L25" i="40"/>
  <c r="L29" i="40"/>
  <c r="L33" i="40"/>
  <c r="N16" i="41"/>
  <c r="N20" i="41"/>
  <c r="L22" i="41"/>
  <c r="N15" i="44"/>
  <c r="X24" i="52"/>
  <c r="Z13" i="37"/>
  <c r="Z16" i="37"/>
  <c r="Z20" i="37"/>
  <c r="X22" i="37"/>
  <c r="X24" i="37"/>
  <c r="J21" i="38"/>
  <c r="J20" i="38"/>
  <c r="J18" i="38"/>
  <c r="J16" i="38"/>
  <c r="H18" i="38"/>
  <c r="J15" i="38"/>
  <c r="N12" i="38"/>
  <c r="J36" i="38"/>
  <c r="J34" i="38"/>
  <c r="J33" i="38"/>
  <c r="J31" i="38"/>
  <c r="J29" i="38"/>
  <c r="J27" i="38"/>
  <c r="J25" i="38"/>
  <c r="J24" i="38"/>
  <c r="J22" i="38"/>
  <c r="X13" i="38"/>
  <c r="Z15" i="38"/>
  <c r="X21" i="38"/>
  <c r="X13" i="40"/>
  <c r="X16" i="41"/>
  <c r="X20" i="41"/>
  <c r="N15" i="46"/>
  <c r="Z21" i="37"/>
  <c r="X25" i="37"/>
  <c r="X29" i="37"/>
  <c r="X33" i="37"/>
  <c r="X34" i="37"/>
  <c r="Z13" i="38"/>
  <c r="Z16" i="38"/>
  <c r="Z20" i="38"/>
  <c r="X22" i="38"/>
  <c r="X24" i="38"/>
  <c r="Z13" i="40"/>
  <c r="Z16" i="40"/>
  <c r="Z20" i="40"/>
  <c r="X22" i="40"/>
  <c r="X13" i="41"/>
  <c r="L13" i="43"/>
  <c r="Z16" i="44"/>
  <c r="L16" i="46"/>
  <c r="X12" i="37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Z22" i="37"/>
  <c r="Z24" i="37"/>
  <c r="Z21" i="38"/>
  <c r="X25" i="38"/>
  <c r="X29" i="38"/>
  <c r="X33" i="38"/>
  <c r="X34" i="38"/>
  <c r="X25" i="40"/>
  <c r="X29" i="40"/>
  <c r="X33" i="40"/>
  <c r="Z13" i="41"/>
  <c r="Z16" i="41"/>
  <c r="Z20" i="41"/>
  <c r="X22" i="41"/>
  <c r="X15" i="43"/>
  <c r="N29" i="43"/>
  <c r="N20" i="44"/>
  <c r="L21" i="46"/>
  <c r="Z12" i="37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T18" i="37"/>
  <c r="V15" i="37"/>
  <c r="L15" i="37"/>
  <c r="Z25" i="37"/>
  <c r="Z29" i="37"/>
  <c r="Z33" i="37"/>
  <c r="Z34" i="37"/>
  <c r="X12" i="38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Z22" i="38"/>
  <c r="Z24" i="38"/>
  <c r="L15" i="40"/>
  <c r="Z25" i="40"/>
  <c r="Z29" i="40"/>
  <c r="Z33" i="40"/>
  <c r="Z22" i="41"/>
  <c r="X29" i="43"/>
  <c r="L16" i="37"/>
  <c r="L20" i="37"/>
  <c r="Z12" i="38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T18" i="38"/>
  <c r="V15" i="38"/>
  <c r="L15" i="38"/>
  <c r="Z25" i="38"/>
  <c r="Z29" i="38"/>
  <c r="Z33" i="38"/>
  <c r="Z34" i="38"/>
  <c r="L24" i="40"/>
  <c r="N15" i="41"/>
  <c r="L21" i="41"/>
  <c r="N15" i="37"/>
  <c r="L21" i="37"/>
  <c r="L16" i="38"/>
  <c r="L20" i="38"/>
  <c r="N21" i="40"/>
  <c r="L34" i="40"/>
  <c r="L24" i="41"/>
  <c r="L33" i="43"/>
  <c r="N22" i="44"/>
  <c r="N16" i="37"/>
  <c r="N20" i="37"/>
  <c r="L22" i="37"/>
  <c r="L24" i="37"/>
  <c r="N15" i="38"/>
  <c r="L21" i="38"/>
  <c r="J36" i="40"/>
  <c r="J34" i="40"/>
  <c r="J33" i="40"/>
  <c r="J31" i="40"/>
  <c r="J29" i="40"/>
  <c r="J27" i="40"/>
  <c r="J25" i="40"/>
  <c r="J24" i="40"/>
  <c r="J22" i="40"/>
  <c r="J21" i="40"/>
  <c r="N12" i="40"/>
  <c r="J18" i="40"/>
  <c r="H18" i="40"/>
  <c r="J15" i="40"/>
  <c r="J20" i="40"/>
  <c r="J16" i="40"/>
  <c r="Z15" i="40"/>
  <c r="X21" i="40"/>
  <c r="F36" i="41"/>
  <c r="F34" i="41"/>
  <c r="F33" i="41"/>
  <c r="F31" i="41"/>
  <c r="F29" i="41"/>
  <c r="F27" i="41"/>
  <c r="F25" i="41"/>
  <c r="F24" i="41"/>
  <c r="F22" i="41"/>
  <c r="D18" i="41"/>
  <c r="F15" i="41"/>
  <c r="L12" i="41"/>
  <c r="F21" i="41"/>
  <c r="F18" i="41"/>
  <c r="F20" i="41"/>
  <c r="F16" i="41"/>
  <c r="N34" i="43"/>
  <c r="L25" i="44"/>
  <c r="L13" i="37"/>
  <c r="N21" i="37"/>
  <c r="L25" i="37"/>
  <c r="L29" i="37"/>
  <c r="L33" i="37"/>
  <c r="L34" i="37"/>
  <c r="N16" i="38"/>
  <c r="N20" i="38"/>
  <c r="L22" i="38"/>
  <c r="L24" i="38"/>
  <c r="X24" i="40"/>
  <c r="J24" i="41"/>
  <c r="J22" i="41"/>
  <c r="J21" i="41"/>
  <c r="J20" i="41"/>
  <c r="J18" i="41"/>
  <c r="J16" i="41"/>
  <c r="N12" i="41"/>
  <c r="J34" i="41"/>
  <c r="J31" i="41"/>
  <c r="J27" i="41"/>
  <c r="H18" i="41"/>
  <c r="J15" i="41"/>
  <c r="J36" i="41"/>
  <c r="J33" i="41"/>
  <c r="J29" i="41"/>
  <c r="J25" i="41"/>
  <c r="Z15" i="41"/>
  <c r="X21" i="41"/>
  <c r="X34" i="43"/>
  <c r="N25" i="44"/>
  <c r="N13" i="37"/>
  <c r="N22" i="37"/>
  <c r="N24" i="37"/>
  <c r="L13" i="38"/>
  <c r="N21" i="38"/>
  <c r="L25" i="38"/>
  <c r="L29" i="38"/>
  <c r="L33" i="38"/>
  <c r="L34" i="38"/>
  <c r="Z21" i="40"/>
  <c r="X34" i="40"/>
  <c r="X24" i="41"/>
  <c r="N29" i="44"/>
  <c r="X15" i="37"/>
  <c r="N25" i="37"/>
  <c r="N29" i="37"/>
  <c r="N33" i="37"/>
  <c r="N34" i="37"/>
  <c r="N13" i="38"/>
  <c r="N22" i="38"/>
  <c r="N24" i="38"/>
  <c r="Z12" i="40"/>
  <c r="V36" i="40"/>
  <c r="V34" i="40"/>
  <c r="V33" i="40"/>
  <c r="V31" i="40"/>
  <c r="V29" i="40"/>
  <c r="V27" i="40"/>
  <c r="V25" i="40"/>
  <c r="V21" i="40"/>
  <c r="V24" i="40"/>
  <c r="V18" i="40"/>
  <c r="T18" i="40"/>
  <c r="V15" i="40"/>
  <c r="V22" i="40"/>
  <c r="V20" i="40"/>
  <c r="V16" i="40"/>
  <c r="Z34" i="40"/>
  <c r="X12" i="41"/>
  <c r="R24" i="41"/>
  <c r="R22" i="41"/>
  <c r="R34" i="41"/>
  <c r="R31" i="41"/>
  <c r="R27" i="41"/>
  <c r="R21" i="41"/>
  <c r="R18" i="41"/>
  <c r="P18" i="41"/>
  <c r="R15" i="41"/>
  <c r="R36" i="41"/>
  <c r="R33" i="41"/>
  <c r="R29" i="41"/>
  <c r="R25" i="41"/>
  <c r="R20" i="41"/>
  <c r="R16" i="41"/>
  <c r="Z24" i="41"/>
  <c r="P18" i="40"/>
  <c r="R15" i="40"/>
  <c r="X12" i="40"/>
  <c r="R36" i="40"/>
  <c r="R34" i="40"/>
  <c r="R33" i="40"/>
  <c r="R31" i="40"/>
  <c r="R29" i="40"/>
  <c r="R27" i="40"/>
  <c r="R25" i="40"/>
  <c r="R24" i="40"/>
  <c r="R21" i="40"/>
  <c r="R18" i="40"/>
  <c r="R22" i="40"/>
  <c r="R20" i="40"/>
  <c r="R16" i="40"/>
  <c r="Z22" i="40"/>
  <c r="Z24" i="40"/>
  <c r="Z21" i="41"/>
  <c r="X25" i="41"/>
  <c r="X29" i="41"/>
  <c r="X33" i="41"/>
  <c r="X34" i="41"/>
  <c r="X20" i="43"/>
  <c r="L22" i="43"/>
  <c r="L34" i="44"/>
  <c r="X15" i="46"/>
  <c r="N34" i="46"/>
  <c r="Z15" i="47"/>
  <c r="L29" i="49"/>
  <c r="N15" i="50"/>
  <c r="Z24" i="52"/>
  <c r="L16" i="40"/>
  <c r="L20" i="40"/>
  <c r="V36" i="41"/>
  <c r="V34" i="41"/>
  <c r="V33" i="41"/>
  <c r="V31" i="41"/>
  <c r="V29" i="41"/>
  <c r="V27" i="41"/>
  <c r="V25" i="41"/>
  <c r="V24" i="41"/>
  <c r="V22" i="41"/>
  <c r="V20" i="41"/>
  <c r="V18" i="41"/>
  <c r="V16" i="41"/>
  <c r="V21" i="41"/>
  <c r="T18" i="41"/>
  <c r="V15" i="41"/>
  <c r="Z12" i="41"/>
  <c r="L15" i="41"/>
  <c r="Z25" i="41"/>
  <c r="Z29" i="41"/>
  <c r="Z33" i="41"/>
  <c r="Z34" i="41"/>
  <c r="N13" i="43"/>
  <c r="L16" i="43"/>
  <c r="N22" i="43"/>
  <c r="N34" i="44"/>
  <c r="N20" i="49"/>
  <c r="N15" i="40"/>
  <c r="L21" i="40"/>
  <c r="L16" i="41"/>
  <c r="L20" i="41"/>
  <c r="L21" i="43"/>
  <c r="N33" i="43"/>
  <c r="Z20" i="44"/>
  <c r="X22" i="44"/>
  <c r="N29" i="46"/>
  <c r="J22" i="53"/>
  <c r="J25" i="53"/>
  <c r="J24" i="53"/>
  <c r="J21" i="53"/>
  <c r="J27" i="53"/>
  <c r="J20" i="53"/>
  <c r="J18" i="53"/>
  <c r="J16" i="53"/>
  <c r="J29" i="53"/>
  <c r="H18" i="53"/>
  <c r="J15" i="53"/>
  <c r="J31" i="53"/>
  <c r="J33" i="53"/>
  <c r="J36" i="53"/>
  <c r="J34" i="53"/>
  <c r="N12" i="53"/>
  <c r="N16" i="43"/>
  <c r="N33" i="47"/>
  <c r="N21" i="49"/>
  <c r="N21" i="43"/>
  <c r="L25" i="43"/>
  <c r="X33" i="43"/>
  <c r="X15" i="44"/>
  <c r="L21" i="44"/>
  <c r="Z24" i="47"/>
  <c r="X33" i="49"/>
  <c r="L29" i="50"/>
  <c r="N13" i="40"/>
  <c r="N22" i="40"/>
  <c r="N24" i="40"/>
  <c r="L13" i="41"/>
  <c r="N21" i="41"/>
  <c r="L25" i="41"/>
  <c r="L29" i="41"/>
  <c r="L33" i="41"/>
  <c r="L34" i="41"/>
  <c r="L20" i="43"/>
  <c r="N21" i="44"/>
  <c r="X34" i="49"/>
  <c r="X20" i="50"/>
  <c r="X15" i="40"/>
  <c r="N25" i="40"/>
  <c r="N29" i="40"/>
  <c r="N33" i="40"/>
  <c r="N34" i="40"/>
  <c r="N13" i="41"/>
  <c r="N22" i="41"/>
  <c r="N24" i="41"/>
  <c r="N15" i="43"/>
  <c r="N25" i="43"/>
  <c r="L16" i="44"/>
  <c r="N24" i="44"/>
  <c r="L33" i="44"/>
  <c r="L20" i="46"/>
  <c r="Z34" i="49"/>
  <c r="Z20" i="50"/>
  <c r="X24" i="53"/>
  <c r="F36" i="40"/>
  <c r="F34" i="40"/>
  <c r="F33" i="40"/>
  <c r="F31" i="40"/>
  <c r="F29" i="40"/>
  <c r="F27" i="40"/>
  <c r="F25" i="40"/>
  <c r="F20" i="40"/>
  <c r="F18" i="40"/>
  <c r="F16" i="40"/>
  <c r="D18" i="40"/>
  <c r="F15" i="40"/>
  <c r="L12" i="40"/>
  <c r="F24" i="40"/>
  <c r="F21" i="40"/>
  <c r="F22" i="40"/>
  <c r="X16" i="40"/>
  <c r="X20" i="40"/>
  <c r="X15" i="41"/>
  <c r="N25" i="41"/>
  <c r="N29" i="41"/>
  <c r="N33" i="41"/>
  <c r="N34" i="41"/>
  <c r="L12" i="43"/>
  <c r="F34" i="43"/>
  <c r="F29" i="43"/>
  <c r="D18" i="43"/>
  <c r="F24" i="43"/>
  <c r="F20" i="43"/>
  <c r="F36" i="43"/>
  <c r="F31" i="43"/>
  <c r="F25" i="43"/>
  <c r="F15" i="43"/>
  <c r="F21" i="43"/>
  <c r="F16" i="43"/>
  <c r="F33" i="43"/>
  <c r="F27" i="43"/>
  <c r="F22" i="43"/>
  <c r="F18" i="43"/>
  <c r="X16" i="43"/>
  <c r="N20" i="43"/>
  <c r="L24" i="43"/>
  <c r="L13" i="44"/>
  <c r="X20" i="47"/>
  <c r="X34" i="47"/>
  <c r="R24" i="52"/>
  <c r="R22" i="52"/>
  <c r="R20" i="52"/>
  <c r="R18" i="52"/>
  <c r="R16" i="52"/>
  <c r="P18" i="52"/>
  <c r="R15" i="52"/>
  <c r="R34" i="52"/>
  <c r="R27" i="52"/>
  <c r="R21" i="52"/>
  <c r="R33" i="52"/>
  <c r="R25" i="52"/>
  <c r="X12" i="52"/>
  <c r="R36" i="52"/>
  <c r="R29" i="52"/>
  <c r="R31" i="52"/>
  <c r="Z24" i="53"/>
  <c r="Z21" i="43"/>
  <c r="X25" i="43"/>
  <c r="L29" i="43"/>
  <c r="L34" i="43"/>
  <c r="N13" i="44"/>
  <c r="N16" i="44"/>
  <c r="L20" i="44"/>
  <c r="L29" i="44"/>
  <c r="N33" i="44"/>
  <c r="N25" i="46"/>
  <c r="N33" i="46"/>
  <c r="L22" i="50"/>
  <c r="N24" i="43"/>
  <c r="X25" i="49"/>
  <c r="F36" i="50"/>
  <c r="F34" i="50"/>
  <c r="F33" i="50"/>
  <c r="F31" i="50"/>
  <c r="F29" i="50"/>
  <c r="F27" i="50"/>
  <c r="F25" i="50"/>
  <c r="D18" i="50"/>
  <c r="F15" i="50"/>
  <c r="F20" i="50"/>
  <c r="F24" i="50"/>
  <c r="F16" i="50"/>
  <c r="F18" i="50"/>
  <c r="L12" i="50"/>
  <c r="F22" i="50"/>
  <c r="F21" i="50"/>
  <c r="L33" i="53"/>
  <c r="V21" i="43"/>
  <c r="T18" i="43"/>
  <c r="V15" i="43"/>
  <c r="V36" i="43"/>
  <c r="V24" i="43"/>
  <c r="V22" i="43"/>
  <c r="V31" i="43"/>
  <c r="V25" i="43"/>
  <c r="V16" i="43"/>
  <c r="V33" i="43"/>
  <c r="V27" i="43"/>
  <c r="V18" i="43"/>
  <c r="V34" i="43"/>
  <c r="V29" i="43"/>
  <c r="V20" i="43"/>
  <c r="Z12" i="43"/>
  <c r="L15" i="43"/>
  <c r="Z25" i="43"/>
  <c r="Z29" i="43"/>
  <c r="Z33" i="43"/>
  <c r="Z34" i="43"/>
  <c r="R24" i="44"/>
  <c r="R22" i="44"/>
  <c r="R20" i="44"/>
  <c r="R18" i="44"/>
  <c r="R16" i="44"/>
  <c r="P18" i="44"/>
  <c r="R15" i="44"/>
  <c r="R36" i="44"/>
  <c r="R34" i="44"/>
  <c r="R33" i="44"/>
  <c r="R31" i="44"/>
  <c r="R29" i="44"/>
  <c r="R27" i="44"/>
  <c r="R25" i="44"/>
  <c r="R21" i="44"/>
  <c r="X12" i="44"/>
  <c r="Z22" i="44"/>
  <c r="Z24" i="44"/>
  <c r="R36" i="46"/>
  <c r="R24" i="46"/>
  <c r="R22" i="46"/>
  <c r="R21" i="46"/>
  <c r="R20" i="46"/>
  <c r="R18" i="46"/>
  <c r="R16" i="46"/>
  <c r="P18" i="46"/>
  <c r="R15" i="46"/>
  <c r="R34" i="46"/>
  <c r="R33" i="46"/>
  <c r="R31" i="46"/>
  <c r="R29" i="46"/>
  <c r="R27" i="46"/>
  <c r="R25" i="46"/>
  <c r="X12" i="46"/>
  <c r="Z22" i="46"/>
  <c r="Z24" i="46"/>
  <c r="T18" i="47"/>
  <c r="V15" i="47"/>
  <c r="V29" i="47"/>
  <c r="V31" i="47"/>
  <c r="V18" i="47"/>
  <c r="V34" i="47"/>
  <c r="V22" i="47"/>
  <c r="V21" i="47"/>
  <c r="V20" i="47"/>
  <c r="V24" i="47"/>
  <c r="V27" i="47"/>
  <c r="V25" i="47"/>
  <c r="Z12" i="47"/>
  <c r="V33" i="47"/>
  <c r="V16" i="47"/>
  <c r="V36" i="47"/>
  <c r="L33" i="47"/>
  <c r="N34" i="47"/>
  <c r="L25" i="49"/>
  <c r="X16" i="50"/>
  <c r="N20" i="50"/>
  <c r="X24" i="50"/>
  <c r="Z22" i="52"/>
  <c r="V20" i="44"/>
  <c r="V18" i="44"/>
  <c r="V16" i="44"/>
  <c r="V24" i="44"/>
  <c r="V22" i="44"/>
  <c r="V21" i="44"/>
  <c r="V33" i="44"/>
  <c r="V36" i="44"/>
  <c r="T18" i="44"/>
  <c r="V27" i="44"/>
  <c r="V15" i="44"/>
  <c r="Z12" i="44"/>
  <c r="V31" i="44"/>
  <c r="V34" i="44"/>
  <c r="V25" i="44"/>
  <c r="V29" i="44"/>
  <c r="L15" i="44"/>
  <c r="Z25" i="44"/>
  <c r="Z29" i="44"/>
  <c r="Z33" i="44"/>
  <c r="Z34" i="44"/>
  <c r="V20" i="46"/>
  <c r="V18" i="46"/>
  <c r="V16" i="46"/>
  <c r="T18" i="46"/>
  <c r="V15" i="46"/>
  <c r="V36" i="46"/>
  <c r="V24" i="46"/>
  <c r="V22" i="46"/>
  <c r="V21" i="46"/>
  <c r="V33" i="46"/>
  <c r="V25" i="46"/>
  <c r="Z12" i="46"/>
  <c r="V31" i="46"/>
  <c r="V29" i="46"/>
  <c r="V34" i="46"/>
  <c r="V27" i="46"/>
  <c r="L15" i="46"/>
  <c r="Z25" i="46"/>
  <c r="Z29" i="46"/>
  <c r="Z33" i="46"/>
  <c r="Z34" i="46"/>
  <c r="N15" i="47"/>
  <c r="N16" i="47"/>
  <c r="X25" i="47"/>
  <c r="T18" i="49"/>
  <c r="V15" i="49"/>
  <c r="Z12" i="49"/>
  <c r="V21" i="49"/>
  <c r="V36" i="49"/>
  <c r="V20" i="49"/>
  <c r="V33" i="49"/>
  <c r="V24" i="49"/>
  <c r="V16" i="49"/>
  <c r="V25" i="49"/>
  <c r="V34" i="49"/>
  <c r="V18" i="49"/>
  <c r="V27" i="49"/>
  <c r="V22" i="49"/>
  <c r="V31" i="49"/>
  <c r="V29" i="49"/>
  <c r="Z15" i="49"/>
  <c r="L15" i="50"/>
  <c r="Z16" i="50"/>
  <c r="Z24" i="50"/>
  <c r="Z33" i="50"/>
  <c r="L22" i="44"/>
  <c r="L24" i="44"/>
  <c r="N16" i="46"/>
  <c r="N20" i="46"/>
  <c r="L22" i="46"/>
  <c r="L24" i="46"/>
  <c r="L13" i="47"/>
  <c r="Z21" i="47"/>
  <c r="Z22" i="47"/>
  <c r="L29" i="47"/>
  <c r="L13" i="49"/>
  <c r="L16" i="49"/>
  <c r="L24" i="49"/>
  <c r="Z25" i="49"/>
  <c r="L33" i="49"/>
  <c r="L34" i="50"/>
  <c r="L20" i="52"/>
  <c r="V29" i="53"/>
  <c r="T18" i="53"/>
  <c r="V15" i="53"/>
  <c r="V33" i="53"/>
  <c r="V34" i="53"/>
  <c r="V36" i="53"/>
  <c r="Z12" i="53"/>
  <c r="V25" i="53"/>
  <c r="V24" i="53"/>
  <c r="V21" i="53"/>
  <c r="V27" i="53"/>
  <c r="V20" i="53"/>
  <c r="V22" i="53"/>
  <c r="V16" i="53"/>
  <c r="V31" i="53"/>
  <c r="V18" i="53"/>
  <c r="N33" i="53"/>
  <c r="L13" i="46"/>
  <c r="N21" i="46"/>
  <c r="L25" i="46"/>
  <c r="L29" i="46"/>
  <c r="L33" i="46"/>
  <c r="L34" i="46"/>
  <c r="N13" i="47"/>
  <c r="X15" i="47"/>
  <c r="X16" i="47"/>
  <c r="X33" i="47"/>
  <c r="N13" i="49"/>
  <c r="N16" i="49"/>
  <c r="X21" i="49"/>
  <c r="X29" i="49"/>
  <c r="R20" i="50"/>
  <c r="R18" i="50"/>
  <c r="R16" i="50"/>
  <c r="X12" i="50"/>
  <c r="R24" i="50"/>
  <c r="R22" i="50"/>
  <c r="R29" i="50"/>
  <c r="R21" i="50"/>
  <c r="R25" i="50"/>
  <c r="R31" i="50"/>
  <c r="R15" i="50"/>
  <c r="R33" i="50"/>
  <c r="P18" i="50"/>
  <c r="R27" i="50"/>
  <c r="R36" i="50"/>
  <c r="R34" i="50"/>
  <c r="X22" i="50"/>
  <c r="L25" i="50"/>
  <c r="Z13" i="52"/>
  <c r="Z20" i="52"/>
  <c r="X13" i="53"/>
  <c r="X25" i="53"/>
  <c r="N13" i="46"/>
  <c r="N22" i="46"/>
  <c r="N24" i="46"/>
  <c r="N29" i="47"/>
  <c r="X13" i="49"/>
  <c r="L20" i="49"/>
  <c r="Z21" i="49"/>
  <c r="N24" i="49"/>
  <c r="Z29" i="49"/>
  <c r="V36" i="50"/>
  <c r="V34" i="50"/>
  <c r="V33" i="50"/>
  <c r="V31" i="50"/>
  <c r="V29" i="50"/>
  <c r="V27" i="50"/>
  <c r="V25" i="50"/>
  <c r="V20" i="50"/>
  <c r="V18" i="50"/>
  <c r="V16" i="50"/>
  <c r="V21" i="50"/>
  <c r="T18" i="50"/>
  <c r="V15" i="50"/>
  <c r="V24" i="50"/>
  <c r="V22" i="50"/>
  <c r="Z12" i="50"/>
  <c r="L21" i="50"/>
  <c r="Z22" i="50"/>
  <c r="Z25" i="53"/>
  <c r="L15" i="53"/>
  <c r="J20" i="43"/>
  <c r="N12" i="43"/>
  <c r="J36" i="43"/>
  <c r="J31" i="43"/>
  <c r="J25" i="43"/>
  <c r="J15" i="43"/>
  <c r="J21" i="43"/>
  <c r="J16" i="43"/>
  <c r="J33" i="43"/>
  <c r="J27" i="43"/>
  <c r="J22" i="43"/>
  <c r="J34" i="43"/>
  <c r="J29" i="43"/>
  <c r="H18" i="43"/>
  <c r="J18" i="43"/>
  <c r="J24" i="43"/>
  <c r="X13" i="43"/>
  <c r="Z15" i="43"/>
  <c r="X21" i="43"/>
  <c r="F21" i="44"/>
  <c r="F29" i="44"/>
  <c r="F20" i="44"/>
  <c r="F33" i="44"/>
  <c r="F16" i="44"/>
  <c r="F36" i="44"/>
  <c r="F24" i="44"/>
  <c r="F27" i="44"/>
  <c r="L12" i="44"/>
  <c r="F31" i="44"/>
  <c r="F18" i="44"/>
  <c r="D18" i="44"/>
  <c r="F25" i="44"/>
  <c r="F22" i="44"/>
  <c r="F15" i="44"/>
  <c r="F34" i="44"/>
  <c r="X16" i="44"/>
  <c r="X20" i="44"/>
  <c r="L12" i="46"/>
  <c r="F36" i="46"/>
  <c r="F34" i="46"/>
  <c r="F33" i="46"/>
  <c r="F31" i="46"/>
  <c r="F29" i="46"/>
  <c r="F27" i="46"/>
  <c r="F25" i="46"/>
  <c r="F24" i="46"/>
  <c r="F22" i="46"/>
  <c r="F21" i="46"/>
  <c r="F15" i="46"/>
  <c r="F20" i="46"/>
  <c r="F18" i="46"/>
  <c r="D18" i="46"/>
  <c r="F16" i="46"/>
  <c r="X16" i="46"/>
  <c r="X20" i="46"/>
  <c r="L12" i="47"/>
  <c r="F34" i="47"/>
  <c r="F18" i="47"/>
  <c r="F22" i="47"/>
  <c r="F21" i="47"/>
  <c r="F20" i="47"/>
  <c r="D18" i="47"/>
  <c r="F36" i="47"/>
  <c r="F25" i="47"/>
  <c r="F24" i="47"/>
  <c r="F29" i="47"/>
  <c r="F33" i="47"/>
  <c r="F16" i="47"/>
  <c r="F15" i="47"/>
  <c r="F27" i="47"/>
  <c r="F31" i="47"/>
  <c r="X13" i="47"/>
  <c r="L24" i="47"/>
  <c r="L25" i="47"/>
  <c r="L15" i="49"/>
  <c r="Z33" i="49"/>
  <c r="N21" i="50"/>
  <c r="Z34" i="50"/>
  <c r="Z15" i="53"/>
  <c r="X21" i="53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16" i="44"/>
  <c r="J24" i="44"/>
  <c r="J21" i="44"/>
  <c r="J18" i="44"/>
  <c r="H18" i="44"/>
  <c r="J22" i="44"/>
  <c r="J15" i="44"/>
  <c r="J20" i="44"/>
  <c r="X13" i="44"/>
  <c r="Z15" i="44"/>
  <c r="X21" i="44"/>
  <c r="N12" i="46"/>
  <c r="J36" i="46"/>
  <c r="J34" i="46"/>
  <c r="J33" i="46"/>
  <c r="J31" i="46"/>
  <c r="J29" i="46"/>
  <c r="J27" i="46"/>
  <c r="J25" i="46"/>
  <c r="J21" i="46"/>
  <c r="J20" i="46"/>
  <c r="J18" i="46"/>
  <c r="J16" i="46"/>
  <c r="H18" i="46"/>
  <c r="J15" i="46"/>
  <c r="J24" i="46"/>
  <c r="J22" i="46"/>
  <c r="X13" i="46"/>
  <c r="Z15" i="46"/>
  <c r="X21" i="46"/>
  <c r="J36" i="47"/>
  <c r="J25" i="47"/>
  <c r="J24" i="47"/>
  <c r="N12" i="47"/>
  <c r="J27" i="47"/>
  <c r="J31" i="47"/>
  <c r="J34" i="47"/>
  <c r="J18" i="47"/>
  <c r="J22" i="47"/>
  <c r="J21" i="47"/>
  <c r="J20" i="47"/>
  <c r="H18" i="47"/>
  <c r="J15" i="47"/>
  <c r="J33" i="47"/>
  <c r="J29" i="47"/>
  <c r="J16" i="47"/>
  <c r="L20" i="47"/>
  <c r="L21" i="47"/>
  <c r="L22" i="47"/>
  <c r="X29" i="47"/>
  <c r="L22" i="49"/>
  <c r="L13" i="50"/>
  <c r="L24" i="50"/>
  <c r="Z25" i="50"/>
  <c r="L33" i="50"/>
  <c r="Z21" i="53"/>
  <c r="X24" i="44"/>
  <c r="Z13" i="46"/>
  <c r="Z16" i="46"/>
  <c r="Z20" i="46"/>
  <c r="X22" i="46"/>
  <c r="X24" i="46"/>
  <c r="N24" i="47"/>
  <c r="N25" i="47"/>
  <c r="L34" i="47"/>
  <c r="N16" i="50"/>
  <c r="L16" i="52"/>
  <c r="L29" i="53"/>
  <c r="R36" i="43"/>
  <c r="R34" i="43"/>
  <c r="R33" i="43"/>
  <c r="R31" i="43"/>
  <c r="R29" i="43"/>
  <c r="R27" i="43"/>
  <c r="R25" i="43"/>
  <c r="R21" i="43"/>
  <c r="R20" i="43"/>
  <c r="R18" i="43"/>
  <c r="R16" i="43"/>
  <c r="X12" i="43"/>
  <c r="R22" i="43"/>
  <c r="P18" i="43"/>
  <c r="R15" i="43"/>
  <c r="R24" i="43"/>
  <c r="Z22" i="43"/>
  <c r="Z24" i="43"/>
  <c r="Z21" i="44"/>
  <c r="X25" i="44"/>
  <c r="X29" i="44"/>
  <c r="X33" i="44"/>
  <c r="X34" i="44"/>
  <c r="Z21" i="46"/>
  <c r="X25" i="46"/>
  <c r="X29" i="46"/>
  <c r="X33" i="46"/>
  <c r="X34" i="46"/>
  <c r="R21" i="47"/>
  <c r="R29" i="47"/>
  <c r="R31" i="47"/>
  <c r="R33" i="47"/>
  <c r="R16" i="47"/>
  <c r="R15" i="47"/>
  <c r="R18" i="47"/>
  <c r="R34" i="47"/>
  <c r="R20" i="47"/>
  <c r="P18" i="47"/>
  <c r="X12" i="47"/>
  <c r="R27" i="47"/>
  <c r="R36" i="47"/>
  <c r="R25" i="47"/>
  <c r="R24" i="47"/>
  <c r="R22" i="47"/>
  <c r="L15" i="47"/>
  <c r="L16" i="47"/>
  <c r="N20" i="47"/>
  <c r="N21" i="47"/>
  <c r="N22" i="47"/>
  <c r="J36" i="49"/>
  <c r="J34" i="49"/>
  <c r="J33" i="49"/>
  <c r="J31" i="49"/>
  <c r="J29" i="49"/>
  <c r="J27" i="49"/>
  <c r="J25" i="49"/>
  <c r="J24" i="49"/>
  <c r="J22" i="49"/>
  <c r="J15" i="49"/>
  <c r="J20" i="49"/>
  <c r="J16" i="49"/>
  <c r="J21" i="49"/>
  <c r="J18" i="49"/>
  <c r="H18" i="49"/>
  <c r="N12" i="49"/>
  <c r="N22" i="49"/>
  <c r="L34" i="49"/>
  <c r="Z13" i="50"/>
  <c r="Z29" i="50"/>
  <c r="Z16" i="52"/>
  <c r="X22" i="52"/>
  <c r="Z29" i="53"/>
  <c r="Z13" i="47"/>
  <c r="Z16" i="47"/>
  <c r="Z20" i="47"/>
  <c r="X22" i="47"/>
  <c r="X24" i="47"/>
  <c r="R21" i="49"/>
  <c r="P18" i="49"/>
  <c r="R15" i="49"/>
  <c r="R36" i="49"/>
  <c r="R34" i="49"/>
  <c r="R33" i="49"/>
  <c r="R31" i="49"/>
  <c r="R29" i="49"/>
  <c r="R27" i="49"/>
  <c r="R25" i="49"/>
  <c r="R20" i="49"/>
  <c r="R24" i="49"/>
  <c r="R16" i="49"/>
  <c r="R22" i="49"/>
  <c r="X12" i="49"/>
  <c r="R18" i="49"/>
  <c r="Z22" i="49"/>
  <c r="Z24" i="49"/>
  <c r="Z21" i="50"/>
  <c r="X25" i="50"/>
  <c r="X29" i="50"/>
  <c r="X33" i="50"/>
  <c r="X34" i="50"/>
  <c r="V20" i="52"/>
  <c r="V18" i="52"/>
  <c r="V16" i="52"/>
  <c r="Z12" i="52"/>
  <c r="V24" i="52"/>
  <c r="V22" i="52"/>
  <c r="V34" i="52"/>
  <c r="V27" i="52"/>
  <c r="V21" i="52"/>
  <c r="V15" i="52"/>
  <c r="V33" i="52"/>
  <c r="V25" i="52"/>
  <c r="V31" i="52"/>
  <c r="V36" i="52"/>
  <c r="V29" i="52"/>
  <c r="T18" i="52"/>
  <c r="L15" i="52"/>
  <c r="Z25" i="52"/>
  <c r="Z29" i="52"/>
  <c r="Z33" i="52"/>
  <c r="Z34" i="52"/>
  <c r="R25" i="53"/>
  <c r="R24" i="53"/>
  <c r="R21" i="53"/>
  <c r="R29" i="53"/>
  <c r="P18" i="53"/>
  <c r="R15" i="53"/>
  <c r="R31" i="53"/>
  <c r="R33" i="53"/>
  <c r="R34" i="53"/>
  <c r="R36" i="53"/>
  <c r="X12" i="53"/>
  <c r="R16" i="53"/>
  <c r="R27" i="53"/>
  <c r="R20" i="53"/>
  <c r="R22" i="53"/>
  <c r="R18" i="53"/>
  <c r="Z22" i="53"/>
  <c r="N34" i="53"/>
  <c r="N15" i="52"/>
  <c r="L21" i="52"/>
  <c r="L16" i="53"/>
  <c r="L20" i="53"/>
  <c r="Z25" i="47"/>
  <c r="Z29" i="47"/>
  <c r="Z33" i="47"/>
  <c r="Z34" i="47"/>
  <c r="N15" i="49"/>
  <c r="L21" i="49"/>
  <c r="L16" i="50"/>
  <c r="L20" i="50"/>
  <c r="N16" i="52"/>
  <c r="N20" i="52"/>
  <c r="L22" i="52"/>
  <c r="L24" i="52"/>
  <c r="N15" i="53"/>
  <c r="L21" i="53"/>
  <c r="L24" i="53"/>
  <c r="L25" i="53"/>
  <c r="N29" i="53"/>
  <c r="L13" i="52"/>
  <c r="N21" i="52"/>
  <c r="L25" i="52"/>
  <c r="L29" i="52"/>
  <c r="L33" i="52"/>
  <c r="L34" i="52"/>
  <c r="N16" i="53"/>
  <c r="N20" i="53"/>
  <c r="L22" i="53"/>
  <c r="X34" i="53"/>
  <c r="N13" i="52"/>
  <c r="N22" i="52"/>
  <c r="N24" i="52"/>
  <c r="L13" i="53"/>
  <c r="N21" i="53"/>
  <c r="N24" i="53"/>
  <c r="N25" i="53"/>
  <c r="X33" i="53"/>
  <c r="X15" i="52"/>
  <c r="N25" i="52"/>
  <c r="N29" i="52"/>
  <c r="N33" i="52"/>
  <c r="N34" i="52"/>
  <c r="N13" i="53"/>
  <c r="N22" i="53"/>
  <c r="Z34" i="53"/>
  <c r="X15" i="49"/>
  <c r="N25" i="49"/>
  <c r="N29" i="49"/>
  <c r="N33" i="49"/>
  <c r="N34" i="49"/>
  <c r="N13" i="50"/>
  <c r="N22" i="50"/>
  <c r="N24" i="50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F15" i="52"/>
  <c r="D18" i="52"/>
  <c r="L12" i="52"/>
  <c r="X16" i="52"/>
  <c r="X20" i="52"/>
  <c r="X15" i="53"/>
  <c r="X29" i="53"/>
  <c r="Z33" i="53"/>
  <c r="L12" i="49"/>
  <c r="F20" i="49"/>
  <c r="F18" i="49"/>
  <c r="F16" i="49"/>
  <c r="D18" i="49"/>
  <c r="F31" i="49"/>
  <c r="F22" i="49"/>
  <c r="F15" i="49"/>
  <c r="F27" i="49"/>
  <c r="F33" i="49"/>
  <c r="F24" i="49"/>
  <c r="F25" i="49"/>
  <c r="F34" i="49"/>
  <c r="F36" i="49"/>
  <c r="F21" i="49"/>
  <c r="F29" i="49"/>
  <c r="X16" i="49"/>
  <c r="X20" i="49"/>
  <c r="X15" i="50"/>
  <c r="N25" i="50"/>
  <c r="N29" i="50"/>
  <c r="N33" i="50"/>
  <c r="N34" i="50"/>
  <c r="N12" i="52"/>
  <c r="J36" i="52"/>
  <c r="J34" i="52"/>
  <c r="J33" i="52"/>
  <c r="J31" i="52"/>
  <c r="J29" i="52"/>
  <c r="J27" i="52"/>
  <c r="J25" i="52"/>
  <c r="J24" i="52"/>
  <c r="J22" i="52"/>
  <c r="J21" i="52"/>
  <c r="J20" i="52"/>
  <c r="J18" i="52"/>
  <c r="J16" i="52"/>
  <c r="H18" i="52"/>
  <c r="J15" i="52"/>
  <c r="X13" i="52"/>
  <c r="Z15" i="52"/>
  <c r="X21" i="52"/>
  <c r="F36" i="53"/>
  <c r="L12" i="53"/>
  <c r="F22" i="53"/>
  <c r="F25" i="53"/>
  <c r="F24" i="53"/>
  <c r="F21" i="53"/>
  <c r="F27" i="53"/>
  <c r="F20" i="53"/>
  <c r="F18" i="53"/>
  <c r="F16" i="53"/>
  <c r="F29" i="53"/>
  <c r="D18" i="53"/>
  <c r="F15" i="53"/>
  <c r="F33" i="53"/>
  <c r="F34" i="53"/>
  <c r="F31" i="53"/>
  <c r="X16" i="53"/>
  <c r="X20" i="53"/>
  <c r="Z13" i="49"/>
  <c r="Z16" i="49"/>
  <c r="Z20" i="49"/>
  <c r="X22" i="49"/>
  <c r="X24" i="49"/>
  <c r="J24" i="50"/>
  <c r="J22" i="50"/>
  <c r="J21" i="50"/>
  <c r="N12" i="50"/>
  <c r="J16" i="50"/>
  <c r="J33" i="50"/>
  <c r="J29" i="50"/>
  <c r="J25" i="50"/>
  <c r="J18" i="50"/>
  <c r="J34" i="50"/>
  <c r="H18" i="50"/>
  <c r="J27" i="50"/>
  <c r="J20" i="50"/>
  <c r="J36" i="50"/>
  <c r="J31" i="50"/>
  <c r="J15" i="50"/>
  <c r="X13" i="50"/>
  <c r="Z15" i="50"/>
  <c r="X21" i="50"/>
  <c r="Z21" i="52"/>
  <c r="X25" i="52"/>
  <c r="X29" i="52"/>
  <c r="X33" i="52"/>
  <c r="X34" i="52"/>
  <c r="Z13" i="53"/>
  <c r="Z16" i="53"/>
  <c r="Z20" i="53"/>
  <c r="X22" i="53"/>
  <c r="L34" i="53"/>
  <c r="N29" i="111"/>
  <c r="L13" i="112"/>
  <c r="L33" i="112"/>
  <c r="N21" i="112"/>
  <c r="N20" i="111"/>
  <c r="L21" i="113"/>
  <c r="L34" i="112"/>
  <c r="L22" i="111"/>
  <c r="L16" i="112"/>
  <c r="N33" i="111"/>
  <c r="L25" i="112"/>
  <c r="L24" i="111"/>
  <c r="X15" i="111"/>
  <c r="N34" i="111"/>
  <c r="N16" i="111"/>
  <c r="L20" i="112"/>
  <c r="N15" i="113"/>
  <c r="N25" i="111"/>
  <c r="L29" i="112"/>
  <c r="Z21" i="111"/>
  <c r="X25" i="111"/>
  <c r="X29" i="111"/>
  <c r="X33" i="111"/>
  <c r="X34" i="111"/>
  <c r="J36" i="112"/>
  <c r="J34" i="112"/>
  <c r="J33" i="112"/>
  <c r="J31" i="112"/>
  <c r="J29" i="112"/>
  <c r="J27" i="112"/>
  <c r="J25" i="112"/>
  <c r="J24" i="112"/>
  <c r="J22" i="112"/>
  <c r="J21" i="112"/>
  <c r="H18" i="112"/>
  <c r="J15" i="112"/>
  <c r="N12" i="112"/>
  <c r="J20" i="112"/>
  <c r="J18" i="112"/>
  <c r="J16" i="112"/>
  <c r="X13" i="112"/>
  <c r="Z15" i="112"/>
  <c r="X21" i="112"/>
  <c r="X15" i="113"/>
  <c r="N25" i="113"/>
  <c r="N29" i="113"/>
  <c r="N33" i="113"/>
  <c r="N34" i="113"/>
  <c r="R21" i="111"/>
  <c r="R20" i="111"/>
  <c r="R18" i="111"/>
  <c r="R16" i="111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Z22" i="111"/>
  <c r="Z24" i="111"/>
  <c r="Z13" i="112"/>
  <c r="Z16" i="112"/>
  <c r="Z20" i="112"/>
  <c r="X22" i="112"/>
  <c r="X24" i="112"/>
  <c r="F36" i="113"/>
  <c r="F34" i="113"/>
  <c r="F33" i="113"/>
  <c r="F31" i="113"/>
  <c r="F29" i="113"/>
  <c r="F27" i="113"/>
  <c r="F25" i="113"/>
  <c r="F24" i="113"/>
  <c r="F22" i="113"/>
  <c r="F21" i="113"/>
  <c r="D18" i="113"/>
  <c r="F15" i="113"/>
  <c r="L12" i="113"/>
  <c r="F18" i="113"/>
  <c r="F16" i="113"/>
  <c r="F20" i="113"/>
  <c r="X16" i="113"/>
  <c r="X20" i="113"/>
  <c r="T18" i="111"/>
  <c r="V15" i="111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N12" i="113"/>
  <c r="J36" i="113"/>
  <c r="J34" i="113"/>
  <c r="J33" i="113"/>
  <c r="J31" i="113"/>
  <c r="J29" i="113"/>
  <c r="J27" i="113"/>
  <c r="J25" i="113"/>
  <c r="J24" i="113"/>
  <c r="J22" i="113"/>
  <c r="X13" i="113"/>
  <c r="Z15" i="113"/>
  <c r="X21" i="113"/>
  <c r="L16" i="111"/>
  <c r="L20" i="111"/>
  <c r="P18" i="112"/>
  <c r="R15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X12" i="112"/>
  <c r="Z22" i="112"/>
  <c r="Z24" i="112"/>
  <c r="Z13" i="113"/>
  <c r="Z16" i="113"/>
  <c r="Z20" i="113"/>
  <c r="X22" i="113"/>
  <c r="X24" i="113"/>
  <c r="N15" i="111"/>
  <c r="L21" i="111"/>
  <c r="Z12" i="112"/>
  <c r="V36" i="112"/>
  <c r="V24" i="112"/>
  <c r="V22" i="112"/>
  <c r="V21" i="112"/>
  <c r="V20" i="112"/>
  <c r="V18" i="112"/>
  <c r="V16" i="112"/>
  <c r="T18" i="112"/>
  <c r="V15" i="112"/>
  <c r="V29" i="112"/>
  <c r="V27" i="112"/>
  <c r="V25" i="112"/>
  <c r="V34" i="112"/>
  <c r="V33" i="112"/>
  <c r="V31" i="112"/>
  <c r="L15" i="112"/>
  <c r="Z25" i="112"/>
  <c r="Z29" i="112"/>
  <c r="Z33" i="112"/>
  <c r="Z34" i="112"/>
  <c r="Z21" i="113"/>
  <c r="X25" i="113"/>
  <c r="X29" i="113"/>
  <c r="X33" i="113"/>
  <c r="X34" i="113"/>
  <c r="X12" i="113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P18" i="113"/>
  <c r="R15" i="113"/>
  <c r="Z22" i="113"/>
  <c r="Z24" i="113"/>
  <c r="L13" i="111"/>
  <c r="N21" i="111"/>
  <c r="L25" i="111"/>
  <c r="L29" i="111"/>
  <c r="L33" i="111"/>
  <c r="L34" i="111"/>
  <c r="N15" i="112"/>
  <c r="L21" i="112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Z12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L12" i="111"/>
  <c r="F36" i="111"/>
  <c r="F34" i="111"/>
  <c r="F33" i="111"/>
  <c r="F31" i="111"/>
  <c r="F29" i="111"/>
  <c r="F27" i="111"/>
  <c r="F25" i="111"/>
  <c r="F24" i="111"/>
  <c r="F22" i="111"/>
  <c r="F20" i="111"/>
  <c r="F18" i="111"/>
  <c r="F16" i="111"/>
  <c r="D18" i="111"/>
  <c r="F15" i="111"/>
  <c r="F21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1" i="111"/>
  <c r="J20" i="111"/>
  <c r="J18" i="111"/>
  <c r="J16" i="111"/>
  <c r="N12" i="111"/>
  <c r="H18" i="111"/>
  <c r="J24" i="111"/>
  <c r="J15" i="111"/>
  <c r="J2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1" i="112"/>
  <c r="F20" i="112"/>
  <c r="F18" i="112"/>
  <c r="F16" i="112"/>
  <c r="L12" i="112"/>
  <c r="D18" i="112"/>
  <c r="F24" i="112"/>
  <c r="F15" i="112"/>
  <c r="F22" i="112"/>
  <c r="X16" i="112"/>
  <c r="X20" i="112"/>
  <c r="N13" i="113"/>
  <c r="N22" i="113"/>
  <c r="N24" i="113"/>
  <c r="V306" i="3"/>
  <c r="V288" i="3"/>
  <c r="V280" i="3"/>
  <c r="V276" i="3"/>
  <c r="V264" i="3"/>
  <c r="V248" i="3"/>
  <c r="V240" i="3"/>
  <c r="V224" i="3"/>
  <c r="V216" i="3"/>
  <c r="V212" i="3"/>
  <c r="Z12" i="3"/>
  <c r="V305" i="3"/>
  <c r="V287" i="3"/>
  <c r="V271" i="3"/>
  <c r="V259" i="3"/>
  <c r="V251" i="3"/>
  <c r="V231" i="3"/>
  <c r="V223" i="3"/>
  <c r="V207" i="3"/>
  <c r="V203" i="3"/>
  <c r="V317" i="3"/>
  <c r="V316" i="3"/>
  <c r="V312" i="3"/>
  <c r="V304" i="3"/>
  <c r="V270" i="3"/>
  <c r="V266" i="3"/>
  <c r="V250" i="3"/>
  <c r="V242" i="3"/>
  <c r="V226" i="3"/>
  <c r="V194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42" i="3"/>
  <c r="V138" i="3"/>
  <c r="V303" i="3"/>
  <c r="V289" i="3"/>
  <c r="V281" i="3"/>
  <c r="V277" i="3"/>
  <c r="V261" i="3"/>
  <c r="V253" i="3"/>
  <c r="V241" i="3"/>
  <c r="V233" i="3"/>
  <c r="V225" i="3"/>
  <c r="V217" i="3"/>
  <c r="V213" i="3"/>
  <c r="V302" i="3"/>
  <c r="V272" i="3"/>
  <c r="V260" i="3"/>
  <c r="V252" i="3"/>
  <c r="V232" i="3"/>
  <c r="V208" i="3"/>
  <c r="V204" i="3"/>
  <c r="V301" i="3"/>
  <c r="V283" i="3"/>
  <c r="V267" i="3"/>
  <c r="V255" i="3"/>
  <c r="V243" i="3"/>
  <c r="V235" i="3"/>
  <c r="V227" i="3"/>
  <c r="V219" i="3"/>
  <c r="V195" i="3"/>
  <c r="V191" i="3"/>
  <c r="V187" i="3"/>
  <c r="V183" i="3"/>
  <c r="V179" i="3"/>
  <c r="V175" i="3"/>
  <c r="V171" i="3"/>
  <c r="V167" i="3"/>
  <c r="V163" i="3"/>
  <c r="V159" i="3"/>
  <c r="V155" i="3"/>
  <c r="V151" i="3"/>
  <c r="V147" i="3"/>
  <c r="V143" i="3"/>
  <c r="V139" i="3"/>
  <c r="V300" i="3"/>
  <c r="V290" i="3"/>
  <c r="V282" i="3"/>
  <c r="V278" i="3"/>
  <c r="V274" i="3"/>
  <c r="V262" i="3"/>
  <c r="V254" i="3"/>
  <c r="V234" i="3"/>
  <c r="V218" i="3"/>
  <c r="V214" i="3"/>
  <c r="V299" i="3"/>
  <c r="V273" i="3"/>
  <c r="V257" i="3"/>
  <c r="V245" i="3"/>
  <c r="V237" i="3"/>
  <c r="V221" i="3"/>
  <c r="V209" i="3"/>
  <c r="V205" i="3"/>
  <c r="V201" i="3"/>
  <c r="V298" i="3"/>
  <c r="V292" i="3"/>
  <c r="V284" i="3"/>
  <c r="V268" i="3"/>
  <c r="V256" i="3"/>
  <c r="V244" i="3"/>
  <c r="V236" i="3"/>
  <c r="V228" i="3"/>
  <c r="V220" i="3"/>
  <c r="V200" i="3"/>
  <c r="V196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297" i="3"/>
  <c r="V291" i="3"/>
  <c r="V279" i="3"/>
  <c r="V275" i="3"/>
  <c r="V263" i="3"/>
  <c r="V247" i="3"/>
  <c r="V239" i="3"/>
  <c r="V215" i="3"/>
  <c r="V211" i="3"/>
  <c r="T198" i="3"/>
  <c r="V308" i="3"/>
  <c r="V296" i="3"/>
  <c r="V286" i="3"/>
  <c r="V258" i="3"/>
  <c r="V246" i="3"/>
  <c r="V238" i="3"/>
  <c r="V230" i="3"/>
  <c r="V222" i="3"/>
  <c r="V210" i="3"/>
  <c r="V206" i="3"/>
  <c r="V202" i="3"/>
  <c r="V307" i="3"/>
  <c r="V295" i="3"/>
  <c r="V293" i="3"/>
  <c r="V285" i="3"/>
  <c r="V269" i="3"/>
  <c r="V265" i="3"/>
  <c r="V249" i="3"/>
  <c r="V229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N17" i="3"/>
  <c r="N200" i="3"/>
  <c r="N271" i="3"/>
  <c r="N304" i="3"/>
  <c r="N317" i="3"/>
  <c r="Z274" i="3"/>
  <c r="N89" i="12"/>
  <c r="Z29" i="3"/>
  <c r="N133" i="3"/>
  <c r="Z28" i="6"/>
  <c r="R308" i="3"/>
  <c r="R296" i="3"/>
  <c r="R293" i="3"/>
  <c r="R286" i="3"/>
  <c r="R285" i="3"/>
  <c r="R269" i="3"/>
  <c r="R230" i="3"/>
  <c r="R229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307" i="3"/>
  <c r="R295" i="3"/>
  <c r="R280" i="3"/>
  <c r="R276" i="3"/>
  <c r="R265" i="3"/>
  <c r="R264" i="3"/>
  <c r="R249" i="3"/>
  <c r="R248" i="3"/>
  <c r="R240" i="3"/>
  <c r="R216" i="3"/>
  <c r="R212" i="3"/>
  <c r="R137" i="3"/>
  <c r="X12" i="3"/>
  <c r="R306" i="3"/>
  <c r="R288" i="3"/>
  <c r="R287" i="3"/>
  <c r="R259" i="3"/>
  <c r="R231" i="3"/>
  <c r="R224" i="3"/>
  <c r="R223" i="3"/>
  <c r="R207" i="3"/>
  <c r="R203" i="3"/>
  <c r="R312" i="3"/>
  <c r="R305" i="3"/>
  <c r="R271" i="3"/>
  <c r="R270" i="3"/>
  <c r="R266" i="3"/>
  <c r="R251" i="3"/>
  <c r="R250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317" i="3"/>
  <c r="R316" i="3"/>
  <c r="R304" i="3"/>
  <c r="R289" i="3"/>
  <c r="R281" i="3"/>
  <c r="R277" i="3"/>
  <c r="R242" i="3"/>
  <c r="R241" i="3"/>
  <c r="R226" i="3"/>
  <c r="R225" i="3"/>
  <c r="R217" i="3"/>
  <c r="R213" i="3"/>
  <c r="R303" i="3"/>
  <c r="R272" i="3"/>
  <c r="R261" i="3"/>
  <c r="R260" i="3"/>
  <c r="R253" i="3"/>
  <c r="R252" i="3"/>
  <c r="R233" i="3"/>
  <c r="R232" i="3"/>
  <c r="R208" i="3"/>
  <c r="R204" i="3"/>
  <c r="R302" i="3"/>
  <c r="R267" i="3"/>
  <c r="R243" i="3"/>
  <c r="R227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301" i="3"/>
  <c r="R290" i="3"/>
  <c r="R283" i="3"/>
  <c r="R282" i="3"/>
  <c r="R278" i="3"/>
  <c r="R262" i="3"/>
  <c r="R255" i="3"/>
  <c r="R254" i="3"/>
  <c r="R235" i="3"/>
  <c r="R234" i="3"/>
  <c r="R219" i="3"/>
  <c r="R218" i="3"/>
  <c r="R214" i="3"/>
  <c r="R300" i="3"/>
  <c r="R274" i="3"/>
  <c r="R273" i="3"/>
  <c r="R209" i="3"/>
  <c r="R205" i="3"/>
  <c r="R299" i="3"/>
  <c r="R284" i="3"/>
  <c r="R268" i="3"/>
  <c r="R257" i="3"/>
  <c r="R256" i="3"/>
  <c r="R245" i="3"/>
  <c r="R244" i="3"/>
  <c r="R237" i="3"/>
  <c r="R236" i="3"/>
  <c r="R228" i="3"/>
  <c r="R221" i="3"/>
  <c r="R220" i="3"/>
  <c r="R201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298" i="3"/>
  <c r="R292" i="3"/>
  <c r="R291" i="3"/>
  <c r="R279" i="3"/>
  <c r="R275" i="3"/>
  <c r="R263" i="3"/>
  <c r="R215" i="3"/>
  <c r="R200" i="3"/>
  <c r="R297" i="3"/>
  <c r="R258" i="3"/>
  <c r="R247" i="3"/>
  <c r="R246" i="3"/>
  <c r="R239" i="3"/>
  <c r="R238" i="3"/>
  <c r="R222" i="3"/>
  <c r="R211" i="3"/>
  <c r="R210" i="3"/>
  <c r="R206" i="3"/>
  <c r="R202" i="3"/>
  <c r="P198" i="3"/>
  <c r="N31" i="3"/>
  <c r="F302" i="3"/>
  <c r="F273" i="3"/>
  <c r="F209" i="3"/>
  <c r="F205" i="3"/>
  <c r="F301" i="3"/>
  <c r="F284" i="3"/>
  <c r="F283" i="3"/>
  <c r="F268" i="3"/>
  <c r="F256" i="3"/>
  <c r="F255" i="3"/>
  <c r="F244" i="3"/>
  <c r="F236" i="3"/>
  <c r="F235" i="3"/>
  <c r="F228" i="3"/>
  <c r="F220" i="3"/>
  <c r="F219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300" i="3"/>
  <c r="F291" i="3"/>
  <c r="F279" i="3"/>
  <c r="F275" i="3"/>
  <c r="F274" i="3"/>
  <c r="F263" i="3"/>
  <c r="F215" i="3"/>
  <c r="F299" i="3"/>
  <c r="F258" i="3"/>
  <c r="F257" i="3"/>
  <c r="F246" i="3"/>
  <c r="F245" i="3"/>
  <c r="F238" i="3"/>
  <c r="F237" i="3"/>
  <c r="F222" i="3"/>
  <c r="F221" i="3"/>
  <c r="F210" i="3"/>
  <c r="F206" i="3"/>
  <c r="F202" i="3"/>
  <c r="F201" i="3"/>
  <c r="F298" i="3"/>
  <c r="F293" i="3"/>
  <c r="F292" i="3"/>
  <c r="F285" i="3"/>
  <c r="F269" i="3"/>
  <c r="F229" i="3"/>
  <c r="F200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297" i="3"/>
  <c r="F280" i="3"/>
  <c r="F276" i="3"/>
  <c r="F264" i="3"/>
  <c r="F248" i="3"/>
  <c r="F247" i="3"/>
  <c r="F240" i="3"/>
  <c r="F239" i="3"/>
  <c r="F216" i="3"/>
  <c r="F212" i="3"/>
  <c r="F211" i="3"/>
  <c r="D198" i="3"/>
  <c r="L12" i="3"/>
  <c r="N12" i="3" s="1"/>
  <c r="F308" i="3"/>
  <c r="F296" i="3"/>
  <c r="F287" i="3"/>
  <c r="F286" i="3"/>
  <c r="F259" i="3"/>
  <c r="F231" i="3"/>
  <c r="F230" i="3"/>
  <c r="F223" i="3"/>
  <c r="F207" i="3"/>
  <c r="F203" i="3"/>
  <c r="F312" i="3"/>
  <c r="F307" i="3"/>
  <c r="F295" i="3"/>
  <c r="F270" i="3"/>
  <c r="F266" i="3"/>
  <c r="F265" i="3"/>
  <c r="F250" i="3"/>
  <c r="F249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7" i="3"/>
  <c r="F306" i="3"/>
  <c r="F289" i="3"/>
  <c r="F288" i="3"/>
  <c r="F281" i="3"/>
  <c r="F277" i="3"/>
  <c r="F241" i="3"/>
  <c r="F225" i="3"/>
  <c r="F224" i="3"/>
  <c r="F217" i="3"/>
  <c r="F213" i="3"/>
  <c r="F305" i="3"/>
  <c r="F272" i="3"/>
  <c r="F271" i="3"/>
  <c r="F260" i="3"/>
  <c r="F252" i="3"/>
  <c r="F251" i="3"/>
  <c r="F232" i="3"/>
  <c r="F208" i="3"/>
  <c r="F204" i="3"/>
  <c r="F317" i="3"/>
  <c r="F316" i="3"/>
  <c r="F304" i="3"/>
  <c r="F267" i="3"/>
  <c r="F243" i="3"/>
  <c r="F242" i="3"/>
  <c r="F227" i="3"/>
  <c r="F226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303" i="3"/>
  <c r="F290" i="3"/>
  <c r="F282" i="3"/>
  <c r="F278" i="3"/>
  <c r="F262" i="3"/>
  <c r="F261" i="3"/>
  <c r="F254" i="3"/>
  <c r="F253" i="3"/>
  <c r="F234" i="3"/>
  <c r="F233" i="3"/>
  <c r="F218" i="3"/>
  <c r="F214" i="3"/>
  <c r="Z16" i="3"/>
  <c r="Z18" i="3"/>
  <c r="Z295" i="3"/>
  <c r="N27" i="3"/>
  <c r="N47" i="3"/>
  <c r="J300" i="3"/>
  <c r="J284" i="3"/>
  <c r="J274" i="3"/>
  <c r="J268" i="3"/>
  <c r="J256" i="3"/>
  <c r="J244" i="3"/>
  <c r="J236" i="3"/>
  <c r="J228" i="3"/>
  <c r="J220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299" i="3"/>
  <c r="J291" i="3"/>
  <c r="J279" i="3"/>
  <c r="J275" i="3"/>
  <c r="J263" i="3"/>
  <c r="J257" i="3"/>
  <c r="J245" i="3"/>
  <c r="J237" i="3"/>
  <c r="J221" i="3"/>
  <c r="J215" i="3"/>
  <c r="J201" i="3"/>
  <c r="J298" i="3"/>
  <c r="J292" i="3"/>
  <c r="J258" i="3"/>
  <c r="J246" i="3"/>
  <c r="J238" i="3"/>
  <c r="J222" i="3"/>
  <c r="J210" i="3"/>
  <c r="J206" i="3"/>
  <c r="J202" i="3"/>
  <c r="J200" i="3"/>
  <c r="J297" i="3"/>
  <c r="J293" i="3"/>
  <c r="J285" i="3"/>
  <c r="J269" i="3"/>
  <c r="J247" i="3"/>
  <c r="J239" i="3"/>
  <c r="J229" i="3"/>
  <c r="J211" i="3"/>
  <c r="H198" i="3"/>
  <c r="J198" i="3" s="1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141" i="3"/>
  <c r="J308" i="3"/>
  <c r="J296" i="3"/>
  <c r="J286" i="3"/>
  <c r="J280" i="3"/>
  <c r="J276" i="3"/>
  <c r="J264" i="3"/>
  <c r="J248" i="3"/>
  <c r="J240" i="3"/>
  <c r="J230" i="3"/>
  <c r="J216" i="3"/>
  <c r="J212" i="3"/>
  <c r="J307" i="3"/>
  <c r="J287" i="3"/>
  <c r="J265" i="3"/>
  <c r="J259" i="3"/>
  <c r="J249" i="3"/>
  <c r="J231" i="3"/>
  <c r="J223" i="3"/>
  <c r="J207" i="3"/>
  <c r="J203" i="3"/>
  <c r="J137" i="3"/>
  <c r="J312" i="3"/>
  <c r="J306" i="3"/>
  <c r="J288" i="3"/>
  <c r="J270" i="3"/>
  <c r="J266" i="3"/>
  <c r="J250" i="3"/>
  <c r="J224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305" i="3"/>
  <c r="J289" i="3"/>
  <c r="J281" i="3"/>
  <c r="J277" i="3"/>
  <c r="J271" i="3"/>
  <c r="J251" i="3"/>
  <c r="J241" i="3"/>
  <c r="J225" i="3"/>
  <c r="J217" i="3"/>
  <c r="J213" i="3"/>
  <c r="J317" i="3"/>
  <c r="J316" i="3"/>
  <c r="J304" i="3"/>
  <c r="J272" i="3"/>
  <c r="J260" i="3"/>
  <c r="J252" i="3"/>
  <c r="J242" i="3"/>
  <c r="J232" i="3"/>
  <c r="J226" i="3"/>
  <c r="J208" i="3"/>
  <c r="J204" i="3"/>
  <c r="J303" i="3"/>
  <c r="J267" i="3"/>
  <c r="J261" i="3"/>
  <c r="J253" i="3"/>
  <c r="J243" i="3"/>
  <c r="J233" i="3"/>
  <c r="J227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302" i="3"/>
  <c r="J290" i="3"/>
  <c r="J282" i="3"/>
  <c r="J278" i="3"/>
  <c r="J262" i="3"/>
  <c r="J254" i="3"/>
  <c r="J234" i="3"/>
  <c r="J218" i="3"/>
  <c r="J214" i="3"/>
  <c r="J301" i="3"/>
  <c r="J283" i="3"/>
  <c r="J273" i="3"/>
  <c r="J255" i="3"/>
  <c r="J235" i="3"/>
  <c r="J219" i="3"/>
  <c r="J209" i="3"/>
  <c r="J205" i="3"/>
  <c r="Z298" i="3"/>
  <c r="D91" i="9"/>
  <c r="Z24" i="3"/>
  <c r="Z26" i="3"/>
  <c r="Z28" i="3"/>
  <c r="Z30" i="3"/>
  <c r="Z32" i="3"/>
  <c r="Z34" i="3"/>
  <c r="Z36" i="3"/>
  <c r="Z38" i="3"/>
  <c r="Z40" i="3"/>
  <c r="Z42" i="3"/>
  <c r="Z44" i="3"/>
  <c r="Z46" i="3"/>
  <c r="Z48" i="3"/>
  <c r="Z50" i="3"/>
  <c r="Z52" i="3"/>
  <c r="Z54" i="3"/>
  <c r="Z56" i="3"/>
  <c r="Z58" i="3"/>
  <c r="Z60" i="3"/>
  <c r="Z62" i="3"/>
  <c r="Z64" i="3"/>
  <c r="Z66" i="3"/>
  <c r="Z68" i="3"/>
  <c r="Z70" i="3"/>
  <c r="Z72" i="3"/>
  <c r="Z74" i="3"/>
  <c r="Z76" i="3"/>
  <c r="Z78" i="3"/>
  <c r="Z80" i="3"/>
  <c r="Z82" i="3"/>
  <c r="Z84" i="3"/>
  <c r="Z86" i="3"/>
  <c r="Z88" i="3"/>
  <c r="Z90" i="3"/>
  <c r="Z92" i="3"/>
  <c r="Z94" i="3"/>
  <c r="Z96" i="3"/>
  <c r="Z98" i="3"/>
  <c r="Z100" i="3"/>
  <c r="Z102" i="3"/>
  <c r="Z104" i="3"/>
  <c r="Z106" i="3"/>
  <c r="Z108" i="3"/>
  <c r="Z110" i="3"/>
  <c r="Z112" i="3"/>
  <c r="Z114" i="3"/>
  <c r="Z292" i="3"/>
  <c r="N201" i="3"/>
  <c r="N221" i="3"/>
  <c r="N237" i="3"/>
  <c r="N245" i="3"/>
  <c r="Z251" i="3"/>
  <c r="N257" i="3"/>
  <c r="L300" i="3"/>
  <c r="N18" i="9"/>
  <c r="X19" i="9"/>
  <c r="Z19" i="9" s="1"/>
  <c r="N31" i="9"/>
  <c r="V47" i="9"/>
  <c r="Z52" i="9"/>
  <c r="Z54" i="9"/>
  <c r="N60" i="9"/>
  <c r="F64" i="9"/>
  <c r="F75" i="9"/>
  <c r="Z80" i="9"/>
  <c r="Z18" i="12"/>
  <c r="Z29" i="12"/>
  <c r="Z40" i="12"/>
  <c r="Z42" i="12"/>
  <c r="X53" i="12"/>
  <c r="L57" i="12"/>
  <c r="N57" i="12" s="1"/>
  <c r="N64" i="12"/>
  <c r="X73" i="12"/>
  <c r="Z73" i="12" s="1"/>
  <c r="X93" i="12"/>
  <c r="L97" i="12"/>
  <c r="Z190" i="12"/>
  <c r="Z236" i="12"/>
  <c r="X281" i="18"/>
  <c r="Z281" i="18" s="1"/>
  <c r="H12" i="12"/>
  <c r="L13" i="12"/>
  <c r="N24" i="12"/>
  <c r="N48" i="12"/>
  <c r="Z53" i="12"/>
  <c r="Z93" i="12"/>
  <c r="N105" i="15"/>
  <c r="L105" i="15"/>
  <c r="N104" i="18"/>
  <c r="L104" i="18"/>
  <c r="F44" i="9"/>
  <c r="Z58" i="9"/>
  <c r="V73" i="9"/>
  <c r="F83" i="9"/>
  <c r="F89" i="9"/>
  <c r="N13" i="12"/>
  <c r="Z22" i="12"/>
  <c r="Z33" i="12"/>
  <c r="N37" i="12"/>
  <c r="Z46" i="12"/>
  <c r="N68" i="12"/>
  <c r="N166" i="12"/>
  <c r="L204" i="12"/>
  <c r="N204" i="12" s="1"/>
  <c r="L13" i="3"/>
  <c r="X211" i="3"/>
  <c r="Z211" i="3" s="1"/>
  <c r="L233" i="3"/>
  <c r="N233" i="3" s="1"/>
  <c r="X239" i="3"/>
  <c r="Z239" i="3" s="1"/>
  <c r="X247" i="3"/>
  <c r="Z247" i="3" s="1"/>
  <c r="L253" i="3"/>
  <c r="N253" i="3" s="1"/>
  <c r="L261" i="3"/>
  <c r="N261" i="3" s="1"/>
  <c r="Z296" i="3"/>
  <c r="L303" i="3"/>
  <c r="V35" i="9"/>
  <c r="V58" i="9"/>
  <c r="P12" i="12"/>
  <c r="N28" i="12"/>
  <c r="Z77" i="12"/>
  <c r="L166" i="12"/>
  <c r="Z257" i="12"/>
  <c r="L264" i="18"/>
  <c r="N264" i="18" s="1"/>
  <c r="N13" i="3"/>
  <c r="X14" i="3"/>
  <c r="Z14" i="3" s="1"/>
  <c r="X28" i="6"/>
  <c r="F71" i="9"/>
  <c r="F70" i="9"/>
  <c r="F59" i="9"/>
  <c r="F58" i="9"/>
  <c r="F47" i="9"/>
  <c r="F18" i="9"/>
  <c r="F16" i="9"/>
  <c r="F14" i="9"/>
  <c r="F61" i="9"/>
  <c r="F60" i="9"/>
  <c r="F49" i="9"/>
  <c r="F48" i="9"/>
  <c r="F29" i="9"/>
  <c r="F25" i="9"/>
  <c r="F21" i="9"/>
  <c r="F72" i="9"/>
  <c r="F40" i="9"/>
  <c r="F39" i="9"/>
  <c r="F87" i="9"/>
  <c r="F74" i="9"/>
  <c r="F73" i="9"/>
  <c r="F62" i="9"/>
  <c r="F42" i="9"/>
  <c r="F41" i="9"/>
  <c r="F30" i="9"/>
  <c r="F26" i="9"/>
  <c r="F22" i="9"/>
  <c r="F81" i="9"/>
  <c r="F80" i="9"/>
  <c r="F53" i="9"/>
  <c r="F52" i="9"/>
  <c r="F93" i="9"/>
  <c r="F63" i="9"/>
  <c r="F55" i="9"/>
  <c r="F54" i="9"/>
  <c r="F27" i="9"/>
  <c r="F23" i="9"/>
  <c r="F77" i="9"/>
  <c r="F69" i="9"/>
  <c r="F57" i="9"/>
  <c r="F56" i="9"/>
  <c r="F37" i="9"/>
  <c r="F33" i="9"/>
  <c r="V14" i="9"/>
  <c r="Z18" i="9"/>
  <c r="F20" i="9"/>
  <c r="F24" i="9"/>
  <c r="F28" i="9"/>
  <c r="F43" i="9"/>
  <c r="F46" i="9"/>
  <c r="N48" i="9"/>
  <c r="V51" i="9"/>
  <c r="V53" i="9"/>
  <c r="N70" i="9"/>
  <c r="V79" i="9"/>
  <c r="V81" i="9"/>
  <c r="T12" i="12"/>
  <c r="N17" i="12"/>
  <c r="Z26" i="12"/>
  <c r="Z37" i="12"/>
  <c r="N41" i="12"/>
  <c r="N52" i="12"/>
  <c r="Z57" i="12"/>
  <c r="N72" i="12"/>
  <c r="N92" i="12"/>
  <c r="Z97" i="12"/>
  <c r="L105" i="12"/>
  <c r="H12" i="15"/>
  <c r="X37" i="15"/>
  <c r="Z37" i="15" s="1"/>
  <c r="H12" i="18"/>
  <c r="H295" i="3"/>
  <c r="V16" i="6"/>
  <c r="V18" i="9"/>
  <c r="V31" i="9"/>
  <c r="F38" i="9"/>
  <c r="L48" i="9"/>
  <c r="F66" i="9"/>
  <c r="F68" i="9"/>
  <c r="F85" i="9"/>
  <c r="Z68" i="12"/>
  <c r="X101" i="12"/>
  <c r="Z101" i="12" s="1"/>
  <c r="N110" i="12"/>
  <c r="N202" i="12"/>
  <c r="T12" i="15"/>
  <c r="Z21" i="15"/>
  <c r="X21" i="15"/>
  <c r="Z41" i="15"/>
  <c r="Z45" i="15"/>
  <c r="Z61" i="15"/>
  <c r="Z73" i="15"/>
  <c r="L220" i="15"/>
  <c r="N220" i="15" s="1"/>
  <c r="X63" i="18"/>
  <c r="Z63" i="18" s="1"/>
  <c r="H16" i="9"/>
  <c r="V46" i="9"/>
  <c r="F50" i="9"/>
  <c r="V75" i="9"/>
  <c r="Z17" i="12"/>
  <c r="N21" i="12"/>
  <c r="Z30" i="12"/>
  <c r="Z41" i="12"/>
  <c r="N45" i="12"/>
  <c r="Z61" i="12"/>
  <c r="N76" i="12"/>
  <c r="Z81" i="12"/>
  <c r="N256" i="12"/>
  <c r="N60" i="18"/>
  <c r="L60" i="18"/>
  <c r="X13" i="3"/>
  <c r="Z13" i="3" s="1"/>
  <c r="X17" i="3"/>
  <c r="Z17" i="3" s="1"/>
  <c r="X21" i="3"/>
  <c r="Z21" i="3" s="1"/>
  <c r="X25" i="3"/>
  <c r="Z25" i="3" s="1"/>
  <c r="X29" i="3"/>
  <c r="X33" i="3"/>
  <c r="Z33" i="3" s="1"/>
  <c r="X37" i="3"/>
  <c r="Z37" i="3" s="1"/>
  <c r="X41" i="3"/>
  <c r="Z41" i="3" s="1"/>
  <c r="X45" i="3"/>
  <c r="Z45" i="3" s="1"/>
  <c r="L12" i="6"/>
  <c r="F24" i="6"/>
  <c r="D16" i="6"/>
  <c r="F20" i="6"/>
  <c r="F34" i="9"/>
  <c r="F36" i="9"/>
  <c r="V39" i="9"/>
  <c r="V41" i="9"/>
  <c r="N50" i="9"/>
  <c r="F65" i="9"/>
  <c r="Z70" i="9"/>
  <c r="X21" i="12"/>
  <c r="N36" i="12"/>
  <c r="X45" i="12"/>
  <c r="Z45" i="12" s="1"/>
  <c r="N56" i="12"/>
  <c r="L69" i="12"/>
  <c r="N69" i="12" s="1"/>
  <c r="L89" i="12"/>
  <c r="N96" i="12"/>
  <c r="Z202" i="12"/>
  <c r="P256" i="12"/>
  <c r="X256" i="12" s="1"/>
  <c r="N260" i="12"/>
  <c r="N32" i="15"/>
  <c r="L46" i="15"/>
  <c r="N48" i="15"/>
  <c r="L48" i="15"/>
  <c r="F82" i="9"/>
  <c r="Z21" i="12"/>
  <c r="Z32" i="12"/>
  <c r="Z256" i="12"/>
  <c r="N46" i="15"/>
  <c r="L60" i="15"/>
  <c r="N60" i="15" s="1"/>
  <c r="L72" i="15"/>
  <c r="N72" i="15" s="1"/>
  <c r="N84" i="15"/>
  <c r="L84" i="15"/>
  <c r="X94" i="15"/>
  <c r="Z94" i="15" s="1"/>
  <c r="L27" i="3"/>
  <c r="L31" i="3"/>
  <c r="L35" i="3"/>
  <c r="N35" i="3" s="1"/>
  <c r="L39" i="3"/>
  <c r="N39" i="3" s="1"/>
  <c r="L43" i="3"/>
  <c r="N43" i="3" s="1"/>
  <c r="L47" i="3"/>
  <c r="L51" i="3"/>
  <c r="N51" i="3" s="1"/>
  <c r="L55" i="3"/>
  <c r="N55" i="3" s="1"/>
  <c r="L59" i="3"/>
  <c r="L63" i="3"/>
  <c r="N63" i="3" s="1"/>
  <c r="L67" i="3"/>
  <c r="N67" i="3" s="1"/>
  <c r="L71" i="3"/>
  <c r="L75" i="3"/>
  <c r="N75" i="3" s="1"/>
  <c r="L79" i="3"/>
  <c r="N79" i="3" s="1"/>
  <c r="L83" i="3"/>
  <c r="N83" i="3" s="1"/>
  <c r="L87" i="3"/>
  <c r="N87" i="3" s="1"/>
  <c r="L91" i="3"/>
  <c r="N91" i="3" s="1"/>
  <c r="L95" i="3"/>
  <c r="N95" i="3" s="1"/>
  <c r="L99" i="3"/>
  <c r="L103" i="3"/>
  <c r="N103" i="3" s="1"/>
  <c r="L107" i="3"/>
  <c r="N107" i="3" s="1"/>
  <c r="L111" i="3"/>
  <c r="N111" i="3" s="1"/>
  <c r="L115" i="3"/>
  <c r="N115" i="3" s="1"/>
  <c r="L119" i="3"/>
  <c r="L123" i="3"/>
  <c r="N123" i="3" s="1"/>
  <c r="L127" i="3"/>
  <c r="L131" i="3"/>
  <c r="N131" i="3" s="1"/>
  <c r="L135" i="3"/>
  <c r="N135" i="3" s="1"/>
  <c r="V22" i="6"/>
  <c r="V74" i="9"/>
  <c r="V62" i="9"/>
  <c r="V54" i="9"/>
  <c r="V42" i="9"/>
  <c r="V30" i="9"/>
  <c r="V26" i="9"/>
  <c r="V22" i="9"/>
  <c r="V76" i="9"/>
  <c r="V68" i="9"/>
  <c r="V56" i="9"/>
  <c r="V44" i="9"/>
  <c r="V36" i="9"/>
  <c r="V32" i="9"/>
  <c r="Z12" i="9"/>
  <c r="V98" i="9"/>
  <c r="V95" i="9"/>
  <c r="V93" i="9"/>
  <c r="V83" i="9"/>
  <c r="V63" i="9"/>
  <c r="V55" i="9"/>
  <c r="V27" i="9"/>
  <c r="V23" i="9"/>
  <c r="V19" i="9"/>
  <c r="V85" i="9"/>
  <c r="V77" i="9"/>
  <c r="V69" i="9"/>
  <c r="V65" i="9"/>
  <c r="V57" i="9"/>
  <c r="V37" i="9"/>
  <c r="V33" i="9"/>
  <c r="T16" i="9"/>
  <c r="V84" i="9"/>
  <c r="V64" i="9"/>
  <c r="V60" i="9"/>
  <c r="V48" i="9"/>
  <c r="V28" i="9"/>
  <c r="V24" i="9"/>
  <c r="V20" i="9"/>
  <c r="V86" i="9"/>
  <c r="V78" i="9"/>
  <c r="V66" i="9"/>
  <c r="V50" i="9"/>
  <c r="V38" i="9"/>
  <c r="V34" i="9"/>
  <c r="V80" i="9"/>
  <c r="V72" i="9"/>
  <c r="V52" i="9"/>
  <c r="V40" i="9"/>
  <c r="P16" i="9"/>
  <c r="F32" i="9"/>
  <c r="N52" i="9"/>
  <c r="V61" i="9"/>
  <c r="N80" i="9"/>
  <c r="F95" i="9"/>
  <c r="D12" i="12"/>
  <c r="X25" i="12"/>
  <c r="N40" i="12"/>
  <c r="N60" i="12"/>
  <c r="Z65" i="12"/>
  <c r="Z85" i="12"/>
  <c r="N236" i="12"/>
  <c r="Z258" i="12"/>
  <c r="L262" i="12"/>
  <c r="N262" i="12" s="1"/>
  <c r="Z50" i="15"/>
  <c r="N58" i="15"/>
  <c r="N70" i="15"/>
  <c r="X15" i="18"/>
  <c r="Z15" i="18" s="1"/>
  <c r="T12" i="18"/>
  <c r="L200" i="3"/>
  <c r="X226" i="3"/>
  <c r="Z226" i="3" s="1"/>
  <c r="X242" i="3"/>
  <c r="Z242" i="3" s="1"/>
  <c r="L292" i="3"/>
  <c r="N292" i="3" s="1"/>
  <c r="L298" i="3"/>
  <c r="X304" i="3"/>
  <c r="Z304" i="3" s="1"/>
  <c r="X316" i="3"/>
  <c r="Z316" i="3" s="1"/>
  <c r="X317" i="3"/>
  <c r="Z317" i="3" s="1"/>
  <c r="P22" i="6"/>
  <c r="V43" i="9"/>
  <c r="Z50" i="9"/>
  <c r="F67" i="9"/>
  <c r="F76" i="9"/>
  <c r="V82" i="9"/>
  <c r="F84" i="9"/>
  <c r="V87" i="9"/>
  <c r="Z25" i="12"/>
  <c r="Z38" i="12"/>
  <c r="Z49" i="12"/>
  <c r="X69" i="12"/>
  <c r="Z69" i="12" s="1"/>
  <c r="X89" i="12"/>
  <c r="Z198" i="12"/>
  <c r="X200" i="12"/>
  <c r="Z200" i="12" s="1"/>
  <c r="Z207" i="12"/>
  <c r="L244" i="12"/>
  <c r="N244" i="12" s="1"/>
  <c r="N14" i="15"/>
  <c r="Z62" i="15"/>
  <c r="T16" i="6"/>
  <c r="X16" i="6" s="1"/>
  <c r="V31" i="6"/>
  <c r="V29" i="6"/>
  <c r="V28" i="6"/>
  <c r="V26" i="6"/>
  <c r="V24" i="6"/>
  <c r="F31" i="9"/>
  <c r="N58" i="9"/>
  <c r="F91" i="9"/>
  <c r="N20" i="12"/>
  <c r="X29" i="12"/>
  <c r="N44" i="12"/>
  <c r="L77" i="12"/>
  <c r="N77" i="12" s="1"/>
  <c r="Z89" i="12"/>
  <c r="Z192" i="12"/>
  <c r="P12" i="15"/>
  <c r="X14" i="15"/>
  <c r="Z14" i="15" s="1"/>
  <c r="Z42" i="15"/>
  <c r="Z88" i="15"/>
  <c r="N82" i="15"/>
  <c r="N87" i="15"/>
  <c r="J20" i="9"/>
  <c r="R21" i="9"/>
  <c r="J24" i="9"/>
  <c r="R25" i="9"/>
  <c r="J28" i="9"/>
  <c r="R29" i="9"/>
  <c r="R49" i="9"/>
  <c r="R50" i="9"/>
  <c r="J58" i="9"/>
  <c r="R61" i="9"/>
  <c r="J64" i="9"/>
  <c r="J70" i="9"/>
  <c r="J84" i="9"/>
  <c r="N258" i="12"/>
  <c r="N30" i="15"/>
  <c r="L87" i="15"/>
  <c r="N96" i="15"/>
  <c r="X17" i="18"/>
  <c r="Z17" i="18" s="1"/>
  <c r="X56" i="18"/>
  <c r="Z56" i="18" s="1"/>
  <c r="X65" i="18"/>
  <c r="Z65" i="18" s="1"/>
  <c r="X100" i="18"/>
  <c r="Z100" i="18" s="1"/>
  <c r="X109" i="18"/>
  <c r="Z109" i="18" s="1"/>
  <c r="L17" i="21"/>
  <c r="N17" i="21" s="1"/>
  <c r="J46" i="9"/>
  <c r="R47" i="9"/>
  <c r="R48" i="9"/>
  <c r="J56" i="9"/>
  <c r="R59" i="9"/>
  <c r="R60" i="9"/>
  <c r="R71" i="9"/>
  <c r="J82" i="9"/>
  <c r="Z43" i="15"/>
  <c r="L51" i="15"/>
  <c r="N51" i="15" s="1"/>
  <c r="Z55" i="15"/>
  <c r="L63" i="15"/>
  <c r="N63" i="15" s="1"/>
  <c r="Z67" i="15"/>
  <c r="L75" i="15"/>
  <c r="Z79" i="15"/>
  <c r="X190" i="15"/>
  <c r="Z190" i="15" s="1"/>
  <c r="L225" i="15"/>
  <c r="N225" i="15" s="1"/>
  <c r="X15" i="21"/>
  <c r="Z15" i="21" s="1"/>
  <c r="N26" i="15"/>
  <c r="N42" i="15"/>
  <c r="N54" i="15"/>
  <c r="N66" i="15"/>
  <c r="F289" i="18"/>
  <c r="F284" i="18"/>
  <c r="F267" i="18"/>
  <c r="F266" i="18"/>
  <c r="F259" i="18"/>
  <c r="F255" i="18"/>
  <c r="F243" i="18"/>
  <c r="F186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283" i="18"/>
  <c r="F238" i="18"/>
  <c r="F237" i="18"/>
  <c r="F226" i="18"/>
  <c r="F202" i="18"/>
  <c r="F198" i="18"/>
  <c r="F197" i="18"/>
  <c r="D184" i="18"/>
  <c r="F184" i="18" s="1"/>
  <c r="F282" i="18"/>
  <c r="F249" i="18"/>
  <c r="F217" i="18"/>
  <c r="F209" i="18"/>
  <c r="F193" i="18"/>
  <c r="F189" i="18"/>
  <c r="F281" i="18"/>
  <c r="F268" i="18"/>
  <c r="F260" i="18"/>
  <c r="F256" i="18"/>
  <c r="F244" i="18"/>
  <c r="F228" i="18"/>
  <c r="F227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280" i="18"/>
  <c r="F251" i="18"/>
  <c r="F250" i="18"/>
  <c r="F239" i="18"/>
  <c r="F219" i="18"/>
  <c r="F218" i="18"/>
  <c r="F279" i="18"/>
  <c r="F262" i="18"/>
  <c r="F261" i="18"/>
  <c r="F246" i="18"/>
  <c r="F245" i="18"/>
  <c r="F230" i="18"/>
  <c r="F229" i="18"/>
  <c r="F194" i="18"/>
  <c r="F190" i="18"/>
  <c r="F278" i="18"/>
  <c r="F269" i="18"/>
  <c r="F257" i="18"/>
  <c r="F221" i="18"/>
  <c r="F220" i="18"/>
  <c r="F213" i="18"/>
  <c r="F212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277" i="18"/>
  <c r="F252" i="18"/>
  <c r="F240" i="18"/>
  <c r="F232" i="18"/>
  <c r="F231" i="18"/>
  <c r="F204" i="18"/>
  <c r="F200" i="18"/>
  <c r="F274" i="18"/>
  <c r="F265" i="18"/>
  <c r="F264" i="18"/>
  <c r="F225" i="18"/>
  <c r="F224" i="18"/>
  <c r="F201" i="18"/>
  <c r="F285" i="18"/>
  <c r="F248" i="18"/>
  <c r="F236" i="18"/>
  <c r="F235" i="18"/>
  <c r="F216" i="18"/>
  <c r="F215" i="18"/>
  <c r="F208" i="18"/>
  <c r="F207" i="18"/>
  <c r="F196" i="18"/>
  <c r="F192" i="18"/>
  <c r="F188" i="18"/>
  <c r="F187" i="18"/>
  <c r="F276" i="18"/>
  <c r="F254" i="18"/>
  <c r="F142" i="18"/>
  <c r="F270" i="18"/>
  <c r="F247" i="18"/>
  <c r="F234" i="18"/>
  <c r="F158" i="18"/>
  <c r="F126" i="18"/>
  <c r="F223" i="18"/>
  <c r="F174" i="18"/>
  <c r="F263" i="18"/>
  <c r="F242" i="18"/>
  <c r="F214" i="18"/>
  <c r="F210" i="18"/>
  <c r="F191" i="18"/>
  <c r="F146" i="18"/>
  <c r="F206" i="18"/>
  <c r="F199" i="18"/>
  <c r="F130" i="18"/>
  <c r="F275" i="18"/>
  <c r="F253" i="18"/>
  <c r="F182" i="18"/>
  <c r="F178" i="18"/>
  <c r="F162" i="18"/>
  <c r="F258" i="18"/>
  <c r="F233" i="18"/>
  <c r="F195" i="18"/>
  <c r="F150" i="18"/>
  <c r="F134" i="18"/>
  <c r="F222" i="18"/>
  <c r="F125" i="18"/>
  <c r="L12" i="18"/>
  <c r="X29" i="30"/>
  <c r="Z29" i="30"/>
  <c r="H16" i="6"/>
  <c r="R14" i="9"/>
  <c r="R16" i="9"/>
  <c r="R18" i="9"/>
  <c r="J32" i="9"/>
  <c r="R33" i="9"/>
  <c r="J36" i="9"/>
  <c r="R37" i="9"/>
  <c r="J44" i="9"/>
  <c r="J54" i="9"/>
  <c r="R57" i="9"/>
  <c r="R58" i="9"/>
  <c r="J68" i="9"/>
  <c r="R69" i="9"/>
  <c r="R70" i="9"/>
  <c r="J76" i="9"/>
  <c r="R77" i="9"/>
  <c r="X13" i="12"/>
  <c r="Z13" i="12" s="1"/>
  <c r="L185" i="12"/>
  <c r="N185" i="12" s="1"/>
  <c r="X207" i="12"/>
  <c r="L213" i="12"/>
  <c r="N213" i="12" s="1"/>
  <c r="X219" i="12"/>
  <c r="Z219" i="12" s="1"/>
  <c r="L233" i="12"/>
  <c r="N233" i="12" s="1"/>
  <c r="X247" i="12"/>
  <c r="Z247" i="12" s="1"/>
  <c r="X257" i="12"/>
  <c r="L263" i="12"/>
  <c r="D12" i="15"/>
  <c r="N13" i="15"/>
  <c r="L29" i="15"/>
  <c r="N29" i="15" s="1"/>
  <c r="Z162" i="15"/>
  <c r="X182" i="15"/>
  <c r="Z182" i="15" s="1"/>
  <c r="L204" i="15"/>
  <c r="N204" i="15" s="1"/>
  <c r="Z93" i="18"/>
  <c r="F205" i="18"/>
  <c r="R31" i="6"/>
  <c r="R19" i="9"/>
  <c r="J31" i="9"/>
  <c r="J43" i="9"/>
  <c r="R46" i="9"/>
  <c r="J53" i="9"/>
  <c r="J75" i="9"/>
  <c r="J81" i="9"/>
  <c r="R82" i="9"/>
  <c r="R83" i="9"/>
  <c r="J89" i="9"/>
  <c r="J91" i="9"/>
  <c r="R95" i="9"/>
  <c r="R98" i="9"/>
  <c r="D256" i="12"/>
  <c r="L256" i="12" s="1"/>
  <c r="X51" i="15"/>
  <c r="Z51" i="15" s="1"/>
  <c r="X63" i="15"/>
  <c r="Z63" i="15" s="1"/>
  <c r="X75" i="15"/>
  <c r="X100" i="15"/>
  <c r="Z100" i="15" s="1"/>
  <c r="L195" i="15"/>
  <c r="N195" i="15" s="1"/>
  <c r="Z216" i="15"/>
  <c r="Z40" i="18"/>
  <c r="N44" i="18"/>
  <c r="X47" i="18"/>
  <c r="Z47" i="18"/>
  <c r="Z49" i="18"/>
  <c r="F166" i="18"/>
  <c r="F203" i="18"/>
  <c r="N205" i="18"/>
  <c r="F241" i="18"/>
  <c r="Z75" i="15"/>
  <c r="N210" i="15"/>
  <c r="F138" i="18"/>
  <c r="L126" i="24"/>
  <c r="N126" i="24" s="1"/>
  <c r="X12" i="9"/>
  <c r="R32" i="9"/>
  <c r="J35" i="9"/>
  <c r="R36" i="9"/>
  <c r="J41" i="9"/>
  <c r="R44" i="9"/>
  <c r="R45" i="9"/>
  <c r="J51" i="9"/>
  <c r="J67" i="9"/>
  <c r="R68" i="9"/>
  <c r="J73" i="9"/>
  <c r="R76" i="9"/>
  <c r="J79" i="9"/>
  <c r="J87" i="9"/>
  <c r="X16" i="12"/>
  <c r="Z16" i="12" s="1"/>
  <c r="X20" i="12"/>
  <c r="Z20" i="12" s="1"/>
  <c r="X24" i="12"/>
  <c r="Z24" i="12" s="1"/>
  <c r="X28" i="12"/>
  <c r="Z28" i="12" s="1"/>
  <c r="X32" i="12"/>
  <c r="X36" i="12"/>
  <c r="Z36" i="12" s="1"/>
  <c r="X40" i="12"/>
  <c r="X44" i="12"/>
  <c r="Z44" i="12" s="1"/>
  <c r="X48" i="12"/>
  <c r="Z48" i="12" s="1"/>
  <c r="X52" i="12"/>
  <c r="Z52" i="12" s="1"/>
  <c r="X56" i="12"/>
  <c r="Z56" i="12" s="1"/>
  <c r="X60" i="12"/>
  <c r="Z60" i="12" s="1"/>
  <c r="X64" i="12"/>
  <c r="Z64" i="12" s="1"/>
  <c r="X68" i="12"/>
  <c r="X72" i="12"/>
  <c r="Z72" i="12" s="1"/>
  <c r="X76" i="12"/>
  <c r="Z76" i="12" s="1"/>
  <c r="X80" i="12"/>
  <c r="Z80" i="12" s="1"/>
  <c r="X84" i="12"/>
  <c r="Z84" i="12" s="1"/>
  <c r="X88" i="12"/>
  <c r="Z88" i="12" s="1"/>
  <c r="X92" i="12"/>
  <c r="Z92" i="12" s="1"/>
  <c r="X96" i="12"/>
  <c r="Z96" i="12" s="1"/>
  <c r="X100" i="12"/>
  <c r="Z100" i="12" s="1"/>
  <c r="X104" i="12"/>
  <c r="X108" i="12"/>
  <c r="X13" i="15"/>
  <c r="Z13" i="15" s="1"/>
  <c r="L22" i="15"/>
  <c r="N22" i="15" s="1"/>
  <c r="L25" i="15"/>
  <c r="N25" i="15" s="1"/>
  <c r="X26" i="15"/>
  <c r="Z26" i="15" s="1"/>
  <c r="L28" i="15"/>
  <c r="N28" i="15" s="1"/>
  <c r="L38" i="15"/>
  <c r="N38" i="15" s="1"/>
  <c r="L41" i="15"/>
  <c r="N41" i="15" s="1"/>
  <c r="X42" i="15"/>
  <c r="X45" i="15"/>
  <c r="X54" i="15"/>
  <c r="Z54" i="15" s="1"/>
  <c r="X57" i="15"/>
  <c r="Z57" i="15" s="1"/>
  <c r="X66" i="15"/>
  <c r="Z66" i="15" s="1"/>
  <c r="X69" i="15"/>
  <c r="Z69" i="15" s="1"/>
  <c r="N74" i="15"/>
  <c r="X78" i="15"/>
  <c r="Z78" i="15" s="1"/>
  <c r="X81" i="15"/>
  <c r="Z81" i="15" s="1"/>
  <c r="L90" i="15"/>
  <c r="N90" i="15" s="1"/>
  <c r="N172" i="15"/>
  <c r="N212" i="15"/>
  <c r="N228" i="15"/>
  <c r="N239" i="15"/>
  <c r="N35" i="18"/>
  <c r="N83" i="18"/>
  <c r="Z88" i="18"/>
  <c r="J40" i="9"/>
  <c r="J50" i="9"/>
  <c r="R53" i="9"/>
  <c r="R54" i="9"/>
  <c r="J72" i="9"/>
  <c r="R81" i="9"/>
  <c r="X88" i="15"/>
  <c r="X97" i="15"/>
  <c r="Z97" i="15" s="1"/>
  <c r="T248" i="15"/>
  <c r="X24" i="18"/>
  <c r="Z24" i="18" s="1"/>
  <c r="X33" i="18"/>
  <c r="X72" i="18"/>
  <c r="Z72" i="18" s="1"/>
  <c r="X81" i="18"/>
  <c r="X116" i="18"/>
  <c r="F271" i="18"/>
  <c r="N18" i="15"/>
  <c r="N34" i="15"/>
  <c r="N99" i="15"/>
  <c r="N28" i="18"/>
  <c r="X31" i="18"/>
  <c r="Z31" i="18"/>
  <c r="Z33" i="18"/>
  <c r="Z81" i="18"/>
  <c r="J34" i="9"/>
  <c r="R35" i="9"/>
  <c r="J38" i="9"/>
  <c r="J48" i="9"/>
  <c r="R51" i="9"/>
  <c r="R52" i="9"/>
  <c r="J60" i="9"/>
  <c r="J66" i="9"/>
  <c r="R67" i="9"/>
  <c r="J78" i="9"/>
  <c r="R79" i="9"/>
  <c r="R80" i="9"/>
  <c r="X15" i="15"/>
  <c r="Z15" i="15" s="1"/>
  <c r="L27" i="15"/>
  <c r="N27" i="15" s="1"/>
  <c r="X31" i="15"/>
  <c r="Z31" i="15" s="1"/>
  <c r="L43" i="15"/>
  <c r="N43" i="15" s="1"/>
  <c r="Z47" i="15"/>
  <c r="L55" i="15"/>
  <c r="N55" i="15" s="1"/>
  <c r="Z59" i="15"/>
  <c r="L67" i="15"/>
  <c r="N67" i="15" s="1"/>
  <c r="Z71" i="15"/>
  <c r="L79" i="15"/>
  <c r="Z83" i="15"/>
  <c r="L99" i="15"/>
  <c r="L180" i="15"/>
  <c r="N180" i="15" s="1"/>
  <c r="Z187" i="15"/>
  <c r="N190" i="15"/>
  <c r="L76" i="18"/>
  <c r="N76" i="18" s="1"/>
  <c r="Z34" i="24"/>
  <c r="X13" i="30"/>
  <c r="T12" i="30"/>
  <c r="Z13" i="30"/>
  <c r="N236" i="15"/>
  <c r="Z245" i="15"/>
  <c r="L250" i="15"/>
  <c r="Z252" i="15"/>
  <c r="X28" i="18"/>
  <c r="X44" i="18"/>
  <c r="X60" i="18"/>
  <c r="X76" i="18"/>
  <c r="Z76" i="18" s="1"/>
  <c r="N92" i="18"/>
  <c r="Z187" i="18"/>
  <c r="L224" i="18"/>
  <c r="N224" i="18" s="1"/>
  <c r="N241" i="18"/>
  <c r="Z276" i="18"/>
  <c r="Z78" i="21"/>
  <c r="X96" i="21"/>
  <c r="Z96" i="21" s="1"/>
  <c r="R105" i="27"/>
  <c r="R104" i="27"/>
  <c r="R81" i="27"/>
  <c r="R80" i="27"/>
  <c r="R56" i="27"/>
  <c r="R52" i="27"/>
  <c r="R48" i="27"/>
  <c r="R44" i="27"/>
  <c r="R106" i="27"/>
  <c r="R91" i="27"/>
  <c r="R90" i="27"/>
  <c r="R82" i="27"/>
  <c r="R70" i="27"/>
  <c r="R66" i="27"/>
  <c r="R101" i="27"/>
  <c r="R57" i="27"/>
  <c r="R53" i="27"/>
  <c r="R49" i="27"/>
  <c r="R45" i="27"/>
  <c r="R93" i="27"/>
  <c r="R92" i="27"/>
  <c r="R76" i="27"/>
  <c r="R108" i="27"/>
  <c r="R107" i="27"/>
  <c r="R84" i="27"/>
  <c r="R83" i="27"/>
  <c r="R71" i="27"/>
  <c r="R67" i="27"/>
  <c r="R102" i="27"/>
  <c r="R95" i="27"/>
  <c r="R94" i="27"/>
  <c r="R63" i="27"/>
  <c r="R58" i="27"/>
  <c r="R54" i="27"/>
  <c r="R50" i="27"/>
  <c r="R46" i="27"/>
  <c r="R116" i="27"/>
  <c r="R110" i="27"/>
  <c r="R109" i="27"/>
  <c r="R86" i="27"/>
  <c r="R85" i="27"/>
  <c r="R77" i="27"/>
  <c r="R62" i="27"/>
  <c r="R42" i="27"/>
  <c r="R115" i="27"/>
  <c r="R96" i="27"/>
  <c r="R73" i="27"/>
  <c r="R72" i="27"/>
  <c r="R68" i="27"/>
  <c r="R64" i="27"/>
  <c r="P60" i="27"/>
  <c r="R60" i="27" s="1"/>
  <c r="R114" i="27"/>
  <c r="R111" i="27"/>
  <c r="R103" i="27"/>
  <c r="R88" i="27"/>
  <c r="R87" i="27"/>
  <c r="R55" i="27"/>
  <c r="R51" i="27"/>
  <c r="R47" i="27"/>
  <c r="R43" i="27"/>
  <c r="R120" i="27"/>
  <c r="R113" i="27"/>
  <c r="R79" i="27"/>
  <c r="R78" i="27"/>
  <c r="R74" i="27"/>
  <c r="R75" i="27"/>
  <c r="R65" i="27"/>
  <c r="R99" i="27"/>
  <c r="R97" i="27"/>
  <c r="L146" i="30"/>
  <c r="H248" i="15"/>
  <c r="X19" i="18"/>
  <c r="Z19" i="18"/>
  <c r="Z28" i="18"/>
  <c r="N32" i="18"/>
  <c r="X35" i="18"/>
  <c r="Z35" i="18" s="1"/>
  <c r="Z44" i="18"/>
  <c r="N48" i="18"/>
  <c r="X51" i="18"/>
  <c r="Z51" i="18"/>
  <c r="Z60" i="18"/>
  <c r="N64" i="18"/>
  <c r="X67" i="18"/>
  <c r="Z67" i="18"/>
  <c r="N80" i="18"/>
  <c r="N108" i="18"/>
  <c r="N125" i="18"/>
  <c r="X250" i="18"/>
  <c r="Z250" i="18" s="1"/>
  <c r="Z266" i="18"/>
  <c r="N280" i="18"/>
  <c r="Z26" i="24"/>
  <c r="H113" i="27"/>
  <c r="N115" i="27"/>
  <c r="L115" i="27"/>
  <c r="N250" i="15"/>
  <c r="N254" i="15"/>
  <c r="Z21" i="18"/>
  <c r="Z37" i="18"/>
  <c r="Z53" i="18"/>
  <c r="Z69" i="18"/>
  <c r="Z85" i="18"/>
  <c r="Z97" i="18"/>
  <c r="Z113" i="18"/>
  <c r="Z207" i="18"/>
  <c r="Z215" i="18"/>
  <c r="N220" i="18"/>
  <c r="N231" i="18"/>
  <c r="Z264" i="18"/>
  <c r="L185" i="15"/>
  <c r="N185" i="15" s="1"/>
  <c r="Z210" i="15"/>
  <c r="Z239" i="15"/>
  <c r="X250" i="15"/>
  <c r="Z250" i="15" s="1"/>
  <c r="Z251" i="15"/>
  <c r="X16" i="18"/>
  <c r="Z16" i="18" s="1"/>
  <c r="X32" i="18"/>
  <c r="X48" i="18"/>
  <c r="X64" i="18"/>
  <c r="Z64" i="18" s="1"/>
  <c r="X80" i="18"/>
  <c r="Z92" i="18"/>
  <c r="X108" i="18"/>
  <c r="Z222" i="18"/>
  <c r="N229" i="18"/>
  <c r="N253" i="18"/>
  <c r="N275" i="18"/>
  <c r="T273" i="18"/>
  <c r="Z280" i="18"/>
  <c r="X280" i="18"/>
  <c r="Z106" i="24"/>
  <c r="R69" i="27"/>
  <c r="X91" i="27"/>
  <c r="Z91" i="27" s="1"/>
  <c r="N95" i="15"/>
  <c r="L249" i="15"/>
  <c r="N249" i="15" s="1"/>
  <c r="D248" i="15"/>
  <c r="L248" i="15" s="1"/>
  <c r="L254" i="15"/>
  <c r="N20" i="18"/>
  <c r="X23" i="18"/>
  <c r="Z23" i="18" s="1"/>
  <c r="Z32" i="18"/>
  <c r="X39" i="18"/>
  <c r="Z39" i="18"/>
  <c r="Z48" i="18"/>
  <c r="X55" i="18"/>
  <c r="Z55" i="18" s="1"/>
  <c r="N68" i="18"/>
  <c r="Z80" i="18"/>
  <c r="Z108" i="18"/>
  <c r="X14" i="24"/>
  <c r="Z14" i="24" s="1"/>
  <c r="Z37" i="24"/>
  <c r="R89" i="27"/>
  <c r="L92" i="15"/>
  <c r="L95" i="15"/>
  <c r="L104" i="15"/>
  <c r="N104" i="15" s="1"/>
  <c r="N162" i="15"/>
  <c r="X206" i="15"/>
  <c r="Z206" i="15" s="1"/>
  <c r="L216" i="15"/>
  <c r="N216" i="15" s="1"/>
  <c r="Z225" i="15"/>
  <c r="Z236" i="15"/>
  <c r="L20" i="18"/>
  <c r="Z25" i="18"/>
  <c r="L36" i="18"/>
  <c r="N36" i="18" s="1"/>
  <c r="Z41" i="18"/>
  <c r="L52" i="18"/>
  <c r="N52" i="18" s="1"/>
  <c r="Z57" i="18"/>
  <c r="L68" i="18"/>
  <c r="Z73" i="18"/>
  <c r="L84" i="18"/>
  <c r="X89" i="18"/>
  <c r="L96" i="18"/>
  <c r="N96" i="18" s="1"/>
  <c r="Z101" i="18"/>
  <c r="L112" i="18"/>
  <c r="Z117" i="18"/>
  <c r="Z218" i="18"/>
  <c r="X218" i="18"/>
  <c r="Z235" i="18"/>
  <c r="Z237" i="18"/>
  <c r="X18" i="21"/>
  <c r="X104" i="24"/>
  <c r="Z104" i="24" s="1"/>
  <c r="N37" i="27"/>
  <c r="L253" i="15"/>
  <c r="Z89" i="18"/>
  <c r="Z197" i="18"/>
  <c r="N212" i="18"/>
  <c r="X227" i="18"/>
  <c r="Z227" i="18" s="1"/>
  <c r="Z18" i="21"/>
  <c r="N182" i="15"/>
  <c r="X202" i="15"/>
  <c r="Z202" i="15" s="1"/>
  <c r="Z220" i="15"/>
  <c r="X249" i="15"/>
  <c r="Z249" i="15" s="1"/>
  <c r="P248" i="15"/>
  <c r="X248" i="15" s="1"/>
  <c r="L256" i="15"/>
  <c r="P12" i="18"/>
  <c r="X13" i="18"/>
  <c r="Z13" i="18" s="1"/>
  <c r="N15" i="18"/>
  <c r="Z20" i="18"/>
  <c r="N24" i="18"/>
  <c r="X27" i="18"/>
  <c r="Z27" i="18" s="1"/>
  <c r="X29" i="18"/>
  <c r="N31" i="18"/>
  <c r="Z36" i="18"/>
  <c r="N40" i="18"/>
  <c r="X43" i="18"/>
  <c r="Z43" i="18" s="1"/>
  <c r="X45" i="18"/>
  <c r="Z45" i="18" s="1"/>
  <c r="N47" i="18"/>
  <c r="Z52" i="18"/>
  <c r="X59" i="18"/>
  <c r="Z59" i="18"/>
  <c r="X61" i="18"/>
  <c r="N63" i="18"/>
  <c r="Z68" i="18"/>
  <c r="N72" i="18"/>
  <c r="X77" i="18"/>
  <c r="N79" i="18"/>
  <c r="Z84" i="18"/>
  <c r="Z96" i="18"/>
  <c r="N100" i="18"/>
  <c r="X105" i="18"/>
  <c r="Z112" i="18"/>
  <c r="X121" i="18"/>
  <c r="Z121" i="18" s="1"/>
  <c r="N123" i="18"/>
  <c r="D273" i="18"/>
  <c r="F273" i="18" s="1"/>
  <c r="L276" i="18"/>
  <c r="Z284" i="18"/>
  <c r="P12" i="21"/>
  <c r="Z25" i="24"/>
  <c r="X105" i="27"/>
  <c r="N88" i="15"/>
  <c r="N91" i="15"/>
  <c r="N103" i="15"/>
  <c r="Z197" i="15"/>
  <c r="X253" i="15"/>
  <c r="Z253" i="15" s="1"/>
  <c r="Z29" i="18"/>
  <c r="Z61" i="18"/>
  <c r="Z77" i="18"/>
  <c r="X210" i="18"/>
  <c r="Z210" i="18" s="1"/>
  <c r="L274" i="18"/>
  <c r="N274" i="18" s="1"/>
  <c r="H273" i="18"/>
  <c r="Z62" i="21"/>
  <c r="Z105" i="27"/>
  <c r="F139" i="30"/>
  <c r="F138" i="30"/>
  <c r="F127" i="30"/>
  <c r="F126" i="30"/>
  <c r="F103" i="30"/>
  <c r="F102" i="30"/>
  <c r="F67" i="30"/>
  <c r="F63" i="30"/>
  <c r="F59" i="30"/>
  <c r="F55" i="30"/>
  <c r="F114" i="30"/>
  <c r="F113" i="30"/>
  <c r="F94" i="30"/>
  <c r="F93" i="30"/>
  <c r="F86" i="30"/>
  <c r="F141" i="30"/>
  <c r="F140" i="30"/>
  <c r="F133" i="30"/>
  <c r="F121" i="30"/>
  <c r="F128" i="30"/>
  <c r="F116" i="30"/>
  <c r="F115" i="30"/>
  <c r="F104" i="30"/>
  <c r="F96" i="30"/>
  <c r="F95" i="30"/>
  <c r="F68" i="30"/>
  <c r="F64" i="30"/>
  <c r="F60" i="30"/>
  <c r="F56" i="30"/>
  <c r="F52" i="30"/>
  <c r="F48" i="30"/>
  <c r="F123" i="30"/>
  <c r="F122" i="30"/>
  <c r="F87" i="30"/>
  <c r="F83" i="30"/>
  <c r="F82" i="30"/>
  <c r="F142" i="30"/>
  <c r="F134" i="30"/>
  <c r="F130" i="30"/>
  <c r="F129" i="30"/>
  <c r="F106" i="30"/>
  <c r="F105" i="30"/>
  <c r="F78" i="30"/>
  <c r="F74" i="30"/>
  <c r="F73" i="30"/>
  <c r="F117" i="30"/>
  <c r="F97" i="30"/>
  <c r="F147" i="30"/>
  <c r="F118" i="30"/>
  <c r="F110" i="30"/>
  <c r="F109" i="30"/>
  <c r="F90" i="30"/>
  <c r="F89" i="30"/>
  <c r="F66" i="30"/>
  <c r="F62" i="30"/>
  <c r="F58" i="30"/>
  <c r="F54" i="30"/>
  <c r="F50" i="30"/>
  <c r="F46" i="30"/>
  <c r="F45" i="30"/>
  <c r="F91" i="30"/>
  <c r="F137" i="30"/>
  <c r="F124" i="30"/>
  <c r="F81" i="30"/>
  <c r="F72" i="30"/>
  <c r="F120" i="30"/>
  <c r="F99" i="30"/>
  <c r="F79" i="30"/>
  <c r="F77" i="30"/>
  <c r="F57" i="30"/>
  <c r="F49" i="30"/>
  <c r="F144" i="30"/>
  <c r="F135" i="30"/>
  <c r="F131" i="30"/>
  <c r="F75" i="30"/>
  <c r="F65" i="30"/>
  <c r="F111" i="30"/>
  <c r="F92" i="30"/>
  <c r="F107" i="30"/>
  <c r="F84" i="30"/>
  <c r="F47" i="30"/>
  <c r="F151" i="30"/>
  <c r="F100" i="30"/>
  <c r="F53" i="30"/>
  <c r="F136" i="30"/>
  <c r="F125" i="30"/>
  <c r="F112" i="30"/>
  <c r="F88" i="30"/>
  <c r="F61" i="30"/>
  <c r="F132" i="30"/>
  <c r="F80" i="30"/>
  <c r="F70" i="30"/>
  <c r="F146" i="30"/>
  <c r="F143" i="30"/>
  <c r="F119" i="30"/>
  <c r="F108" i="30"/>
  <c r="F98" i="30"/>
  <c r="F85" i="30"/>
  <c r="F76" i="30"/>
  <c r="D70" i="30"/>
  <c r="F51" i="30"/>
  <c r="Z71" i="18"/>
  <c r="Z75" i="18"/>
  <c r="Z79" i="18"/>
  <c r="Z83" i="18"/>
  <c r="Z87" i="18"/>
  <c r="Z91" i="18"/>
  <c r="Z95" i="18"/>
  <c r="Z99" i="18"/>
  <c r="Z103" i="18"/>
  <c r="Z107" i="18"/>
  <c r="Z111" i="18"/>
  <c r="Z115" i="18"/>
  <c r="Z119" i="18"/>
  <c r="Z123" i="18"/>
  <c r="N15" i="21"/>
  <c r="L18" i="21"/>
  <c r="L24" i="21"/>
  <c r="N24" i="21" s="1"/>
  <c r="R130" i="24"/>
  <c r="R129" i="24"/>
  <c r="R122" i="24"/>
  <c r="R121" i="24"/>
  <c r="R114" i="24"/>
  <c r="R113" i="24"/>
  <c r="R102" i="24"/>
  <c r="R101" i="24"/>
  <c r="R93" i="24"/>
  <c r="R134" i="24"/>
  <c r="R131" i="24"/>
  <c r="R123" i="24"/>
  <c r="R115" i="24"/>
  <c r="R104" i="24"/>
  <c r="R103" i="24"/>
  <c r="R80" i="24"/>
  <c r="R75" i="24"/>
  <c r="R71" i="24"/>
  <c r="R67" i="24"/>
  <c r="R63" i="24"/>
  <c r="R59" i="24"/>
  <c r="R55" i="24"/>
  <c r="R133" i="24"/>
  <c r="R95" i="24"/>
  <c r="R94" i="24"/>
  <c r="R90" i="24"/>
  <c r="R79" i="24"/>
  <c r="R106" i="24"/>
  <c r="R105" i="24"/>
  <c r="R85" i="24"/>
  <c r="R81" i="24"/>
  <c r="P77" i="24"/>
  <c r="R77" i="24" s="1"/>
  <c r="R138" i="24"/>
  <c r="R124" i="24"/>
  <c r="R117" i="24"/>
  <c r="R116" i="24"/>
  <c r="R97" i="24"/>
  <c r="R96" i="24"/>
  <c r="R72" i="24"/>
  <c r="R68" i="24"/>
  <c r="R64" i="24"/>
  <c r="R60" i="24"/>
  <c r="R56" i="24"/>
  <c r="R108" i="24"/>
  <c r="R107" i="24"/>
  <c r="R91" i="24"/>
  <c r="R52" i="24"/>
  <c r="R118" i="24"/>
  <c r="R99" i="24"/>
  <c r="R98" i="24"/>
  <c r="R86" i="24"/>
  <c r="R82" i="24"/>
  <c r="R126" i="24"/>
  <c r="R125" i="24"/>
  <c r="R110" i="24"/>
  <c r="R109" i="24"/>
  <c r="R73" i="24"/>
  <c r="R69" i="24"/>
  <c r="R65" i="24"/>
  <c r="R61" i="24"/>
  <c r="R57" i="24"/>
  <c r="R53" i="24"/>
  <c r="R100" i="24"/>
  <c r="R92" i="24"/>
  <c r="R128" i="24"/>
  <c r="R127" i="24"/>
  <c r="R120" i="24"/>
  <c r="R119" i="24"/>
  <c r="R112" i="24"/>
  <c r="R111" i="24"/>
  <c r="R87" i="24"/>
  <c r="R83" i="24"/>
  <c r="R58" i="24"/>
  <c r="R66" i="24"/>
  <c r="R89" i="24"/>
  <c r="N21" i="27"/>
  <c r="Z38" i="27"/>
  <c r="Z73" i="27"/>
  <c r="N27" i="30"/>
  <c r="L91" i="30"/>
  <c r="N91" i="30" s="1"/>
  <c r="D12" i="21"/>
  <c r="X30" i="21"/>
  <c r="Z30" i="21" s="1"/>
  <c r="L51" i="21"/>
  <c r="N51" i="21" s="1"/>
  <c r="L66" i="21"/>
  <c r="N66" i="21" s="1"/>
  <c r="Z89" i="24"/>
  <c r="Z26" i="27"/>
  <c r="N91" i="27"/>
  <c r="Z93" i="27"/>
  <c r="L31" i="30"/>
  <c r="N31" i="30" s="1"/>
  <c r="L41" i="30"/>
  <c r="Z129" i="30"/>
  <c r="J89" i="36"/>
  <c r="J83" i="36"/>
  <c r="J71" i="36"/>
  <c r="J61" i="36"/>
  <c r="J53" i="36"/>
  <c r="J47" i="36"/>
  <c r="J33" i="36"/>
  <c r="J94" i="36"/>
  <c r="J90" i="36"/>
  <c r="J72" i="36"/>
  <c r="J62" i="36"/>
  <c r="J54" i="36"/>
  <c r="J42" i="36"/>
  <c r="J38" i="36"/>
  <c r="J34" i="36"/>
  <c r="J32" i="36"/>
  <c r="J113" i="36"/>
  <c r="J105" i="36"/>
  <c r="J101" i="36"/>
  <c r="J95" i="36"/>
  <c r="J73" i="36"/>
  <c r="J63" i="36"/>
  <c r="J55" i="36"/>
  <c r="J96" i="36"/>
  <c r="J84" i="36"/>
  <c r="J74" i="36"/>
  <c r="J64" i="36"/>
  <c r="J56" i="36"/>
  <c r="J48" i="36"/>
  <c r="J44" i="36"/>
  <c r="J91" i="36"/>
  <c r="J75" i="36"/>
  <c r="J65" i="36"/>
  <c r="J57" i="36"/>
  <c r="J39" i="36"/>
  <c r="J35" i="36"/>
  <c r="J114" i="36"/>
  <c r="J106" i="36"/>
  <c r="J102" i="36"/>
  <c r="J76" i="36"/>
  <c r="J66" i="36"/>
  <c r="J58" i="36"/>
  <c r="J121" i="36"/>
  <c r="J115" i="36"/>
  <c r="J107" i="36"/>
  <c r="J97" i="36"/>
  <c r="J85" i="36"/>
  <c r="J77" i="36"/>
  <c r="J67" i="36"/>
  <c r="J49" i="36"/>
  <c r="J45" i="36"/>
  <c r="J120" i="36"/>
  <c r="J116" i="36"/>
  <c r="J108" i="36"/>
  <c r="J98" i="36"/>
  <c r="J92" i="36"/>
  <c r="J86" i="36"/>
  <c r="J78" i="36"/>
  <c r="J68" i="36"/>
  <c r="J40" i="36"/>
  <c r="J36" i="36"/>
  <c r="J26" i="36"/>
  <c r="J125" i="36"/>
  <c r="J119" i="36"/>
  <c r="J109" i="36"/>
  <c r="J103" i="36"/>
  <c r="J99" i="36"/>
  <c r="J87" i="36"/>
  <c r="J79" i="36"/>
  <c r="J69" i="36"/>
  <c r="J59" i="36"/>
  <c r="J111" i="36"/>
  <c r="J93" i="36"/>
  <c r="J81" i="36"/>
  <c r="J51" i="36"/>
  <c r="J41" i="36"/>
  <c r="J37" i="36"/>
  <c r="J112" i="36"/>
  <c r="J60" i="36"/>
  <c r="J27" i="36"/>
  <c r="J80" i="36"/>
  <c r="J110" i="36"/>
  <c r="J82" i="36"/>
  <c r="J28" i="36"/>
  <c r="J100" i="36"/>
  <c r="J46" i="36"/>
  <c r="J88" i="36"/>
  <c r="J70" i="36"/>
  <c r="J43" i="36"/>
  <c r="J104" i="36"/>
  <c r="J52" i="36"/>
  <c r="J50" i="36"/>
  <c r="H30" i="36"/>
  <c r="J30" i="36" s="1"/>
  <c r="Z94" i="21"/>
  <c r="Z102" i="24"/>
  <c r="D12" i="27"/>
  <c r="N62" i="27"/>
  <c r="N35" i="30"/>
  <c r="P273" i="18"/>
  <c r="X273" i="18" s="1"/>
  <c r="L14" i="21"/>
  <c r="Z49" i="21"/>
  <c r="Z66" i="21"/>
  <c r="Z98" i="21"/>
  <c r="H12" i="24"/>
  <c r="N15" i="24"/>
  <c r="N19" i="24"/>
  <c r="N23" i="24"/>
  <c r="N27" i="24"/>
  <c r="N31" i="24"/>
  <c r="N35" i="24"/>
  <c r="N39" i="24"/>
  <c r="N52" i="24"/>
  <c r="J115" i="27"/>
  <c r="J111" i="27"/>
  <c r="J103" i="27"/>
  <c r="J87" i="27"/>
  <c r="J73" i="27"/>
  <c r="H60" i="27"/>
  <c r="J55" i="27"/>
  <c r="J51" i="27"/>
  <c r="J47" i="27"/>
  <c r="J43" i="27"/>
  <c r="J113" i="27"/>
  <c r="J97" i="27"/>
  <c r="J89" i="27"/>
  <c r="J79" i="27"/>
  <c r="J69" i="27"/>
  <c r="J65" i="27"/>
  <c r="J104" i="27"/>
  <c r="J98" i="27"/>
  <c r="J80" i="27"/>
  <c r="J56" i="27"/>
  <c r="J52" i="27"/>
  <c r="J48" i="27"/>
  <c r="J44" i="27"/>
  <c r="J105" i="27"/>
  <c r="J99" i="27"/>
  <c r="J81" i="27"/>
  <c r="J75" i="27"/>
  <c r="J106" i="27"/>
  <c r="J100" i="27"/>
  <c r="J90" i="27"/>
  <c r="J82" i="27"/>
  <c r="J70" i="27"/>
  <c r="J66" i="27"/>
  <c r="J101" i="27"/>
  <c r="J91" i="27"/>
  <c r="J57" i="27"/>
  <c r="J53" i="27"/>
  <c r="J49" i="27"/>
  <c r="J45" i="27"/>
  <c r="J92" i="27"/>
  <c r="J76" i="27"/>
  <c r="J107" i="27"/>
  <c r="J93" i="27"/>
  <c r="J83" i="27"/>
  <c r="J71" i="27"/>
  <c r="J67" i="27"/>
  <c r="J108" i="27"/>
  <c r="J102" i="27"/>
  <c r="J94" i="27"/>
  <c r="J84" i="27"/>
  <c r="J58" i="27"/>
  <c r="J54" i="27"/>
  <c r="J50" i="27"/>
  <c r="J46" i="27"/>
  <c r="J109" i="27"/>
  <c r="J95" i="27"/>
  <c r="J85" i="27"/>
  <c r="J77" i="27"/>
  <c r="J63" i="27"/>
  <c r="Z30" i="27"/>
  <c r="J62" i="27"/>
  <c r="N79" i="27"/>
  <c r="J120" i="27"/>
  <c r="L19" i="30"/>
  <c r="Z39" i="30"/>
  <c r="L19" i="21"/>
  <c r="Z24" i="21"/>
  <c r="X13" i="24"/>
  <c r="X15" i="24"/>
  <c r="X17" i="24"/>
  <c r="Z17" i="24" s="1"/>
  <c r="X19" i="24"/>
  <c r="X21" i="24"/>
  <c r="Z21" i="24" s="1"/>
  <c r="X23" i="24"/>
  <c r="Z23" i="24" s="1"/>
  <c r="X25" i="24"/>
  <c r="X27" i="24"/>
  <c r="X29" i="24"/>
  <c r="Z29" i="24" s="1"/>
  <c r="X31" i="24"/>
  <c r="X33" i="24"/>
  <c r="Z33" i="24" s="1"/>
  <c r="X35" i="24"/>
  <c r="Z35" i="24" s="1"/>
  <c r="X37" i="24"/>
  <c r="X39" i="24"/>
  <c r="X41" i="24"/>
  <c r="Z41" i="24" s="1"/>
  <c r="X43" i="24"/>
  <c r="X45" i="24"/>
  <c r="Z45" i="24" s="1"/>
  <c r="X47" i="24"/>
  <c r="Z47" i="24" s="1"/>
  <c r="L13" i="27"/>
  <c r="N42" i="27"/>
  <c r="N19" i="30"/>
  <c r="H12" i="21"/>
  <c r="N19" i="21"/>
  <c r="T12" i="24"/>
  <c r="X12" i="24" s="1"/>
  <c r="Z15" i="24"/>
  <c r="Z19" i="24"/>
  <c r="Z27" i="24"/>
  <c r="Z31" i="24"/>
  <c r="Z39" i="24"/>
  <c r="Z43" i="24"/>
  <c r="Z18" i="27"/>
  <c r="N29" i="27"/>
  <c r="J42" i="27"/>
  <c r="Z81" i="27"/>
  <c r="H12" i="30"/>
  <c r="L12" i="30" s="1"/>
  <c r="L23" i="30"/>
  <c r="Z14" i="21"/>
  <c r="N31" i="21"/>
  <c r="N83" i="21"/>
  <c r="Z13" i="24"/>
  <c r="N80" i="24"/>
  <c r="N99" i="24"/>
  <c r="T12" i="27"/>
  <c r="J114" i="27"/>
  <c r="P12" i="30"/>
  <c r="N23" i="30"/>
  <c r="N13" i="21"/>
  <c r="L47" i="21"/>
  <c r="N47" i="21" s="1"/>
  <c r="Z60" i="21"/>
  <c r="N62" i="21"/>
  <c r="L64" i="21"/>
  <c r="N64" i="21" s="1"/>
  <c r="Z72" i="21"/>
  <c r="L108" i="24"/>
  <c r="N108" i="24" s="1"/>
  <c r="L110" i="24"/>
  <c r="Z122" i="24"/>
  <c r="Z15" i="27"/>
  <c r="N17" i="27"/>
  <c r="X22" i="27"/>
  <c r="Z34" i="27"/>
  <c r="J68" i="27"/>
  <c r="N73" i="27"/>
  <c r="J88" i="27"/>
  <c r="N95" i="27"/>
  <c r="Z45" i="30"/>
  <c r="F73" i="33"/>
  <c r="F72" i="33"/>
  <c r="F53" i="33"/>
  <c r="F64" i="33"/>
  <c r="F48" i="33"/>
  <c r="F44" i="33"/>
  <c r="F79" i="33"/>
  <c r="F75" i="33"/>
  <c r="F74" i="33"/>
  <c r="F55" i="33"/>
  <c r="F54" i="33"/>
  <c r="F35" i="33"/>
  <c r="F31" i="33"/>
  <c r="F30" i="33"/>
  <c r="F91" i="33"/>
  <c r="F66" i="33"/>
  <c r="F65" i="33"/>
  <c r="F50" i="33"/>
  <c r="F49" i="33"/>
  <c r="F95" i="33"/>
  <c r="F90" i="33"/>
  <c r="F81" i="33"/>
  <c r="F80" i="33"/>
  <c r="F57" i="33"/>
  <c r="F56" i="33"/>
  <c r="F45" i="33"/>
  <c r="F41" i="33"/>
  <c r="F40" i="33"/>
  <c r="F89" i="33"/>
  <c r="F76" i="33"/>
  <c r="F68" i="33"/>
  <c r="F67" i="33"/>
  <c r="F39" i="33"/>
  <c r="F32" i="33"/>
  <c r="F88" i="33"/>
  <c r="F83" i="33"/>
  <c r="F82" i="33"/>
  <c r="F59" i="33"/>
  <c r="F58" i="33"/>
  <c r="F51" i="33"/>
  <c r="D37" i="33"/>
  <c r="F37" i="33" s="1"/>
  <c r="F87" i="33"/>
  <c r="F70" i="33"/>
  <c r="F69" i="33"/>
  <c r="F46" i="33"/>
  <c r="F42" i="33"/>
  <c r="F86" i="33"/>
  <c r="F77" i="33"/>
  <c r="F61" i="33"/>
  <c r="F60" i="33"/>
  <c r="F33" i="33"/>
  <c r="F85" i="33"/>
  <c r="F52" i="33"/>
  <c r="L12" i="33"/>
  <c r="F34" i="33"/>
  <c r="F43" i="33"/>
  <c r="F63" i="33"/>
  <c r="F78" i="33"/>
  <c r="F71" i="33"/>
  <c r="F47" i="33"/>
  <c r="N30" i="21"/>
  <c r="L40" i="21"/>
  <c r="N40" i="21" s="1"/>
  <c r="N16" i="24"/>
  <c r="N20" i="24"/>
  <c r="N24" i="24"/>
  <c r="N28" i="24"/>
  <c r="N32" i="24"/>
  <c r="N36" i="24"/>
  <c r="N40" i="24"/>
  <c r="N44" i="24"/>
  <c r="Z80" i="24"/>
  <c r="X114" i="24"/>
  <c r="T133" i="24"/>
  <c r="Z133" i="24" s="1"/>
  <c r="Z134" i="24"/>
  <c r="Z22" i="27"/>
  <c r="L63" i="27"/>
  <c r="J78" i="27"/>
  <c r="J86" i="27"/>
  <c r="N116" i="27"/>
  <c r="L38" i="30"/>
  <c r="N38" i="30" s="1"/>
  <c r="J74" i="33"/>
  <c r="J64" i="33"/>
  <c r="J54" i="33"/>
  <c r="J48" i="33"/>
  <c r="J44" i="33"/>
  <c r="J30" i="33"/>
  <c r="J91" i="33"/>
  <c r="J79" i="33"/>
  <c r="J75" i="33"/>
  <c r="J65" i="33"/>
  <c r="J55" i="33"/>
  <c r="J49" i="33"/>
  <c r="J35" i="33"/>
  <c r="J31" i="33"/>
  <c r="J90" i="33"/>
  <c r="J80" i="33"/>
  <c r="J66" i="33"/>
  <c r="J56" i="33"/>
  <c r="J50" i="33"/>
  <c r="J40" i="33"/>
  <c r="J95" i="33"/>
  <c r="J89" i="33"/>
  <c r="J81" i="33"/>
  <c r="J67" i="33"/>
  <c r="J57" i="33"/>
  <c r="J45" i="33"/>
  <c r="J41" i="33"/>
  <c r="J39" i="33"/>
  <c r="J88" i="33"/>
  <c r="J82" i="33"/>
  <c r="J76" i="33"/>
  <c r="J68" i="33"/>
  <c r="J58" i="33"/>
  <c r="H37" i="33"/>
  <c r="J37" i="33" s="1"/>
  <c r="J32" i="33"/>
  <c r="J87" i="33"/>
  <c r="J83" i="33"/>
  <c r="J69" i="33"/>
  <c r="J59" i="33"/>
  <c r="J51" i="33"/>
  <c r="J86" i="33"/>
  <c r="J70" i="33"/>
  <c r="J60" i="33"/>
  <c r="J46" i="33"/>
  <c r="J42" i="33"/>
  <c r="J77" i="33"/>
  <c r="J61" i="33"/>
  <c r="J33" i="33"/>
  <c r="J62" i="33"/>
  <c r="J52" i="33"/>
  <c r="N12" i="33"/>
  <c r="J71" i="33"/>
  <c r="J63" i="33"/>
  <c r="J47" i="33"/>
  <c r="J43" i="33"/>
  <c r="J72" i="33"/>
  <c r="J34" i="33"/>
  <c r="J53" i="33"/>
  <c r="J78" i="33"/>
  <c r="J73" i="33"/>
  <c r="T12" i="21"/>
  <c r="X22" i="21"/>
  <c r="Z22" i="21" s="1"/>
  <c r="Z114" i="24"/>
  <c r="N63" i="27"/>
  <c r="J116" i="27"/>
  <c r="D77" i="24"/>
  <c r="F91" i="24"/>
  <c r="F106" i="24"/>
  <c r="F107" i="24"/>
  <c r="D133" i="24"/>
  <c r="N13" i="27"/>
  <c r="X14" i="27"/>
  <c r="Z14" i="27" s="1"/>
  <c r="L15" i="30"/>
  <c r="N15" i="30" s="1"/>
  <c r="X72" i="30"/>
  <c r="Z72" i="30" s="1"/>
  <c r="X39" i="33"/>
  <c r="N62" i="33"/>
  <c r="Z49" i="39"/>
  <c r="Z63" i="39"/>
  <c r="N71" i="39"/>
  <c r="F56" i="24"/>
  <c r="F60" i="24"/>
  <c r="F64" i="24"/>
  <c r="F68" i="24"/>
  <c r="F72" i="24"/>
  <c r="F77" i="24"/>
  <c r="F79" i="24"/>
  <c r="F95" i="24"/>
  <c r="F96" i="24"/>
  <c r="F116" i="24"/>
  <c r="F124" i="24"/>
  <c r="F133" i="24"/>
  <c r="F138" i="24"/>
  <c r="T113" i="27"/>
  <c r="X115" i="30"/>
  <c r="Z115" i="30" s="1"/>
  <c r="N143" i="30"/>
  <c r="N16" i="33"/>
  <c r="N60" i="33"/>
  <c r="T12" i="36"/>
  <c r="F80" i="24"/>
  <c r="F81" i="24"/>
  <c r="F85" i="24"/>
  <c r="F104" i="24"/>
  <c r="F105" i="24"/>
  <c r="H133" i="24"/>
  <c r="N133" i="24" s="1"/>
  <c r="F134" i="24"/>
  <c r="X38" i="30"/>
  <c r="Z38" i="30" s="1"/>
  <c r="L20" i="33"/>
  <c r="Z39" i="33"/>
  <c r="N26" i="36"/>
  <c r="N93" i="30"/>
  <c r="N20" i="33"/>
  <c r="R83" i="36"/>
  <c r="F55" i="24"/>
  <c r="F59" i="24"/>
  <c r="F63" i="24"/>
  <c r="F67" i="24"/>
  <c r="F71" i="24"/>
  <c r="F75" i="24"/>
  <c r="L95" i="24"/>
  <c r="N95" i="24" s="1"/>
  <c r="F102" i="24"/>
  <c r="F103" i="24"/>
  <c r="F114" i="24"/>
  <c r="F115" i="24"/>
  <c r="F122" i="24"/>
  <c r="F123" i="24"/>
  <c r="F130" i="24"/>
  <c r="F131" i="24"/>
  <c r="Z13" i="27"/>
  <c r="X88" i="27"/>
  <c r="Z88" i="27" s="1"/>
  <c r="X15" i="30"/>
  <c r="Z15" i="30" s="1"/>
  <c r="X19" i="30"/>
  <c r="Z19" i="30" s="1"/>
  <c r="X23" i="30"/>
  <c r="Z23" i="30" s="1"/>
  <c r="X27" i="30"/>
  <c r="Z27" i="30" s="1"/>
  <c r="X31" i="30"/>
  <c r="Z31" i="30" s="1"/>
  <c r="L37" i="30"/>
  <c r="N37" i="30" s="1"/>
  <c r="L40" i="30"/>
  <c r="L43" i="30"/>
  <c r="N43" i="30" s="1"/>
  <c r="L24" i="33"/>
  <c r="Z58" i="33"/>
  <c r="X58" i="33"/>
  <c r="Z82" i="33"/>
  <c r="X82" i="33"/>
  <c r="P85" i="33"/>
  <c r="X89" i="33"/>
  <c r="Z89" i="33" s="1"/>
  <c r="F81" i="36"/>
  <c r="F84" i="24"/>
  <c r="F88" i="24"/>
  <c r="X110" i="24"/>
  <c r="Z110" i="24" s="1"/>
  <c r="D113" i="27"/>
  <c r="L113" i="27" s="1"/>
  <c r="N95" i="30"/>
  <c r="L109" i="30"/>
  <c r="N109" i="30" s="1"/>
  <c r="L147" i="30"/>
  <c r="Z54" i="33"/>
  <c r="V58" i="33"/>
  <c r="V82" i="33"/>
  <c r="N14" i="36"/>
  <c r="X19" i="36"/>
  <c r="Z19" i="36" s="1"/>
  <c r="Z26" i="36"/>
  <c r="F34" i="36"/>
  <c r="F93" i="24"/>
  <c r="F101" i="24"/>
  <c r="F112" i="24"/>
  <c r="F113" i="24"/>
  <c r="F120" i="24"/>
  <c r="F121" i="24"/>
  <c r="F128" i="24"/>
  <c r="F129" i="24"/>
  <c r="X40" i="30"/>
  <c r="N73" i="30"/>
  <c r="X95" i="30"/>
  <c r="N147" i="30"/>
  <c r="H146" i="30"/>
  <c r="N146" i="30" s="1"/>
  <c r="P12" i="33"/>
  <c r="X13" i="33"/>
  <c r="Z13" i="33" s="1"/>
  <c r="L28" i="33"/>
  <c r="R96" i="36"/>
  <c r="R84" i="36"/>
  <c r="R65" i="36"/>
  <c r="R64" i="36"/>
  <c r="R57" i="36"/>
  <c r="R56" i="36"/>
  <c r="R48" i="36"/>
  <c r="R44" i="36"/>
  <c r="R91" i="36"/>
  <c r="R76" i="36"/>
  <c r="R75" i="36"/>
  <c r="R39" i="36"/>
  <c r="R35" i="36"/>
  <c r="R121" i="36"/>
  <c r="R115" i="36"/>
  <c r="R114" i="36"/>
  <c r="R107" i="36"/>
  <c r="R106" i="36"/>
  <c r="R102" i="36"/>
  <c r="R67" i="36"/>
  <c r="R66" i="36"/>
  <c r="R58" i="36"/>
  <c r="R120" i="36"/>
  <c r="R98" i="36"/>
  <c r="R97" i="36"/>
  <c r="R86" i="36"/>
  <c r="R85" i="36"/>
  <c r="R78" i="36"/>
  <c r="R77" i="36"/>
  <c r="R49" i="36"/>
  <c r="R45" i="36"/>
  <c r="R119" i="36"/>
  <c r="R116" i="36"/>
  <c r="R109" i="36"/>
  <c r="R108" i="36"/>
  <c r="R92" i="36"/>
  <c r="R69" i="36"/>
  <c r="R68" i="36"/>
  <c r="R40" i="36"/>
  <c r="R36" i="36"/>
  <c r="R125" i="36"/>
  <c r="R118" i="36"/>
  <c r="R103" i="36"/>
  <c r="R99" i="36"/>
  <c r="R87" i="36"/>
  <c r="R80" i="36"/>
  <c r="R79" i="36"/>
  <c r="R59" i="36"/>
  <c r="R111" i="36"/>
  <c r="R110" i="36"/>
  <c r="R70" i="36"/>
  <c r="R51" i="36"/>
  <c r="R50" i="36"/>
  <c r="R46" i="36"/>
  <c r="R93" i="36"/>
  <c r="R82" i="36"/>
  <c r="R81" i="36"/>
  <c r="R41" i="36"/>
  <c r="R37" i="36"/>
  <c r="R112" i="36"/>
  <c r="R104" i="36"/>
  <c r="R100" i="36"/>
  <c r="R89" i="36"/>
  <c r="R88" i="36"/>
  <c r="R61" i="36"/>
  <c r="R60" i="36"/>
  <c r="R53" i="36"/>
  <c r="R52" i="36"/>
  <c r="R95" i="36"/>
  <c r="R94" i="36"/>
  <c r="R90" i="36"/>
  <c r="R63" i="36"/>
  <c r="R62" i="36"/>
  <c r="R55" i="36"/>
  <c r="R54" i="36"/>
  <c r="R43" i="36"/>
  <c r="R42" i="36"/>
  <c r="R38" i="36"/>
  <c r="R34" i="36"/>
  <c r="R113" i="36"/>
  <c r="R47" i="36"/>
  <c r="R71" i="36"/>
  <c r="R105" i="36"/>
  <c r="R33" i="36"/>
  <c r="R28" i="36"/>
  <c r="R74" i="36"/>
  <c r="R72" i="36"/>
  <c r="R26" i="36"/>
  <c r="P30" i="36"/>
  <c r="X18" i="24"/>
  <c r="Z18" i="24" s="1"/>
  <c r="X22" i="24"/>
  <c r="Z22" i="24" s="1"/>
  <c r="X26" i="24"/>
  <c r="X30" i="24"/>
  <c r="Z30" i="24" s="1"/>
  <c r="X34" i="24"/>
  <c r="X38" i="24"/>
  <c r="Z38" i="24" s="1"/>
  <c r="X42" i="24"/>
  <c r="Z42" i="24" s="1"/>
  <c r="X46" i="24"/>
  <c r="Z46" i="24" s="1"/>
  <c r="X50" i="24"/>
  <c r="F54" i="24"/>
  <c r="F58" i="24"/>
  <c r="F62" i="24"/>
  <c r="F66" i="24"/>
  <c r="F70" i="24"/>
  <c r="F74" i="24"/>
  <c r="N39" i="30"/>
  <c r="Z95" i="30"/>
  <c r="Z14" i="36"/>
  <c r="N32" i="36"/>
  <c r="F83" i="24"/>
  <c r="F87" i="24"/>
  <c r="F110" i="24"/>
  <c r="F111" i="24"/>
  <c r="F119" i="24"/>
  <c r="F126" i="24"/>
  <c r="F127" i="24"/>
  <c r="L42" i="30"/>
  <c r="N42" i="30" s="1"/>
  <c r="Z93" i="30"/>
  <c r="X105" i="30"/>
  <c r="Z105" i="30" s="1"/>
  <c r="Z107" i="30"/>
  <c r="L111" i="30"/>
  <c r="X140" i="30"/>
  <c r="T93" i="33"/>
  <c r="Z40" i="33"/>
  <c r="X67" i="33"/>
  <c r="Z67" i="33" s="1"/>
  <c r="N72" i="33"/>
  <c r="L72" i="33"/>
  <c r="T85" i="33"/>
  <c r="X88" i="33"/>
  <c r="Z88" i="33" s="1"/>
  <c r="N18" i="36"/>
  <c r="N20" i="36"/>
  <c r="N95" i="36"/>
  <c r="L89" i="30"/>
  <c r="N89" i="30" s="1"/>
  <c r="F52" i="24"/>
  <c r="F53" i="24"/>
  <c r="F57" i="24"/>
  <c r="F61" i="24"/>
  <c r="F65" i="24"/>
  <c r="F69" i="24"/>
  <c r="F73" i="24"/>
  <c r="F108" i="24"/>
  <c r="F109" i="24"/>
  <c r="F125" i="24"/>
  <c r="X36" i="30"/>
  <c r="Z36" i="30" s="1"/>
  <c r="X42" i="30"/>
  <c r="Z42" i="30" s="1"/>
  <c r="Z140" i="30"/>
  <c r="F112" i="36"/>
  <c r="F111" i="36"/>
  <c r="F104" i="36"/>
  <c r="F100" i="36"/>
  <c r="F88" i="36"/>
  <c r="F60" i="36"/>
  <c r="F52" i="36"/>
  <c r="F51" i="36"/>
  <c r="F28" i="36"/>
  <c r="F83" i="36"/>
  <c r="F82" i="36"/>
  <c r="F71" i="36"/>
  <c r="F47" i="36"/>
  <c r="F94" i="36"/>
  <c r="F90" i="36"/>
  <c r="F89" i="36"/>
  <c r="F62" i="36"/>
  <c r="F61" i="36"/>
  <c r="F54" i="36"/>
  <c r="F53" i="36"/>
  <c r="F113" i="36"/>
  <c r="F105" i="36"/>
  <c r="F101" i="36"/>
  <c r="F73" i="36"/>
  <c r="F72" i="36"/>
  <c r="F96" i="36"/>
  <c r="F95" i="36"/>
  <c r="F84" i="36"/>
  <c r="F64" i="36"/>
  <c r="F63" i="36"/>
  <c r="F56" i="36"/>
  <c r="F55" i="36"/>
  <c r="F48" i="36"/>
  <c r="F44" i="36"/>
  <c r="F43" i="36"/>
  <c r="F91" i="36"/>
  <c r="F75" i="36"/>
  <c r="F74" i="36"/>
  <c r="F39" i="36"/>
  <c r="F35" i="36"/>
  <c r="F114" i="36"/>
  <c r="F106" i="36"/>
  <c r="F102" i="36"/>
  <c r="F66" i="36"/>
  <c r="F65" i="36"/>
  <c r="F58" i="36"/>
  <c r="F57" i="36"/>
  <c r="F97" i="36"/>
  <c r="F85" i="36"/>
  <c r="F77" i="36"/>
  <c r="F76" i="36"/>
  <c r="F49" i="36"/>
  <c r="F45" i="36"/>
  <c r="F121" i="36"/>
  <c r="F116" i="36"/>
  <c r="F115" i="36"/>
  <c r="F108" i="36"/>
  <c r="F107" i="36"/>
  <c r="F92" i="36"/>
  <c r="F68" i="36"/>
  <c r="F67" i="36"/>
  <c r="F125" i="36"/>
  <c r="F120" i="36"/>
  <c r="F119" i="36"/>
  <c r="F110" i="36"/>
  <c r="F109" i="36"/>
  <c r="F70" i="36"/>
  <c r="F69" i="36"/>
  <c r="F50" i="36"/>
  <c r="F46" i="36"/>
  <c r="F118" i="36"/>
  <c r="F99" i="36"/>
  <c r="F79" i="36"/>
  <c r="F36" i="36"/>
  <c r="D30" i="36"/>
  <c r="F26" i="36"/>
  <c r="F87" i="36"/>
  <c r="F38" i="36"/>
  <c r="F27" i="36"/>
  <c r="F103" i="36"/>
  <c r="F40" i="36"/>
  <c r="F32" i="36"/>
  <c r="L12" i="36"/>
  <c r="N12" i="36" s="1"/>
  <c r="F42" i="36"/>
  <c r="F80" i="36"/>
  <c r="F33" i="36"/>
  <c r="F98" i="36"/>
  <c r="F78" i="36"/>
  <c r="F59" i="36"/>
  <c r="F37" i="36"/>
  <c r="F93" i="36"/>
  <c r="F86" i="36"/>
  <c r="Z32" i="36"/>
  <c r="X32" i="36"/>
  <c r="R73" i="36"/>
  <c r="V31" i="33"/>
  <c r="V35" i="33"/>
  <c r="V37" i="33"/>
  <c r="V39" i="33"/>
  <c r="V55" i="33"/>
  <c r="V67" i="33"/>
  <c r="V75" i="33"/>
  <c r="V79" i="33"/>
  <c r="V89" i="33"/>
  <c r="N43" i="36"/>
  <c r="Z69" i="36"/>
  <c r="Z27" i="39"/>
  <c r="V40" i="33"/>
  <c r="V44" i="33"/>
  <c r="V48" i="33"/>
  <c r="V56" i="33"/>
  <c r="V64" i="33"/>
  <c r="V80" i="33"/>
  <c r="H85" i="33"/>
  <c r="J85" i="33" s="1"/>
  <c r="V90" i="33"/>
  <c r="L17" i="36"/>
  <c r="N63" i="36"/>
  <c r="Z95" i="36"/>
  <c r="N109" i="36"/>
  <c r="Z71" i="39"/>
  <c r="N105" i="39"/>
  <c r="V91" i="33"/>
  <c r="V93" i="33"/>
  <c r="L15" i="33"/>
  <c r="N15" i="33" s="1"/>
  <c r="L19" i="33"/>
  <c r="L23" i="33"/>
  <c r="N23" i="33" s="1"/>
  <c r="L27" i="33"/>
  <c r="V30" i="33"/>
  <c r="V34" i="33"/>
  <c r="V54" i="33"/>
  <c r="V74" i="33"/>
  <c r="V78" i="33"/>
  <c r="L13" i="36"/>
  <c r="N13" i="36" s="1"/>
  <c r="Z43" i="36"/>
  <c r="Z63" i="36"/>
  <c r="Z109" i="36"/>
  <c r="Z23" i="39"/>
  <c r="Z105" i="39"/>
  <c r="V43" i="33"/>
  <c r="V47" i="33"/>
  <c r="V63" i="33"/>
  <c r="V71" i="33"/>
  <c r="X14" i="36"/>
  <c r="N55" i="36"/>
  <c r="X65" i="36"/>
  <c r="Z65" i="36" s="1"/>
  <c r="N107" i="36"/>
  <c r="F125" i="39"/>
  <c r="F90" i="39"/>
  <c r="F89" i="39"/>
  <c r="F104" i="39"/>
  <c r="F92" i="39"/>
  <c r="F84" i="39"/>
  <c r="F83" i="39"/>
  <c r="F114" i="39"/>
  <c r="F111" i="39"/>
  <c r="F108" i="39"/>
  <c r="F93" i="39"/>
  <c r="F68" i="39"/>
  <c r="F67" i="39"/>
  <c r="F60" i="39"/>
  <c r="F59" i="39"/>
  <c r="F48" i="39"/>
  <c r="F44" i="39"/>
  <c r="F40" i="39"/>
  <c r="F39" i="39"/>
  <c r="F98" i="39"/>
  <c r="F79" i="39"/>
  <c r="F78" i="39"/>
  <c r="F38" i="39"/>
  <c r="F128" i="39"/>
  <c r="F121" i="39"/>
  <c r="F115" i="39"/>
  <c r="F101" i="39"/>
  <c r="F94" i="39"/>
  <c r="F85" i="39"/>
  <c r="F70" i="39"/>
  <c r="F69" i="39"/>
  <c r="F62" i="39"/>
  <c r="F61" i="39"/>
  <c r="F54" i="39"/>
  <c r="F50" i="39"/>
  <c r="F49" i="39"/>
  <c r="D36" i="39"/>
  <c r="F118" i="39"/>
  <c r="F109" i="39"/>
  <c r="F105" i="39"/>
  <c r="F45" i="39"/>
  <c r="F41" i="39"/>
  <c r="F119" i="39"/>
  <c r="F86" i="39"/>
  <c r="F80" i="39"/>
  <c r="F72" i="39"/>
  <c r="F71" i="39"/>
  <c r="F64" i="39"/>
  <c r="F63" i="39"/>
  <c r="F112" i="39"/>
  <c r="F106" i="39"/>
  <c r="F99" i="39"/>
  <c r="F95" i="39"/>
  <c r="F91" i="39"/>
  <c r="F55" i="39"/>
  <c r="F51" i="39"/>
  <c r="F102" i="39"/>
  <c r="F87" i="39"/>
  <c r="F81" i="39"/>
  <c r="F74" i="39"/>
  <c r="F73" i="39"/>
  <c r="F46" i="39"/>
  <c r="F42" i="39"/>
  <c r="F122" i="39"/>
  <c r="F82" i="39"/>
  <c r="F65" i="39"/>
  <c r="F33" i="39"/>
  <c r="F32" i="39"/>
  <c r="F116" i="39"/>
  <c r="F113" i="39"/>
  <c r="F110" i="39"/>
  <c r="F107" i="39"/>
  <c r="F103" i="39"/>
  <c r="F97" i="39"/>
  <c r="F96" i="39"/>
  <c r="F88" i="39"/>
  <c r="F76" i="39"/>
  <c r="F75" i="39"/>
  <c r="F56" i="39"/>
  <c r="F52" i="39"/>
  <c r="L12" i="39"/>
  <c r="F126" i="39"/>
  <c r="F47" i="39"/>
  <c r="F43" i="39"/>
  <c r="F132" i="39"/>
  <c r="F123" i="39"/>
  <c r="F120" i="39"/>
  <c r="F100" i="39"/>
  <c r="F66" i="39"/>
  <c r="F58" i="39"/>
  <c r="F57" i="39"/>
  <c r="F34" i="39"/>
  <c r="F127" i="39"/>
  <c r="F117" i="39"/>
  <c r="F77" i="39"/>
  <c r="F53" i="39"/>
  <c r="Z57" i="39"/>
  <c r="Z69" i="39"/>
  <c r="V52" i="33"/>
  <c r="V72" i="33"/>
  <c r="L32" i="36"/>
  <c r="L51" i="36"/>
  <c r="N51" i="36" s="1"/>
  <c r="X55" i="36"/>
  <c r="Z55" i="36" s="1"/>
  <c r="Z61" i="36"/>
  <c r="Z19" i="39"/>
  <c r="T146" i="30"/>
  <c r="V33" i="33"/>
  <c r="V61" i="33"/>
  <c r="V77" i="33"/>
  <c r="L19" i="36"/>
  <c r="N19" i="36" s="1"/>
  <c r="Z57" i="36"/>
  <c r="Z107" i="36"/>
  <c r="V62" i="33"/>
  <c r="V70" i="33"/>
  <c r="R120" i="39"/>
  <c r="R98" i="39"/>
  <c r="R83" i="39"/>
  <c r="R126" i="39"/>
  <c r="R123" i="39"/>
  <c r="R116" i="39"/>
  <c r="R115" i="39"/>
  <c r="R132" i="39"/>
  <c r="R125" i="39"/>
  <c r="R110" i="39"/>
  <c r="R100" i="39"/>
  <c r="R89" i="39"/>
  <c r="R88" i="39"/>
  <c r="R109" i="39"/>
  <c r="R86" i="39"/>
  <c r="R81" i="39"/>
  <c r="R80" i="39"/>
  <c r="R73" i="39"/>
  <c r="R72" i="39"/>
  <c r="R64" i="39"/>
  <c r="R119" i="39"/>
  <c r="R112" i="39"/>
  <c r="R106" i="39"/>
  <c r="R102" i="39"/>
  <c r="R95" i="39"/>
  <c r="R87" i="39"/>
  <c r="R55" i="39"/>
  <c r="R51" i="39"/>
  <c r="R32" i="39"/>
  <c r="R99" i="39"/>
  <c r="R96" i="39"/>
  <c r="R91" i="39"/>
  <c r="R75" i="39"/>
  <c r="R74" i="39"/>
  <c r="R46" i="39"/>
  <c r="R42" i="39"/>
  <c r="R122" i="39"/>
  <c r="R82" i="39"/>
  <c r="R65" i="39"/>
  <c r="R33" i="39"/>
  <c r="R107" i="39"/>
  <c r="R76" i="39"/>
  <c r="R57" i="39"/>
  <c r="R56" i="39"/>
  <c r="R52" i="39"/>
  <c r="X12" i="39"/>
  <c r="Z12" i="39" s="1"/>
  <c r="R113" i="39"/>
  <c r="R103" i="39"/>
  <c r="R97" i="39"/>
  <c r="R47" i="39"/>
  <c r="R43" i="39"/>
  <c r="R92" i="39"/>
  <c r="R67" i="39"/>
  <c r="R66" i="39"/>
  <c r="R59" i="39"/>
  <c r="R58" i="39"/>
  <c r="R39" i="39"/>
  <c r="R34" i="39"/>
  <c r="R127" i="39"/>
  <c r="R93" i="39"/>
  <c r="R78" i="39"/>
  <c r="R77" i="39"/>
  <c r="R53" i="39"/>
  <c r="R38" i="39"/>
  <c r="R117" i="39"/>
  <c r="R114" i="39"/>
  <c r="R111" i="39"/>
  <c r="R108" i="39"/>
  <c r="R84" i="39"/>
  <c r="R69" i="39"/>
  <c r="R68" i="39"/>
  <c r="R61" i="39"/>
  <c r="R60" i="39"/>
  <c r="R49" i="39"/>
  <c r="R48" i="39"/>
  <c r="R44" i="39"/>
  <c r="R40" i="39"/>
  <c r="P36" i="39"/>
  <c r="R128" i="39"/>
  <c r="R118" i="39"/>
  <c r="R104" i="39"/>
  <c r="R85" i="39"/>
  <c r="R79" i="39"/>
  <c r="R105" i="39"/>
  <c r="R94" i="39"/>
  <c r="R90" i="39"/>
  <c r="R71" i="39"/>
  <c r="R70" i="39"/>
  <c r="R63" i="39"/>
  <c r="R62" i="39"/>
  <c r="R54" i="39"/>
  <c r="R50" i="39"/>
  <c r="R121" i="39"/>
  <c r="R101" i="39"/>
  <c r="R45" i="39"/>
  <c r="R41" i="39"/>
  <c r="V51" i="33"/>
  <c r="V59" i="33"/>
  <c r="V83" i="33"/>
  <c r="V85" i="33"/>
  <c r="Z13" i="36"/>
  <c r="Z33" i="36"/>
  <c r="Z53" i="36"/>
  <c r="Z82" i="36"/>
  <c r="N89" i="36"/>
  <c r="N115" i="36"/>
  <c r="Z119" i="36"/>
  <c r="V127" i="39"/>
  <c r="V121" i="39"/>
  <c r="V113" i="39"/>
  <c r="V109" i="39"/>
  <c r="V105" i="39"/>
  <c r="V93" i="39"/>
  <c r="V85" i="39"/>
  <c r="V132" i="39"/>
  <c r="V118" i="39"/>
  <c r="V117" i="39"/>
  <c r="V119" i="39"/>
  <c r="V111" i="39"/>
  <c r="V107" i="39"/>
  <c r="V95" i="39"/>
  <c r="V115" i="39"/>
  <c r="V112" i="39"/>
  <c r="V106" i="39"/>
  <c r="V96" i="39"/>
  <c r="V75" i="39"/>
  <c r="V55" i="39"/>
  <c r="V51" i="39"/>
  <c r="V122" i="39"/>
  <c r="V99" i="39"/>
  <c r="V91" i="39"/>
  <c r="V74" i="39"/>
  <c r="V46" i="39"/>
  <c r="V42" i="39"/>
  <c r="V116" i="39"/>
  <c r="V82" i="39"/>
  <c r="V65" i="39"/>
  <c r="V57" i="39"/>
  <c r="V33" i="39"/>
  <c r="V126" i="39"/>
  <c r="V83" i="39"/>
  <c r="V76" i="39"/>
  <c r="V56" i="39"/>
  <c r="V52" i="39"/>
  <c r="V110" i="39"/>
  <c r="V103" i="39"/>
  <c r="V97" i="39"/>
  <c r="V88" i="39"/>
  <c r="V67" i="39"/>
  <c r="V59" i="39"/>
  <c r="V47" i="39"/>
  <c r="V43" i="39"/>
  <c r="V39" i="39"/>
  <c r="V92" i="39"/>
  <c r="V89" i="39"/>
  <c r="V78" i="39"/>
  <c r="V66" i="39"/>
  <c r="V58" i="39"/>
  <c r="V38" i="39"/>
  <c r="V36" i="39"/>
  <c r="V34" i="39"/>
  <c r="V120" i="39"/>
  <c r="V114" i="39"/>
  <c r="V100" i="39"/>
  <c r="V77" i="39"/>
  <c r="V69" i="39"/>
  <c r="V61" i="39"/>
  <c r="V53" i="39"/>
  <c r="V49" i="39"/>
  <c r="T36" i="39"/>
  <c r="V128" i="39"/>
  <c r="V108" i="39"/>
  <c r="V84" i="39"/>
  <c r="V68" i="39"/>
  <c r="V60" i="39"/>
  <c r="V48" i="39"/>
  <c r="V44" i="39"/>
  <c r="V40" i="39"/>
  <c r="V123" i="39"/>
  <c r="V104" i="39"/>
  <c r="V79" i="39"/>
  <c r="V71" i="39"/>
  <c r="V63" i="39"/>
  <c r="V98" i="39"/>
  <c r="V94" i="39"/>
  <c r="V90" i="39"/>
  <c r="V70" i="39"/>
  <c r="V62" i="39"/>
  <c r="V54" i="39"/>
  <c r="V50" i="39"/>
  <c r="V101" i="39"/>
  <c r="V81" i="39"/>
  <c r="V73" i="39"/>
  <c r="V45" i="39"/>
  <c r="V41" i="39"/>
  <c r="V102" i="39"/>
  <c r="V87" i="39"/>
  <c r="V86" i="39"/>
  <c r="V80" i="39"/>
  <c r="V72" i="39"/>
  <c r="V64" i="39"/>
  <c r="V32" i="39"/>
  <c r="V32" i="33"/>
  <c r="V60" i="33"/>
  <c r="V68" i="33"/>
  <c r="V76" i="33"/>
  <c r="L69" i="36"/>
  <c r="N69" i="36" s="1"/>
  <c r="J36" i="39"/>
  <c r="J38" i="39"/>
  <c r="J40" i="39"/>
  <c r="J44" i="39"/>
  <c r="J48" i="39"/>
  <c r="J60" i="39"/>
  <c r="J68" i="39"/>
  <c r="J78" i="39"/>
  <c r="Z81" i="39"/>
  <c r="J84" i="39"/>
  <c r="J108" i="39"/>
  <c r="J111" i="39"/>
  <c r="N18" i="42"/>
  <c r="N20" i="42"/>
  <c r="H115" i="42"/>
  <c r="H118" i="36"/>
  <c r="L118" i="36" s="1"/>
  <c r="J39" i="39"/>
  <c r="J53" i="39"/>
  <c r="J59" i="39"/>
  <c r="J67" i="39"/>
  <c r="J77" i="39"/>
  <c r="J89" i="39"/>
  <c r="J114" i="39"/>
  <c r="L18" i="42"/>
  <c r="F25" i="42"/>
  <c r="L31" i="42"/>
  <c r="N64" i="42"/>
  <c r="L66" i="42"/>
  <c r="F73" i="42"/>
  <c r="Z86" i="42"/>
  <c r="L116" i="42"/>
  <c r="N116" i="42" s="1"/>
  <c r="L118" i="42"/>
  <c r="X14" i="45"/>
  <c r="Z14" i="45" s="1"/>
  <c r="P12" i="45"/>
  <c r="H66" i="48"/>
  <c r="N67" i="48"/>
  <c r="L67" i="48"/>
  <c r="J119" i="39"/>
  <c r="J101" i="39"/>
  <c r="J97" i="39"/>
  <c r="J121" i="39"/>
  <c r="J113" i="39"/>
  <c r="J109" i="39"/>
  <c r="J127" i="39"/>
  <c r="J123" i="39"/>
  <c r="J115" i="39"/>
  <c r="J105" i="39"/>
  <c r="J99" i="39"/>
  <c r="J93" i="39"/>
  <c r="J85" i="39"/>
  <c r="J34" i="39"/>
  <c r="J58" i="39"/>
  <c r="J66" i="39"/>
  <c r="J92" i="39"/>
  <c r="J100" i="39"/>
  <c r="J120" i="39"/>
  <c r="J132" i="39"/>
  <c r="N22" i="42"/>
  <c r="N31" i="42"/>
  <c r="L16" i="39"/>
  <c r="N16" i="39" s="1"/>
  <c r="L20" i="39"/>
  <c r="L24" i="39"/>
  <c r="N24" i="39" s="1"/>
  <c r="L28" i="39"/>
  <c r="N28" i="39" s="1"/>
  <c r="J43" i="39"/>
  <c r="J47" i="39"/>
  <c r="J57" i="39"/>
  <c r="J83" i="39"/>
  <c r="L22" i="42"/>
  <c r="X32" i="42"/>
  <c r="Z32" i="42" s="1"/>
  <c r="N62" i="42"/>
  <c r="Z64" i="42"/>
  <c r="F75" i="42"/>
  <c r="N15" i="48"/>
  <c r="L15" i="48"/>
  <c r="L119" i="36"/>
  <c r="N119" i="36" s="1"/>
  <c r="N12" i="39"/>
  <c r="X13" i="39"/>
  <c r="Z13" i="39" s="1"/>
  <c r="J52" i="39"/>
  <c r="J56" i="39"/>
  <c r="J76" i="39"/>
  <c r="J88" i="39"/>
  <c r="L102" i="39"/>
  <c r="N102" i="39" s="1"/>
  <c r="J103" i="39"/>
  <c r="J107" i="39"/>
  <c r="J110" i="39"/>
  <c r="J126" i="39"/>
  <c r="F44" i="42"/>
  <c r="N104" i="42"/>
  <c r="L106" i="42"/>
  <c r="N106" i="42" s="1"/>
  <c r="J33" i="39"/>
  <c r="J65" i="39"/>
  <c r="J75" i="39"/>
  <c r="J82" i="39"/>
  <c r="J96" i="39"/>
  <c r="J116" i="39"/>
  <c r="Z127" i="39"/>
  <c r="N15" i="42"/>
  <c r="L15" i="42"/>
  <c r="F33" i="42"/>
  <c r="F94" i="42"/>
  <c r="F96" i="42"/>
  <c r="T22" i="54"/>
  <c r="Z16" i="54"/>
  <c r="L15" i="39"/>
  <c r="N15" i="39" s="1"/>
  <c r="L19" i="39"/>
  <c r="N19" i="39" s="1"/>
  <c r="L23" i="39"/>
  <c r="L27" i="39"/>
  <c r="N27" i="39" s="1"/>
  <c r="J32" i="39"/>
  <c r="J42" i="39"/>
  <c r="J46" i="39"/>
  <c r="J74" i="39"/>
  <c r="N87" i="39"/>
  <c r="X93" i="39"/>
  <c r="Z93" i="39" s="1"/>
  <c r="J122" i="39"/>
  <c r="N125" i="39"/>
  <c r="X127" i="39"/>
  <c r="T12" i="42"/>
  <c r="Z25" i="42"/>
  <c r="N42" i="42"/>
  <c r="N56" i="42"/>
  <c r="Z60" i="42"/>
  <c r="F83" i="42"/>
  <c r="F117" i="42"/>
  <c r="T118" i="36"/>
  <c r="J51" i="39"/>
  <c r="J55" i="39"/>
  <c r="J73" i="39"/>
  <c r="J81" i="39"/>
  <c r="J87" i="39"/>
  <c r="J91" i="39"/>
  <c r="J95" i="39"/>
  <c r="J102" i="39"/>
  <c r="J106" i="39"/>
  <c r="J112" i="39"/>
  <c r="X116" i="39"/>
  <c r="Z116" i="39" s="1"/>
  <c r="J125" i="39"/>
  <c r="T125" i="39"/>
  <c r="X125" i="39" s="1"/>
  <c r="Z13" i="42"/>
  <c r="Z15" i="42"/>
  <c r="X17" i="42"/>
  <c r="Z17" i="42" s="1"/>
  <c r="L19" i="42"/>
  <c r="N19" i="42" s="1"/>
  <c r="N92" i="42"/>
  <c r="J64" i="39"/>
  <c r="J72" i="39"/>
  <c r="J80" i="39"/>
  <c r="J86" i="39"/>
  <c r="X19" i="42"/>
  <c r="L26" i="39"/>
  <c r="N26" i="39" s="1"/>
  <c r="L30" i="39"/>
  <c r="J41" i="39"/>
  <c r="J45" i="39"/>
  <c r="J63" i="39"/>
  <c r="J71" i="39"/>
  <c r="F122" i="42"/>
  <c r="F116" i="42"/>
  <c r="F107" i="42"/>
  <c r="F106" i="42"/>
  <c r="F67" i="42"/>
  <c r="F66" i="42"/>
  <c r="F39" i="42"/>
  <c r="F35" i="42"/>
  <c r="F90" i="42"/>
  <c r="F78" i="42"/>
  <c r="F77" i="42"/>
  <c r="F58" i="42"/>
  <c r="F109" i="42"/>
  <c r="F108" i="42"/>
  <c r="F101" i="42"/>
  <c r="F97" i="42"/>
  <c r="F85" i="42"/>
  <c r="F69" i="42"/>
  <c r="F68" i="42"/>
  <c r="F49" i="42"/>
  <c r="F45" i="42"/>
  <c r="F80" i="42"/>
  <c r="F79" i="42"/>
  <c r="F40" i="42"/>
  <c r="F36" i="42"/>
  <c r="F91" i="42"/>
  <c r="F87" i="42"/>
  <c r="F86" i="42"/>
  <c r="F59" i="42"/>
  <c r="F51" i="42"/>
  <c r="F50" i="42"/>
  <c r="F27" i="42"/>
  <c r="F110" i="42"/>
  <c r="F102" i="42"/>
  <c r="F98" i="42"/>
  <c r="F70" i="42"/>
  <c r="F46" i="42"/>
  <c r="F93" i="42"/>
  <c r="F92" i="42"/>
  <c r="F81" i="42"/>
  <c r="F61" i="42"/>
  <c r="F60" i="42"/>
  <c r="F53" i="42"/>
  <c r="F52" i="42"/>
  <c r="F88" i="42"/>
  <c r="F72" i="42"/>
  <c r="F71" i="42"/>
  <c r="F31" i="42"/>
  <c r="F111" i="42"/>
  <c r="F103" i="42"/>
  <c r="F99" i="42"/>
  <c r="F63" i="42"/>
  <c r="F62" i="42"/>
  <c r="F55" i="42"/>
  <c r="F54" i="42"/>
  <c r="F47" i="42"/>
  <c r="F43" i="42"/>
  <c r="F42" i="42"/>
  <c r="D29" i="42"/>
  <c r="F29" i="42" s="1"/>
  <c r="F118" i="42"/>
  <c r="F113" i="42"/>
  <c r="F112" i="42"/>
  <c r="F105" i="42"/>
  <c r="F104" i="42"/>
  <c r="F89" i="42"/>
  <c r="F65" i="42"/>
  <c r="F64" i="42"/>
  <c r="F57" i="42"/>
  <c r="F56" i="42"/>
  <c r="Z19" i="42"/>
  <c r="N23" i="42"/>
  <c r="L23" i="42"/>
  <c r="F26" i="42"/>
  <c r="F74" i="42"/>
  <c r="Z92" i="42"/>
  <c r="Z115" i="42"/>
  <c r="J50" i="39"/>
  <c r="J54" i="39"/>
  <c r="J62" i="39"/>
  <c r="J70" i="39"/>
  <c r="J90" i="39"/>
  <c r="J94" i="39"/>
  <c r="J118" i="39"/>
  <c r="H12" i="42"/>
  <c r="N14" i="42"/>
  <c r="N16" i="42"/>
  <c r="X23" i="42"/>
  <c r="Z23" i="42" s="1"/>
  <c r="F48" i="42"/>
  <c r="N50" i="42"/>
  <c r="Z54" i="42"/>
  <c r="Z77" i="42"/>
  <c r="X92" i="42"/>
  <c r="F100" i="42"/>
  <c r="N112" i="42"/>
  <c r="L23" i="51"/>
  <c r="N23" i="51" s="1"/>
  <c r="H36" i="39"/>
  <c r="J49" i="39"/>
  <c r="J61" i="39"/>
  <c r="J69" i="39"/>
  <c r="J79" i="39"/>
  <c r="Z87" i="39"/>
  <c r="J98" i="39"/>
  <c r="J104" i="39"/>
  <c r="J128" i="39"/>
  <c r="P12" i="42"/>
  <c r="F32" i="42"/>
  <c r="F34" i="42"/>
  <c r="F41" i="42"/>
  <c r="X50" i="42"/>
  <c r="Z50" i="42" s="1"/>
  <c r="Z52" i="42"/>
  <c r="N68" i="42"/>
  <c r="F76" i="42"/>
  <c r="F95" i="42"/>
  <c r="D115" i="42"/>
  <c r="L115" i="42" s="1"/>
  <c r="X20" i="45"/>
  <c r="Z20" i="45" s="1"/>
  <c r="F28" i="45"/>
  <c r="N51" i="45"/>
  <c r="Z19" i="48"/>
  <c r="J32" i="48"/>
  <c r="J34" i="48"/>
  <c r="N47" i="48"/>
  <c r="L35" i="51"/>
  <c r="N35" i="51" s="1"/>
  <c r="Z90" i="51"/>
  <c r="X16" i="54"/>
  <c r="P22" i="54"/>
  <c r="N71" i="56"/>
  <c r="L71" i="56"/>
  <c r="F48" i="45"/>
  <c r="N82" i="45"/>
  <c r="F84" i="45"/>
  <c r="F88" i="45"/>
  <c r="J60" i="48"/>
  <c r="X67" i="48"/>
  <c r="Z67" i="48" s="1"/>
  <c r="T66" i="48"/>
  <c r="V67" i="48"/>
  <c r="J24" i="54"/>
  <c r="J14" i="54"/>
  <c r="J16" i="54"/>
  <c r="J26" i="54"/>
  <c r="H16" i="54"/>
  <c r="J28" i="54"/>
  <c r="J18" i="54"/>
  <c r="J29" i="54"/>
  <c r="J20" i="54"/>
  <c r="J31" i="54"/>
  <c r="N12" i="54"/>
  <c r="J22" i="54"/>
  <c r="L18" i="45"/>
  <c r="N84" i="45"/>
  <c r="J52" i="48"/>
  <c r="N56" i="48"/>
  <c r="L56" i="48"/>
  <c r="F90" i="45"/>
  <c r="F81" i="45"/>
  <c r="F77" i="45"/>
  <c r="F21" i="45"/>
  <c r="F20" i="45"/>
  <c r="F94" i="45"/>
  <c r="F72" i="45"/>
  <c r="F56" i="45"/>
  <c r="F55" i="45"/>
  <c r="F44" i="45"/>
  <c r="F40" i="45"/>
  <c r="F83" i="45"/>
  <c r="F82" i="45"/>
  <c r="F67" i="45"/>
  <c r="F35" i="45"/>
  <c r="F31" i="45"/>
  <c r="F78" i="45"/>
  <c r="F74" i="45"/>
  <c r="F73" i="45"/>
  <c r="F58" i="45"/>
  <c r="F57" i="45"/>
  <c r="F46" i="45"/>
  <c r="F45" i="45"/>
  <c r="F22" i="45"/>
  <c r="F68" i="45"/>
  <c r="F60" i="45"/>
  <c r="F59" i="45"/>
  <c r="F87" i="45"/>
  <c r="F86" i="45"/>
  <c r="F79" i="45"/>
  <c r="F75" i="45"/>
  <c r="F70" i="45"/>
  <c r="F69" i="45"/>
  <c r="F62" i="45"/>
  <c r="F61" i="45"/>
  <c r="F50" i="45"/>
  <c r="F49" i="45"/>
  <c r="F42" i="45"/>
  <c r="F38" i="45"/>
  <c r="F37" i="45"/>
  <c r="D24" i="45"/>
  <c r="F24" i="45" s="1"/>
  <c r="F71" i="45"/>
  <c r="F43" i="45"/>
  <c r="F39" i="45"/>
  <c r="F66" i="45"/>
  <c r="F65" i="45"/>
  <c r="F54" i="45"/>
  <c r="F53" i="45"/>
  <c r="F34" i="45"/>
  <c r="F30" i="45"/>
  <c r="F33" i="45"/>
  <c r="N37" i="45"/>
  <c r="F76" i="45"/>
  <c r="L13" i="51"/>
  <c r="N13" i="51" s="1"/>
  <c r="D12" i="51"/>
  <c r="Z86" i="51"/>
  <c r="X86" i="51"/>
  <c r="H12" i="45"/>
  <c r="L12" i="45" s="1"/>
  <c r="F27" i="45"/>
  <c r="F52" i="45"/>
  <c r="Z53" i="45"/>
  <c r="N59" i="45"/>
  <c r="N61" i="45"/>
  <c r="F63" i="45"/>
  <c r="X84" i="45"/>
  <c r="Z84" i="45" s="1"/>
  <c r="Z36" i="48"/>
  <c r="H12" i="51"/>
  <c r="L13" i="45"/>
  <c r="N13" i="45" s="1"/>
  <c r="X18" i="45"/>
  <c r="N27" i="45"/>
  <c r="F29" i="45"/>
  <c r="F41" i="45"/>
  <c r="L47" i="45"/>
  <c r="Z55" i="45"/>
  <c r="L63" i="45"/>
  <c r="N63" i="45" s="1"/>
  <c r="Z73" i="45"/>
  <c r="X73" i="45"/>
  <c r="F72" i="48"/>
  <c r="F67" i="48"/>
  <c r="F58" i="48"/>
  <c r="F50" i="48"/>
  <c r="F49" i="48"/>
  <c r="F52" i="48"/>
  <c r="F51" i="48"/>
  <c r="F59" i="48"/>
  <c r="F55" i="48"/>
  <c r="F35" i="48"/>
  <c r="F31" i="48"/>
  <c r="D17" i="48"/>
  <c r="F64" i="48"/>
  <c r="F63" i="48"/>
  <c r="F48" i="48"/>
  <c r="F47" i="48"/>
  <c r="F32" i="48"/>
  <c r="L12" i="48"/>
  <c r="F68" i="48"/>
  <c r="F46" i="48"/>
  <c r="F42" i="48"/>
  <c r="F37" i="48"/>
  <c r="F29" i="48"/>
  <c r="F20" i="48"/>
  <c r="F19" i="48"/>
  <c r="F61" i="48"/>
  <c r="F43" i="48"/>
  <c r="F21" i="48"/>
  <c r="F53" i="48"/>
  <c r="F38" i="48"/>
  <c r="F33" i="48"/>
  <c r="F30" i="48"/>
  <c r="F24" i="48"/>
  <c r="F39" i="48"/>
  <c r="F27" i="48"/>
  <c r="F56" i="48"/>
  <c r="F34" i="48"/>
  <c r="F22" i="48"/>
  <c r="F66" i="48"/>
  <c r="F54" i="48"/>
  <c r="F44" i="48"/>
  <c r="F40" i="48"/>
  <c r="F25" i="48"/>
  <c r="F60" i="48"/>
  <c r="F36" i="48"/>
  <c r="F26" i="48"/>
  <c r="T70" i="48"/>
  <c r="X38" i="48"/>
  <c r="Z38" i="48" s="1"/>
  <c r="V38" i="48"/>
  <c r="P12" i="51"/>
  <c r="X15" i="51"/>
  <c r="L32" i="42"/>
  <c r="N32" i="42" s="1"/>
  <c r="L52" i="42"/>
  <c r="N52" i="42" s="1"/>
  <c r="L60" i="42"/>
  <c r="X66" i="42"/>
  <c r="Z66" i="42" s="1"/>
  <c r="L92" i="42"/>
  <c r="X106" i="42"/>
  <c r="Z106" i="42" s="1"/>
  <c r="X116" i="42"/>
  <c r="Z116" i="42" s="1"/>
  <c r="Z118" i="42"/>
  <c r="Z18" i="45"/>
  <c r="L26" i="45"/>
  <c r="F47" i="45"/>
  <c r="J51" i="48"/>
  <c r="J59" i="48"/>
  <c r="J53" i="48"/>
  <c r="J43" i="48"/>
  <c r="J54" i="48"/>
  <c r="J62" i="48"/>
  <c r="J56" i="48"/>
  <c r="J46" i="48"/>
  <c r="J36" i="48"/>
  <c r="J26" i="48"/>
  <c r="J22" i="48"/>
  <c r="J67" i="48"/>
  <c r="J49" i="48"/>
  <c r="J39" i="48"/>
  <c r="J27" i="48"/>
  <c r="J23" i="48"/>
  <c r="J64" i="48"/>
  <c r="J38" i="48"/>
  <c r="J21" i="48"/>
  <c r="N12" i="48"/>
  <c r="J33" i="48"/>
  <c r="J30" i="48"/>
  <c r="J24" i="48"/>
  <c r="J50" i="48"/>
  <c r="J47" i="48"/>
  <c r="J66" i="48"/>
  <c r="J44" i="48"/>
  <c r="J40" i="48"/>
  <c r="J31" i="48"/>
  <c r="J25" i="48"/>
  <c r="J63" i="48"/>
  <c r="J57" i="48"/>
  <c r="J48" i="48"/>
  <c r="J45" i="48"/>
  <c r="J28" i="48"/>
  <c r="J15" i="48"/>
  <c r="J68" i="48"/>
  <c r="J42" i="48"/>
  <c r="J29" i="48"/>
  <c r="J20" i="48"/>
  <c r="J19" i="48"/>
  <c r="H17" i="48"/>
  <c r="J61" i="48"/>
  <c r="J58" i="48"/>
  <c r="J55" i="48"/>
  <c r="J37" i="48"/>
  <c r="X68" i="48"/>
  <c r="P66" i="48"/>
  <c r="X66" i="48" s="1"/>
  <c r="V82" i="51"/>
  <c r="V70" i="51"/>
  <c r="V92" i="51"/>
  <c r="V84" i="51"/>
  <c r="V72" i="51"/>
  <c r="V56" i="51"/>
  <c r="V54" i="51"/>
  <c r="V52" i="51"/>
  <c r="V48" i="51"/>
  <c r="V44" i="51"/>
  <c r="V40" i="51"/>
  <c r="V95" i="51"/>
  <c r="V83" i="51"/>
  <c r="V71" i="51"/>
  <c r="V67" i="51"/>
  <c r="T54" i="51"/>
  <c r="V104" i="51"/>
  <c r="V94" i="51"/>
  <c r="V86" i="51"/>
  <c r="V103" i="51"/>
  <c r="V97" i="51"/>
  <c r="V102" i="51"/>
  <c r="V96" i="51"/>
  <c r="V88" i="51"/>
  <c r="V76" i="51"/>
  <c r="V68" i="51"/>
  <c r="V101" i="51"/>
  <c r="V87" i="51"/>
  <c r="V75" i="51"/>
  <c r="V63" i="51"/>
  <c r="V59" i="51"/>
  <c r="V108" i="51"/>
  <c r="V100" i="51"/>
  <c r="V98" i="51"/>
  <c r="V90" i="51"/>
  <c r="V78" i="51"/>
  <c r="V50" i="51"/>
  <c r="V46" i="51"/>
  <c r="V42" i="51"/>
  <c r="V38" i="51"/>
  <c r="V80" i="51"/>
  <c r="V64" i="51"/>
  <c r="V60" i="51"/>
  <c r="V69" i="51"/>
  <c r="V93" i="51"/>
  <c r="V74" i="51"/>
  <c r="V57" i="51"/>
  <c r="V89" i="51"/>
  <c r="V91" i="51"/>
  <c r="V85" i="51"/>
  <c r="V81" i="51"/>
  <c r="V61" i="51"/>
  <c r="V65" i="51"/>
  <c r="V79" i="51"/>
  <c r="V51" i="51"/>
  <c r="V77" i="51"/>
  <c r="V58" i="51"/>
  <c r="V49" i="51"/>
  <c r="V73" i="51"/>
  <c r="V43" i="51"/>
  <c r="V41" i="51"/>
  <c r="V39" i="51"/>
  <c r="N22" i="51"/>
  <c r="H37" i="55"/>
  <c r="F26" i="45"/>
  <c r="Z27" i="45"/>
  <c r="F36" i="45"/>
  <c r="N47" i="45"/>
  <c r="Z57" i="45"/>
  <c r="Z63" i="45"/>
  <c r="F85" i="45"/>
  <c r="F41" i="48"/>
  <c r="Z42" i="48"/>
  <c r="F57" i="48"/>
  <c r="Z68" i="48"/>
  <c r="N18" i="51"/>
  <c r="N26" i="45"/>
  <c r="N49" i="45"/>
  <c r="X65" i="45"/>
  <c r="Z65" i="45" s="1"/>
  <c r="J41" i="48"/>
  <c r="L63" i="48"/>
  <c r="Z82" i="51"/>
  <c r="X82" i="51"/>
  <c r="L14" i="45"/>
  <c r="N14" i="45" s="1"/>
  <c r="N17" i="45"/>
  <c r="F32" i="45"/>
  <c r="F64" i="45"/>
  <c r="J72" i="48"/>
  <c r="V66" i="51"/>
  <c r="X100" i="51"/>
  <c r="Z100" i="51" s="1"/>
  <c r="N14" i="57"/>
  <c r="H16" i="57"/>
  <c r="Z13" i="45"/>
  <c r="Z17" i="45"/>
  <c r="P12" i="48"/>
  <c r="Z40" i="48"/>
  <c r="X53" i="48"/>
  <c r="Z53" i="48" s="1"/>
  <c r="N14" i="51"/>
  <c r="N16" i="51"/>
  <c r="Z19" i="51"/>
  <c r="N26" i="51"/>
  <c r="N28" i="51"/>
  <c r="Z78" i="51"/>
  <c r="N84" i="51"/>
  <c r="L88" i="51"/>
  <c r="N90" i="51"/>
  <c r="D26" i="54"/>
  <c r="Z14" i="55"/>
  <c r="X14" i="55"/>
  <c r="L14" i="57"/>
  <c r="D16" i="57"/>
  <c r="Z16" i="57"/>
  <c r="T68" i="59"/>
  <c r="T12" i="45"/>
  <c r="Z47" i="48"/>
  <c r="L66" i="48"/>
  <c r="X21" i="51"/>
  <c r="Z21" i="51" s="1"/>
  <c r="Z80" i="51"/>
  <c r="R78" i="58"/>
  <c r="R75" i="58"/>
  <c r="R60" i="58"/>
  <c r="R54" i="58"/>
  <c r="R47" i="58"/>
  <c r="R46" i="58"/>
  <c r="R35" i="58"/>
  <c r="R34" i="58"/>
  <c r="R69" i="58"/>
  <c r="R30" i="58"/>
  <c r="R29" i="58"/>
  <c r="R25" i="58"/>
  <c r="R21" i="58"/>
  <c r="R61" i="58"/>
  <c r="R49" i="58"/>
  <c r="R48" i="58"/>
  <c r="R37" i="58"/>
  <c r="R36" i="58"/>
  <c r="R71" i="58"/>
  <c r="R62" i="58"/>
  <c r="R56" i="58"/>
  <c r="R55" i="58"/>
  <c r="R31" i="58"/>
  <c r="R50" i="58"/>
  <c r="R39" i="58"/>
  <c r="R38" i="58"/>
  <c r="R26" i="58"/>
  <c r="R22" i="58"/>
  <c r="R58" i="58"/>
  <c r="R57" i="58"/>
  <c r="R64" i="58"/>
  <c r="R63" i="58"/>
  <c r="R41" i="58"/>
  <c r="R40" i="58"/>
  <c r="R32" i="58"/>
  <c r="X12" i="58"/>
  <c r="R73" i="58"/>
  <c r="R59" i="58"/>
  <c r="R51" i="58"/>
  <c r="R27" i="58"/>
  <c r="R23" i="58"/>
  <c r="R67" i="58"/>
  <c r="R28" i="58"/>
  <c r="R53" i="58"/>
  <c r="R44" i="58"/>
  <c r="R42" i="58"/>
  <c r="R14" i="58"/>
  <c r="R18" i="58"/>
  <c r="R33" i="58"/>
  <c r="R66" i="58"/>
  <c r="R45" i="58"/>
  <c r="R43" i="58"/>
  <c r="R19" i="58"/>
  <c r="R16" i="58"/>
  <c r="P56" i="60"/>
  <c r="X29" i="48"/>
  <c r="Z29" i="48" s="1"/>
  <c r="Z61" i="48"/>
  <c r="N20" i="51"/>
  <c r="Z23" i="51"/>
  <c r="N38" i="51"/>
  <c r="L72" i="51"/>
  <c r="H100" i="51"/>
  <c r="L100" i="51" s="1"/>
  <c r="N102" i="51"/>
  <c r="P33" i="55"/>
  <c r="Z28" i="57"/>
  <c r="L39" i="58"/>
  <c r="N39" i="58" s="1"/>
  <c r="Z53" i="58"/>
  <c r="X53" i="58"/>
  <c r="Z49" i="48"/>
  <c r="N51" i="48"/>
  <c r="N72" i="51"/>
  <c r="L47" i="56"/>
  <c r="N47" i="56" s="1"/>
  <c r="N62" i="58"/>
  <c r="X19" i="60"/>
  <c r="Z19" i="60" s="1"/>
  <c r="V49" i="48"/>
  <c r="L51" i="48"/>
  <c r="N15" i="51"/>
  <c r="L15" i="51"/>
  <c r="L27" i="51"/>
  <c r="N27" i="51" s="1"/>
  <c r="X35" i="51"/>
  <c r="Z35" i="51" s="1"/>
  <c r="L74" i="51"/>
  <c r="N74" i="51" s="1"/>
  <c r="N76" i="51"/>
  <c r="X14" i="56"/>
  <c r="P16" i="56"/>
  <c r="L22" i="51"/>
  <c r="L56" i="51"/>
  <c r="L76" i="51"/>
  <c r="Z29" i="54"/>
  <c r="Z14" i="56"/>
  <c r="T16" i="56"/>
  <c r="N13" i="48"/>
  <c r="V45" i="48"/>
  <c r="Z45" i="48"/>
  <c r="Z63" i="48"/>
  <c r="Z15" i="51"/>
  <c r="N56" i="51"/>
  <c r="Z72" i="51"/>
  <c r="Z74" i="51"/>
  <c r="X74" i="51"/>
  <c r="N58" i="58"/>
  <c r="L58" i="58"/>
  <c r="X17" i="51"/>
  <c r="Z17" i="51" s="1"/>
  <c r="X27" i="51"/>
  <c r="Z27" i="51" s="1"/>
  <c r="X29" i="51"/>
  <c r="Z29" i="51" s="1"/>
  <c r="N36" i="51"/>
  <c r="L104" i="51"/>
  <c r="N104" i="51" s="1"/>
  <c r="L31" i="55"/>
  <c r="F73" i="56"/>
  <c r="F71" i="56"/>
  <c r="F62" i="56"/>
  <c r="F50" i="56"/>
  <c r="F49" i="56"/>
  <c r="F38" i="56"/>
  <c r="F37" i="56"/>
  <c r="F30" i="56"/>
  <c r="F29" i="56"/>
  <c r="D16" i="56"/>
  <c r="F75" i="56"/>
  <c r="F25" i="56"/>
  <c r="F21" i="56"/>
  <c r="F64" i="56"/>
  <c r="F63" i="56"/>
  <c r="F56" i="56"/>
  <c r="F40" i="56"/>
  <c r="F39" i="56"/>
  <c r="F51" i="56"/>
  <c r="F31" i="56"/>
  <c r="F80" i="56"/>
  <c r="F77" i="56"/>
  <c r="F66" i="56"/>
  <c r="F65" i="56"/>
  <c r="F58" i="56"/>
  <c r="F57" i="56"/>
  <c r="F42" i="56"/>
  <c r="F41" i="56"/>
  <c r="F68" i="56"/>
  <c r="F67" i="56"/>
  <c r="F60" i="56"/>
  <c r="F59" i="56"/>
  <c r="F52" i="56"/>
  <c r="F44" i="56"/>
  <c r="F43" i="56"/>
  <c r="F32" i="56"/>
  <c r="F48" i="56"/>
  <c r="F47" i="56"/>
  <c r="F36" i="56"/>
  <c r="F35" i="56"/>
  <c r="F28" i="56"/>
  <c r="F24" i="56"/>
  <c r="F20" i="56"/>
  <c r="F19" i="56"/>
  <c r="F61" i="56"/>
  <c r="F18" i="56"/>
  <c r="F55" i="56"/>
  <c r="F34" i="56"/>
  <c r="F27" i="56"/>
  <c r="F23" i="56"/>
  <c r="F53" i="56"/>
  <c r="F46" i="56"/>
  <c r="F14" i="56"/>
  <c r="F69" i="56"/>
  <c r="F26" i="56"/>
  <c r="F22" i="56"/>
  <c r="F16" i="56"/>
  <c r="Z19" i="56"/>
  <c r="X57" i="56"/>
  <c r="Z57" i="56" s="1"/>
  <c r="X61" i="57"/>
  <c r="Z61" i="57" s="1"/>
  <c r="R52" i="58"/>
  <c r="N38" i="48"/>
  <c r="L19" i="51"/>
  <c r="N19" i="51" s="1"/>
  <c r="N80" i="51"/>
  <c r="L80" i="51"/>
  <c r="P71" i="58"/>
  <c r="Z43" i="59"/>
  <c r="V45" i="61"/>
  <c r="V37" i="61"/>
  <c r="V25" i="61"/>
  <c r="V21" i="61"/>
  <c r="V36" i="61"/>
  <c r="V51" i="61"/>
  <c r="V49" i="61"/>
  <c r="V47" i="61"/>
  <c r="V39" i="61"/>
  <c r="V31" i="61"/>
  <c r="V38" i="61"/>
  <c r="V26" i="61"/>
  <c r="V22" i="61"/>
  <c r="V41" i="61"/>
  <c r="V40" i="61"/>
  <c r="V32" i="61"/>
  <c r="V28" i="61"/>
  <c r="Z12" i="61"/>
  <c r="V58" i="61"/>
  <c r="V55" i="61"/>
  <c r="V53" i="61"/>
  <c r="V27" i="61"/>
  <c r="V23" i="61"/>
  <c r="V19" i="61"/>
  <c r="V43" i="61"/>
  <c r="V35" i="61"/>
  <c r="V14" i="61"/>
  <c r="V29" i="61"/>
  <c r="V46" i="61"/>
  <c r="V44" i="61"/>
  <c r="V33" i="61"/>
  <c r="V42" i="61"/>
  <c r="V16" i="61"/>
  <c r="V24" i="61"/>
  <c r="V18" i="61"/>
  <c r="T16" i="61"/>
  <c r="V30" i="61"/>
  <c r="V34" i="61"/>
  <c r="V20" i="61"/>
  <c r="N31" i="51"/>
  <c r="L31" i="51"/>
  <c r="Z56" i="51"/>
  <c r="T72" i="57"/>
  <c r="X45" i="57"/>
  <c r="Z45" i="57" s="1"/>
  <c r="T16" i="58"/>
  <c r="V15" i="48"/>
  <c r="V17" i="48"/>
  <c r="V19" i="48"/>
  <c r="V43" i="48"/>
  <c r="V59" i="48"/>
  <c r="F22" i="54"/>
  <c r="F20" i="54"/>
  <c r="F18" i="54"/>
  <c r="F16" i="54"/>
  <c r="R16" i="54"/>
  <c r="V18" i="54"/>
  <c r="V26" i="54"/>
  <c r="N23" i="55"/>
  <c r="J75" i="56"/>
  <c r="J63" i="56"/>
  <c r="J39" i="56"/>
  <c r="J25" i="56"/>
  <c r="J21" i="56"/>
  <c r="J64" i="56"/>
  <c r="J56" i="56"/>
  <c r="J40" i="56"/>
  <c r="J80" i="56"/>
  <c r="J77" i="56"/>
  <c r="J65" i="56"/>
  <c r="J57" i="56"/>
  <c r="J51" i="56"/>
  <c r="J41" i="56"/>
  <c r="J31" i="56"/>
  <c r="J66" i="56"/>
  <c r="J58" i="56"/>
  <c r="J42" i="56"/>
  <c r="J26" i="56"/>
  <c r="J22" i="56"/>
  <c r="J67" i="56"/>
  <c r="J59" i="56"/>
  <c r="J43" i="56"/>
  <c r="J53" i="56"/>
  <c r="J45" i="56"/>
  <c r="J33" i="56"/>
  <c r="J27" i="56"/>
  <c r="J23" i="56"/>
  <c r="J73" i="56"/>
  <c r="J71" i="56"/>
  <c r="J55" i="56"/>
  <c r="J49" i="56"/>
  <c r="J37" i="56"/>
  <c r="J29" i="56"/>
  <c r="H16" i="56"/>
  <c r="R14" i="56"/>
  <c r="J18" i="56"/>
  <c r="R19" i="56"/>
  <c r="X29" i="56"/>
  <c r="Z29" i="56" s="1"/>
  <c r="Z39" i="56"/>
  <c r="Z41" i="56"/>
  <c r="R50" i="56"/>
  <c r="J68" i="56"/>
  <c r="N39" i="57"/>
  <c r="L39" i="57"/>
  <c r="R42" i="57"/>
  <c r="N49" i="57"/>
  <c r="R61" i="57"/>
  <c r="Z36" i="59"/>
  <c r="L12" i="54"/>
  <c r="V16" i="54"/>
  <c r="V24" i="54"/>
  <c r="F31" i="54"/>
  <c r="J29" i="55"/>
  <c r="J19" i="55"/>
  <c r="J20" i="55"/>
  <c r="J18" i="55"/>
  <c r="J16" i="55"/>
  <c r="J14" i="55"/>
  <c r="J33" i="55"/>
  <c r="J31" i="55"/>
  <c r="J21" i="55"/>
  <c r="J28" i="55"/>
  <c r="N12" i="55"/>
  <c r="V14" i="55"/>
  <c r="J26" i="55"/>
  <c r="J35" i="55"/>
  <c r="N12" i="56"/>
  <c r="J24" i="56"/>
  <c r="J28" i="56"/>
  <c r="R31" i="56"/>
  <c r="N33" i="56"/>
  <c r="J47" i="56"/>
  <c r="J54" i="56"/>
  <c r="N63" i="56"/>
  <c r="R22" i="57"/>
  <c r="N56" i="59"/>
  <c r="L37" i="60"/>
  <c r="N37" i="60" s="1"/>
  <c r="Z16" i="64"/>
  <c r="T95" i="64"/>
  <c r="V42" i="48"/>
  <c r="V50" i="48"/>
  <c r="V58" i="48"/>
  <c r="V72" i="48"/>
  <c r="X27" i="55"/>
  <c r="R67" i="56"/>
  <c r="R66" i="56"/>
  <c r="R59" i="56"/>
  <c r="R58" i="56"/>
  <c r="R43" i="56"/>
  <c r="R42" i="56"/>
  <c r="R26" i="56"/>
  <c r="R22" i="56"/>
  <c r="R68" i="56"/>
  <c r="R60" i="56"/>
  <c r="R53" i="56"/>
  <c r="R52" i="56"/>
  <c r="R45" i="56"/>
  <c r="R44" i="56"/>
  <c r="R33" i="56"/>
  <c r="R32" i="56"/>
  <c r="X12" i="56"/>
  <c r="R27" i="56"/>
  <c r="R23" i="56"/>
  <c r="R54" i="56"/>
  <c r="R47" i="56"/>
  <c r="R46" i="56"/>
  <c r="R35" i="56"/>
  <c r="R34" i="56"/>
  <c r="R73" i="56"/>
  <c r="R71" i="56"/>
  <c r="R49" i="56"/>
  <c r="R48" i="56"/>
  <c r="R37" i="56"/>
  <c r="R36" i="56"/>
  <c r="R29" i="56"/>
  <c r="R28" i="56"/>
  <c r="R24" i="56"/>
  <c r="R20" i="56"/>
  <c r="R80" i="56"/>
  <c r="R77" i="56"/>
  <c r="R65" i="56"/>
  <c r="R64" i="56"/>
  <c r="R57" i="56"/>
  <c r="R56" i="56"/>
  <c r="R41" i="56"/>
  <c r="R40" i="56"/>
  <c r="X18" i="56"/>
  <c r="N35" i="56"/>
  <c r="Z45" i="56"/>
  <c r="R19" i="57"/>
  <c r="X12" i="54"/>
  <c r="V14" i="54"/>
  <c r="R23" i="55"/>
  <c r="R22" i="55"/>
  <c r="R35" i="55"/>
  <c r="R40" i="55"/>
  <c r="R37" i="55"/>
  <c r="R25" i="55"/>
  <c r="R24" i="55"/>
  <c r="R29" i="55"/>
  <c r="R18" i="55"/>
  <c r="R16" i="55"/>
  <c r="R14" i="55"/>
  <c r="R27" i="55"/>
  <c r="X71" i="56"/>
  <c r="H71" i="58"/>
  <c r="N16" i="58"/>
  <c r="L49" i="61"/>
  <c r="R97" i="64"/>
  <c r="R90" i="64"/>
  <c r="R75" i="64"/>
  <c r="R78" i="64"/>
  <c r="R63" i="64"/>
  <c r="R62" i="64"/>
  <c r="R51" i="64"/>
  <c r="R50" i="64"/>
  <c r="R43" i="64"/>
  <c r="R42" i="64"/>
  <c r="R34" i="64"/>
  <c r="R30" i="64"/>
  <c r="R84" i="64"/>
  <c r="R79" i="64"/>
  <c r="R69" i="64"/>
  <c r="R25" i="64"/>
  <c r="R21" i="64"/>
  <c r="R88" i="64"/>
  <c r="R64" i="64"/>
  <c r="R53" i="64"/>
  <c r="R52" i="64"/>
  <c r="R44" i="64"/>
  <c r="R99" i="64"/>
  <c r="R76" i="64"/>
  <c r="R36" i="64"/>
  <c r="R35" i="64"/>
  <c r="R31" i="64"/>
  <c r="R91" i="64"/>
  <c r="R71" i="64"/>
  <c r="R70" i="64"/>
  <c r="R55" i="64"/>
  <c r="R54" i="64"/>
  <c r="R26" i="64"/>
  <c r="R22" i="64"/>
  <c r="R92" i="64"/>
  <c r="R85" i="64"/>
  <c r="R81" i="64"/>
  <c r="R80" i="64"/>
  <c r="R65" i="64"/>
  <c r="R46" i="64"/>
  <c r="R45" i="64"/>
  <c r="R38" i="64"/>
  <c r="R37" i="64"/>
  <c r="R102" i="64"/>
  <c r="R93" i="64"/>
  <c r="R73" i="64"/>
  <c r="R72" i="64"/>
  <c r="R57" i="64"/>
  <c r="R56" i="64"/>
  <c r="R32" i="64"/>
  <c r="X12" i="64"/>
  <c r="R47" i="64"/>
  <c r="R39" i="64"/>
  <c r="R28" i="64"/>
  <c r="R27" i="64"/>
  <c r="R23" i="64"/>
  <c r="R86" i="64"/>
  <c r="R33" i="64"/>
  <c r="R29" i="64"/>
  <c r="R18" i="64"/>
  <c r="R16" i="64"/>
  <c r="R14" i="64"/>
  <c r="R74" i="64"/>
  <c r="R83" i="64"/>
  <c r="R40" i="64"/>
  <c r="R87" i="64"/>
  <c r="R61" i="64"/>
  <c r="R59" i="64"/>
  <c r="R48" i="64"/>
  <c r="R20" i="64"/>
  <c r="R67" i="64"/>
  <c r="R95" i="64"/>
  <c r="R41" i="64"/>
  <c r="R24" i="64"/>
  <c r="R82" i="64"/>
  <c r="R19" i="64"/>
  <c r="R66" i="64"/>
  <c r="P16" i="64"/>
  <c r="R77" i="64"/>
  <c r="R68" i="64"/>
  <c r="R58" i="64"/>
  <c r="R60" i="64"/>
  <c r="V115" i="71"/>
  <c r="V109" i="71"/>
  <c r="V101" i="71"/>
  <c r="V93" i="71"/>
  <c r="V85" i="71"/>
  <c r="V113" i="71"/>
  <c r="V95" i="71"/>
  <c r="V87" i="71"/>
  <c r="V71" i="71"/>
  <c r="V67" i="71"/>
  <c r="V63" i="71"/>
  <c r="V110" i="71"/>
  <c r="V102" i="71"/>
  <c r="V86" i="71"/>
  <c r="V78" i="71"/>
  <c r="V54" i="71"/>
  <c r="V50" i="71"/>
  <c r="V46" i="71"/>
  <c r="V42" i="71"/>
  <c r="V119" i="71"/>
  <c r="V97" i="71"/>
  <c r="V104" i="71"/>
  <c r="V96" i="71"/>
  <c r="V88" i="71"/>
  <c r="V80" i="71"/>
  <c r="V68" i="71"/>
  <c r="V64" i="71"/>
  <c r="V103" i="71"/>
  <c r="V99" i="71"/>
  <c r="V79" i="71"/>
  <c r="V98" i="71"/>
  <c r="V90" i="71"/>
  <c r="V74" i="71"/>
  <c r="V105" i="71"/>
  <c r="V89" i="71"/>
  <c r="V81" i="71"/>
  <c r="V69" i="71"/>
  <c r="V65" i="71"/>
  <c r="V107" i="71"/>
  <c r="V91" i="71"/>
  <c r="V83" i="71"/>
  <c r="V75" i="71"/>
  <c r="T59" i="71"/>
  <c r="V51" i="71"/>
  <c r="V49" i="71"/>
  <c r="V44" i="71"/>
  <c r="V92" i="71"/>
  <c r="V70" i="71"/>
  <c r="V106" i="71"/>
  <c r="V76" i="71"/>
  <c r="V56" i="71"/>
  <c r="V108" i="71"/>
  <c r="V100" i="71"/>
  <c r="V61" i="71"/>
  <c r="V47" i="71"/>
  <c r="V66" i="71"/>
  <c r="V45" i="71"/>
  <c r="V73" i="71"/>
  <c r="V52" i="71"/>
  <c r="V84" i="71"/>
  <c r="V62" i="71"/>
  <c r="V57" i="71"/>
  <c r="V77" i="71"/>
  <c r="V43" i="71"/>
  <c r="V41" i="71"/>
  <c r="V114" i="71"/>
  <c r="V82" i="71"/>
  <c r="V48" i="71"/>
  <c r="V53" i="71"/>
  <c r="V94" i="71"/>
  <c r="V59" i="71"/>
  <c r="V55" i="71"/>
  <c r="V72" i="71"/>
  <c r="V22" i="55"/>
  <c r="V40" i="55"/>
  <c r="V37" i="55"/>
  <c r="V35" i="55"/>
  <c r="V25" i="55"/>
  <c r="V24" i="55"/>
  <c r="V27" i="55"/>
  <c r="V20" i="55"/>
  <c r="V23" i="55"/>
  <c r="Z27" i="55"/>
  <c r="Z18" i="56"/>
  <c r="Z33" i="56"/>
  <c r="X49" i="56"/>
  <c r="Z49" i="56" s="1"/>
  <c r="L67" i="56"/>
  <c r="X45" i="58"/>
  <c r="Z45" i="58" s="1"/>
  <c r="N41" i="59"/>
  <c r="L41" i="59"/>
  <c r="J32" i="60"/>
  <c r="J41" i="60"/>
  <c r="J33" i="60"/>
  <c r="J25" i="60"/>
  <c r="J21" i="60"/>
  <c r="J42" i="60"/>
  <c r="J34" i="60"/>
  <c r="J43" i="60"/>
  <c r="J35" i="60"/>
  <c r="J45" i="60"/>
  <c r="J36" i="60"/>
  <c r="N12" i="60"/>
  <c r="J40" i="60"/>
  <c r="J30" i="60"/>
  <c r="J24" i="60"/>
  <c r="J20" i="60"/>
  <c r="J18" i="60"/>
  <c r="J16" i="60"/>
  <c r="J14" i="60"/>
  <c r="J28" i="60"/>
  <c r="J19" i="60"/>
  <c r="J38" i="60"/>
  <c r="J26" i="60"/>
  <c r="J47" i="60"/>
  <c r="J22" i="60"/>
  <c r="J51" i="60"/>
  <c r="J39" i="60"/>
  <c r="J31" i="60"/>
  <c r="J56" i="60"/>
  <c r="J44" i="60"/>
  <c r="J29" i="60"/>
  <c r="J27" i="60"/>
  <c r="J53" i="60"/>
  <c r="J49" i="60"/>
  <c r="J108" i="69"/>
  <c r="J100" i="69"/>
  <c r="J90" i="69"/>
  <c r="J78" i="69"/>
  <c r="J74" i="69"/>
  <c r="J72" i="69"/>
  <c r="J48" i="69"/>
  <c r="J109" i="69"/>
  <c r="J101" i="69"/>
  <c r="J91" i="69"/>
  <c r="H70" i="69"/>
  <c r="J70" i="69" s="1"/>
  <c r="J65" i="69"/>
  <c r="J61" i="69"/>
  <c r="J57" i="69"/>
  <c r="J53" i="69"/>
  <c r="J49" i="69"/>
  <c r="J102" i="69"/>
  <c r="J92" i="69"/>
  <c r="J84" i="69"/>
  <c r="J103" i="69"/>
  <c r="J79" i="69"/>
  <c r="J75" i="69"/>
  <c r="J110" i="69"/>
  <c r="J111" i="69"/>
  <c r="J93" i="69"/>
  <c r="J85" i="69"/>
  <c r="J112" i="69"/>
  <c r="J104" i="69"/>
  <c r="J94" i="69"/>
  <c r="J80" i="69"/>
  <c r="J76" i="69"/>
  <c r="J113" i="69"/>
  <c r="J105" i="69"/>
  <c r="J95" i="69"/>
  <c r="J67" i="69"/>
  <c r="J63" i="69"/>
  <c r="J59" i="69"/>
  <c r="J55" i="69"/>
  <c r="J51" i="69"/>
  <c r="J114" i="69"/>
  <c r="J106" i="69"/>
  <c r="J96" i="69"/>
  <c r="J86" i="69"/>
  <c r="J116" i="69"/>
  <c r="J98" i="69"/>
  <c r="J88" i="69"/>
  <c r="J82" i="69"/>
  <c r="J68" i="69"/>
  <c r="J64" i="69"/>
  <c r="J60" i="69"/>
  <c r="J56" i="69"/>
  <c r="J52" i="69"/>
  <c r="J58" i="69"/>
  <c r="J117" i="69"/>
  <c r="J89" i="69"/>
  <c r="J81" i="69"/>
  <c r="J87" i="69"/>
  <c r="J83" i="69"/>
  <c r="J62" i="69"/>
  <c r="J50" i="69"/>
  <c r="J97" i="69"/>
  <c r="J107" i="69"/>
  <c r="J99" i="69"/>
  <c r="J73" i="69"/>
  <c r="J66" i="69"/>
  <c r="J54" i="69"/>
  <c r="J77" i="69"/>
  <c r="J121" i="69"/>
  <c r="Z12" i="54"/>
  <c r="X12" i="55"/>
  <c r="V26" i="55"/>
  <c r="V29" i="55"/>
  <c r="D33" i="55"/>
  <c r="Z63" i="56"/>
  <c r="N67" i="56"/>
  <c r="X53" i="57"/>
  <c r="Z53" i="57" s="1"/>
  <c r="N35" i="58"/>
  <c r="Z66" i="58"/>
  <c r="L12" i="60"/>
  <c r="H16" i="60"/>
  <c r="V62" i="48"/>
  <c r="V68" i="48"/>
  <c r="V70" i="48"/>
  <c r="X104" i="51"/>
  <c r="Z104" i="51" s="1"/>
  <c r="X20" i="54"/>
  <c r="Z12" i="55"/>
  <c r="L21" i="55"/>
  <c r="N21" i="55" s="1"/>
  <c r="L25" i="55"/>
  <c r="Z35" i="56"/>
  <c r="N53" i="56"/>
  <c r="Z65" i="56"/>
  <c r="R63" i="57"/>
  <c r="R62" i="57"/>
  <c r="R55" i="57"/>
  <c r="R54" i="57"/>
  <c r="R47" i="57"/>
  <c r="R46" i="57"/>
  <c r="R35" i="57"/>
  <c r="R34" i="57"/>
  <c r="R29" i="57"/>
  <c r="R18" i="57"/>
  <c r="R16" i="57"/>
  <c r="R14" i="57"/>
  <c r="R64" i="57"/>
  <c r="R57" i="57"/>
  <c r="R56" i="57"/>
  <c r="R49" i="57"/>
  <c r="R48" i="57"/>
  <c r="R37" i="57"/>
  <c r="R36" i="57"/>
  <c r="R24" i="57"/>
  <c r="R20" i="57"/>
  <c r="P16" i="57"/>
  <c r="R68" i="57"/>
  <c r="R66" i="57"/>
  <c r="R58" i="57"/>
  <c r="R50" i="57"/>
  <c r="R39" i="57"/>
  <c r="R38" i="57"/>
  <c r="R30" i="57"/>
  <c r="R25" i="57"/>
  <c r="R21" i="57"/>
  <c r="R70" i="57"/>
  <c r="R41" i="57"/>
  <c r="R40" i="57"/>
  <c r="R75" i="57"/>
  <c r="R72" i="57"/>
  <c r="R59" i="57"/>
  <c r="R51" i="57"/>
  <c r="R31" i="57"/>
  <c r="R28" i="57"/>
  <c r="R27" i="57"/>
  <c r="R23" i="57"/>
  <c r="R33" i="57"/>
  <c r="Z41" i="57"/>
  <c r="N57" i="57"/>
  <c r="X14" i="58"/>
  <c r="J23" i="60"/>
  <c r="V47" i="48"/>
  <c r="V55" i="48"/>
  <c r="V63" i="48"/>
  <c r="F14" i="54"/>
  <c r="R20" i="54"/>
  <c r="V22" i="54"/>
  <c r="R29" i="54"/>
  <c r="V31" i="54"/>
  <c r="L14" i="55"/>
  <c r="N16" i="55"/>
  <c r="V18" i="55"/>
  <c r="V19" i="55"/>
  <c r="J14" i="56"/>
  <c r="N19" i="56"/>
  <c r="Z37" i="56"/>
  <c r="N39" i="56"/>
  <c r="R62" i="56"/>
  <c r="X33" i="57"/>
  <c r="Z33" i="57" s="1"/>
  <c r="Z18" i="58"/>
  <c r="N37" i="58"/>
  <c r="R35" i="61"/>
  <c r="R34" i="61"/>
  <c r="R30" i="61"/>
  <c r="R46" i="61"/>
  <c r="R45" i="61"/>
  <c r="R25" i="61"/>
  <c r="R21" i="61"/>
  <c r="R37" i="61"/>
  <c r="R36" i="61"/>
  <c r="R47" i="61"/>
  <c r="R31" i="61"/>
  <c r="R51" i="61"/>
  <c r="R49" i="61"/>
  <c r="R39" i="61"/>
  <c r="R38" i="61"/>
  <c r="R26" i="61"/>
  <c r="R22" i="61"/>
  <c r="R41" i="61"/>
  <c r="R40" i="61"/>
  <c r="R32" i="61"/>
  <c r="X12" i="61"/>
  <c r="R53" i="61"/>
  <c r="R24" i="61"/>
  <c r="R20" i="61"/>
  <c r="P16" i="61"/>
  <c r="R58" i="61"/>
  <c r="R43" i="61"/>
  <c r="R18" i="61"/>
  <c r="R14" i="61"/>
  <c r="R29" i="61"/>
  <c r="R19" i="61"/>
  <c r="R55" i="61"/>
  <c r="R33" i="61"/>
  <c r="R44" i="61"/>
  <c r="R23" i="61"/>
  <c r="R27" i="61"/>
  <c r="R28" i="61"/>
  <c r="R49" i="64"/>
  <c r="R18" i="54"/>
  <c r="V20" i="54"/>
  <c r="R26" i="54"/>
  <c r="T16" i="55"/>
  <c r="R28" i="55"/>
  <c r="V33" i="55"/>
  <c r="N41" i="56"/>
  <c r="Z53" i="56"/>
  <c r="N59" i="56"/>
  <c r="R32" i="57"/>
  <c r="R45" i="57"/>
  <c r="V31" i="56"/>
  <c r="V43" i="56"/>
  <c r="V51" i="56"/>
  <c r="V59" i="56"/>
  <c r="V67" i="56"/>
  <c r="V14" i="57"/>
  <c r="V16" i="57"/>
  <c r="V18" i="57"/>
  <c r="J22" i="57"/>
  <c r="J26" i="57"/>
  <c r="F31" i="57"/>
  <c r="V34" i="57"/>
  <c r="J42" i="57"/>
  <c r="V46" i="57"/>
  <c r="F51" i="57"/>
  <c r="V54" i="57"/>
  <c r="F59" i="57"/>
  <c r="V62" i="57"/>
  <c r="J72" i="57"/>
  <c r="J75" i="57"/>
  <c r="N14" i="58"/>
  <c r="F23" i="58"/>
  <c r="F27" i="58"/>
  <c r="V30" i="58"/>
  <c r="V34" i="58"/>
  <c r="J42" i="58"/>
  <c r="V46" i="58"/>
  <c r="F51" i="58"/>
  <c r="V54" i="58"/>
  <c r="F58" i="58"/>
  <c r="F59" i="58"/>
  <c r="J65" i="58"/>
  <c r="F73" i="58"/>
  <c r="P16" i="59"/>
  <c r="J25" i="59"/>
  <c r="R31" i="59"/>
  <c r="J39" i="59"/>
  <c r="F31" i="60"/>
  <c r="F30" i="60"/>
  <c r="F18" i="60"/>
  <c r="F16" i="60"/>
  <c r="F14" i="60"/>
  <c r="F56" i="60"/>
  <c r="F53" i="60"/>
  <c r="D16" i="60"/>
  <c r="F41" i="60"/>
  <c r="F33" i="60"/>
  <c r="F32" i="60"/>
  <c r="F25" i="60"/>
  <c r="F26" i="60"/>
  <c r="F22" i="60"/>
  <c r="F45" i="60"/>
  <c r="F44" i="60"/>
  <c r="F51" i="60"/>
  <c r="F29" i="60"/>
  <c r="F28" i="60"/>
  <c r="F37" i="60"/>
  <c r="F40" i="60"/>
  <c r="J58" i="61"/>
  <c r="J55" i="61"/>
  <c r="J33" i="61"/>
  <c r="J29" i="61"/>
  <c r="J19" i="61"/>
  <c r="J24" i="61"/>
  <c r="J20" i="61"/>
  <c r="J18" i="61"/>
  <c r="J16" i="61"/>
  <c r="J14" i="61"/>
  <c r="J43" i="61"/>
  <c r="H16" i="61"/>
  <c r="J44" i="61"/>
  <c r="J34" i="61"/>
  <c r="J30" i="61"/>
  <c r="J45" i="61"/>
  <c r="J35" i="61"/>
  <c r="J25" i="61"/>
  <c r="J21" i="61"/>
  <c r="J46" i="61"/>
  <c r="J36" i="61"/>
  <c r="J47" i="61"/>
  <c r="J37" i="61"/>
  <c r="J31" i="61"/>
  <c r="J53" i="61"/>
  <c r="J41" i="61"/>
  <c r="J27" i="61"/>
  <c r="J23" i="61"/>
  <c r="J38" i="61"/>
  <c r="J42" i="61"/>
  <c r="N93" i="64"/>
  <c r="N82" i="69"/>
  <c r="L82" i="69"/>
  <c r="V64" i="80"/>
  <c r="V68" i="80"/>
  <c r="V66" i="80"/>
  <c r="V58" i="80"/>
  <c r="V46" i="80"/>
  <c r="V30" i="80"/>
  <c r="V26" i="80"/>
  <c r="V63" i="80"/>
  <c r="V62" i="80"/>
  <c r="V53" i="80"/>
  <c r="V37" i="80"/>
  <c r="V17" i="80"/>
  <c r="V72" i="80"/>
  <c r="V36" i="80"/>
  <c r="V32" i="80"/>
  <c r="V55" i="80"/>
  <c r="V47" i="80"/>
  <c r="V39" i="80"/>
  <c r="V27" i="80"/>
  <c r="V23" i="80"/>
  <c r="V59" i="80"/>
  <c r="V54" i="80"/>
  <c r="V38" i="80"/>
  <c r="V22" i="80"/>
  <c r="V18" i="80"/>
  <c r="V49" i="80"/>
  <c r="V41" i="80"/>
  <c r="V33" i="80"/>
  <c r="T20" i="80"/>
  <c r="V65" i="80"/>
  <c r="V56" i="80"/>
  <c r="V48" i="80"/>
  <c r="V40" i="80"/>
  <c r="V28" i="80"/>
  <c r="V24" i="80"/>
  <c r="V51" i="80"/>
  <c r="V43" i="80"/>
  <c r="V61" i="80"/>
  <c r="V60" i="80"/>
  <c r="V50" i="80"/>
  <c r="V42" i="80"/>
  <c r="V34" i="80"/>
  <c r="V57" i="80"/>
  <c r="V45" i="80"/>
  <c r="V29" i="80"/>
  <c r="V25" i="80"/>
  <c r="V52" i="80"/>
  <c r="V44" i="80"/>
  <c r="V16" i="80"/>
  <c r="V35" i="80"/>
  <c r="V31" i="80"/>
  <c r="N28" i="64"/>
  <c r="L16" i="69"/>
  <c r="N16" i="69" s="1"/>
  <c r="V39" i="56"/>
  <c r="V55" i="56"/>
  <c r="V63" i="56"/>
  <c r="J38" i="57"/>
  <c r="J50" i="57"/>
  <c r="J58" i="57"/>
  <c r="J66" i="57"/>
  <c r="J68" i="57"/>
  <c r="V78" i="58"/>
  <c r="V75" i="58"/>
  <c r="V73" i="58"/>
  <c r="V14" i="58"/>
  <c r="V16" i="58"/>
  <c r="V18" i="58"/>
  <c r="F30" i="58"/>
  <c r="F31" i="58"/>
  <c r="V42" i="58"/>
  <c r="F55" i="58"/>
  <c r="V65" i="58"/>
  <c r="J46" i="59"/>
  <c r="J36" i="59"/>
  <c r="J26" i="59"/>
  <c r="J22" i="59"/>
  <c r="J53" i="59"/>
  <c r="J47" i="59"/>
  <c r="J33" i="59"/>
  <c r="J19" i="59"/>
  <c r="J66" i="59"/>
  <c r="J48" i="59"/>
  <c r="J40" i="59"/>
  <c r="J28" i="59"/>
  <c r="J24" i="59"/>
  <c r="J58" i="59"/>
  <c r="J50" i="59"/>
  <c r="J44" i="59"/>
  <c r="J30" i="59"/>
  <c r="N38" i="59"/>
  <c r="L38" i="59"/>
  <c r="J41" i="59"/>
  <c r="J51" i="59"/>
  <c r="J56" i="59"/>
  <c r="R59" i="59"/>
  <c r="J62" i="59"/>
  <c r="V26" i="60"/>
  <c r="V22" i="60"/>
  <c r="V49" i="60"/>
  <c r="V47" i="60"/>
  <c r="V45" i="60"/>
  <c r="V37" i="60"/>
  <c r="V36" i="60"/>
  <c r="V28" i="60"/>
  <c r="V39" i="60"/>
  <c r="V27" i="60"/>
  <c r="V23" i="60"/>
  <c r="V19" i="60"/>
  <c r="X12" i="60"/>
  <c r="V56" i="60"/>
  <c r="V53" i="60"/>
  <c r="V51" i="60"/>
  <c r="V29" i="60"/>
  <c r="T16" i="60"/>
  <c r="V40" i="60"/>
  <c r="V32" i="60"/>
  <c r="V24" i="60"/>
  <c r="V20" i="60"/>
  <c r="V44" i="60"/>
  <c r="V21" i="60"/>
  <c r="V30" i="60"/>
  <c r="N19" i="61"/>
  <c r="Z28" i="64"/>
  <c r="L19" i="68"/>
  <c r="Z35" i="68"/>
  <c r="N116" i="69"/>
  <c r="L116" i="69"/>
  <c r="F35" i="58"/>
  <c r="F36" i="58"/>
  <c r="V43" i="58"/>
  <c r="F47" i="58"/>
  <c r="F48" i="58"/>
  <c r="V51" i="58"/>
  <c r="V59" i="58"/>
  <c r="F61" i="58"/>
  <c r="V66" i="58"/>
  <c r="F69" i="58"/>
  <c r="F78" i="58"/>
  <c r="J29" i="59"/>
  <c r="J32" i="59"/>
  <c r="J38" i="59"/>
  <c r="Z42" i="60"/>
  <c r="N43" i="64"/>
  <c r="V61" i="56"/>
  <c r="V69" i="56"/>
  <c r="V71" i="56"/>
  <c r="V73" i="56"/>
  <c r="J36" i="57"/>
  <c r="J48" i="57"/>
  <c r="J56" i="57"/>
  <c r="J64" i="57"/>
  <c r="V70" i="57"/>
  <c r="V72" i="57"/>
  <c r="V75" i="57"/>
  <c r="Z12" i="58"/>
  <c r="F21" i="58"/>
  <c r="F25" i="58"/>
  <c r="F29" i="58"/>
  <c r="V32" i="58"/>
  <c r="V40" i="58"/>
  <c r="J61" i="58"/>
  <c r="V63" i="58"/>
  <c r="J78" i="58"/>
  <c r="N12" i="59"/>
  <c r="L58" i="59"/>
  <c r="J71" i="59"/>
  <c r="X16" i="60"/>
  <c r="V42" i="60"/>
  <c r="X19" i="61"/>
  <c r="N37" i="61"/>
  <c r="N19" i="68"/>
  <c r="V14" i="56"/>
  <c r="V16" i="56"/>
  <c r="V18" i="56"/>
  <c r="V34" i="56"/>
  <c r="V46" i="56"/>
  <c r="V54" i="56"/>
  <c r="J19" i="57"/>
  <c r="J29" i="57"/>
  <c r="F33" i="57"/>
  <c r="F34" i="57"/>
  <c r="J35" i="57"/>
  <c r="V41" i="57"/>
  <c r="F45" i="57"/>
  <c r="F46" i="57"/>
  <c r="J47" i="57"/>
  <c r="F53" i="57"/>
  <c r="F54" i="57"/>
  <c r="J55" i="57"/>
  <c r="F61" i="57"/>
  <c r="F62" i="57"/>
  <c r="J63" i="57"/>
  <c r="D16" i="58"/>
  <c r="F34" i="58"/>
  <c r="J35" i="58"/>
  <c r="V41" i="58"/>
  <c r="F45" i="58"/>
  <c r="F46" i="58"/>
  <c r="J47" i="58"/>
  <c r="F53" i="58"/>
  <c r="F54" i="58"/>
  <c r="V57" i="58"/>
  <c r="V64" i="58"/>
  <c r="J69" i="58"/>
  <c r="R64" i="59"/>
  <c r="R62" i="59"/>
  <c r="R47" i="59"/>
  <c r="R39" i="59"/>
  <c r="R27" i="59"/>
  <c r="R23" i="59"/>
  <c r="R54" i="59"/>
  <c r="R66" i="59"/>
  <c r="R48" i="59"/>
  <c r="R43" i="59"/>
  <c r="R42" i="59"/>
  <c r="R34" i="59"/>
  <c r="R58" i="59"/>
  <c r="R57" i="59"/>
  <c r="R50" i="59"/>
  <c r="R49" i="59"/>
  <c r="R30" i="59"/>
  <c r="R29" i="59"/>
  <c r="R25" i="59"/>
  <c r="R21" i="59"/>
  <c r="R38" i="59"/>
  <c r="R37" i="59"/>
  <c r="D16" i="59"/>
  <c r="J18" i="59"/>
  <c r="R32" i="59"/>
  <c r="J34" i="59"/>
  <c r="J37" i="59"/>
  <c r="Z38" i="59"/>
  <c r="R51" i="59"/>
  <c r="L53" i="59"/>
  <c r="N53" i="59" s="1"/>
  <c r="R56" i="59"/>
  <c r="Z34" i="60"/>
  <c r="N47" i="60"/>
  <c r="L47" i="60"/>
  <c r="Z73" i="64"/>
  <c r="V67" i="70"/>
  <c r="V59" i="70"/>
  <c r="V51" i="70"/>
  <c r="V39" i="70"/>
  <c r="V68" i="70"/>
  <c r="V64" i="70"/>
  <c r="V58" i="70"/>
  <c r="V42" i="70"/>
  <c r="V34" i="70"/>
  <c r="V75" i="70"/>
  <c r="V61" i="70"/>
  <c r="V53" i="70"/>
  <c r="V41" i="70"/>
  <c r="V29" i="70"/>
  <c r="V25" i="70"/>
  <c r="V60" i="70"/>
  <c r="V44" i="70"/>
  <c r="V16" i="70"/>
  <c r="V55" i="70"/>
  <c r="V43" i="70"/>
  <c r="V35" i="70"/>
  <c r="V65" i="70"/>
  <c r="V54" i="70"/>
  <c r="V46" i="70"/>
  <c r="V30" i="70"/>
  <c r="V26" i="70"/>
  <c r="V69" i="70"/>
  <c r="V62" i="70"/>
  <c r="V45" i="70"/>
  <c r="V17" i="70"/>
  <c r="V71" i="70"/>
  <c r="V56" i="70"/>
  <c r="V48" i="70"/>
  <c r="V36" i="70"/>
  <c r="V32" i="70"/>
  <c r="V47" i="70"/>
  <c r="V31" i="70"/>
  <c r="V27" i="70"/>
  <c r="V23" i="70"/>
  <c r="V57" i="70"/>
  <c r="V49" i="70"/>
  <c r="V37" i="70"/>
  <c r="V33" i="70"/>
  <c r="T20" i="70"/>
  <c r="V20" i="70" s="1"/>
  <c r="V50" i="70"/>
  <c r="V66" i="70"/>
  <c r="V52" i="70"/>
  <c r="V28" i="70"/>
  <c r="V63" i="70"/>
  <c r="V38" i="70"/>
  <c r="V18" i="70"/>
  <c r="V40" i="70"/>
  <c r="V22" i="70"/>
  <c r="V19" i="56"/>
  <c r="V23" i="56"/>
  <c r="V27" i="56"/>
  <c r="V35" i="56"/>
  <c r="V47" i="56"/>
  <c r="J28" i="57"/>
  <c r="J34" i="57"/>
  <c r="J46" i="57"/>
  <c r="V50" i="57"/>
  <c r="J54" i="57"/>
  <c r="V58" i="57"/>
  <c r="J62" i="57"/>
  <c r="F14" i="58"/>
  <c r="F16" i="58"/>
  <c r="F18" i="58"/>
  <c r="V22" i="58"/>
  <c r="V26" i="58"/>
  <c r="V38" i="58"/>
  <c r="V50" i="58"/>
  <c r="J54" i="58"/>
  <c r="V58" i="58"/>
  <c r="F75" i="58"/>
  <c r="R44" i="59"/>
  <c r="J60" i="59"/>
  <c r="R71" i="59"/>
  <c r="V16" i="60"/>
  <c r="V34" i="60"/>
  <c r="Z19" i="61"/>
  <c r="Z16" i="68"/>
  <c r="T61" i="68"/>
  <c r="Z12" i="56"/>
  <c r="V32" i="56"/>
  <c r="V44" i="56"/>
  <c r="V52" i="56"/>
  <c r="V60" i="56"/>
  <c r="V68" i="56"/>
  <c r="L12" i="57"/>
  <c r="J23" i="57"/>
  <c r="J27" i="57"/>
  <c r="F32" i="57"/>
  <c r="J33" i="57"/>
  <c r="V39" i="57"/>
  <c r="F43" i="57"/>
  <c r="F44" i="57"/>
  <c r="J45" i="57"/>
  <c r="F52" i="57"/>
  <c r="J53" i="57"/>
  <c r="F60" i="57"/>
  <c r="J61" i="57"/>
  <c r="F19" i="58"/>
  <c r="F20" i="58"/>
  <c r="F24" i="58"/>
  <c r="F28" i="58"/>
  <c r="V31" i="58"/>
  <c r="V39" i="58"/>
  <c r="F43" i="58"/>
  <c r="F44" i="58"/>
  <c r="J45" i="58"/>
  <c r="F52" i="58"/>
  <c r="J53" i="58"/>
  <c r="V55" i="58"/>
  <c r="F60" i="58"/>
  <c r="F66" i="58"/>
  <c r="F67" i="58"/>
  <c r="X69" i="58"/>
  <c r="J75" i="58"/>
  <c r="X12" i="59"/>
  <c r="H16" i="59"/>
  <c r="J21" i="59"/>
  <c r="R26" i="59"/>
  <c r="J31" i="59"/>
  <c r="R40" i="59"/>
  <c r="J43" i="59"/>
  <c r="R53" i="59"/>
  <c r="J55" i="59"/>
  <c r="V41" i="60"/>
  <c r="X44" i="60"/>
  <c r="Z44" i="60" s="1"/>
  <c r="X35" i="61"/>
  <c r="Z35" i="61" s="1"/>
  <c r="X14" i="64"/>
  <c r="Z18" i="64"/>
  <c r="L36" i="64"/>
  <c r="N38" i="64"/>
  <c r="N46" i="64"/>
  <c r="N63" i="64"/>
  <c r="L81" i="64"/>
  <c r="X27" i="69"/>
  <c r="Z27" i="69" s="1"/>
  <c r="V33" i="56"/>
  <c r="V45" i="56"/>
  <c r="N12" i="57"/>
  <c r="J32" i="57"/>
  <c r="J44" i="57"/>
  <c r="V48" i="57"/>
  <c r="J52" i="57"/>
  <c r="V56" i="57"/>
  <c r="V64" i="57"/>
  <c r="V66" i="57"/>
  <c r="F72" i="57"/>
  <c r="F33" i="58"/>
  <c r="V36" i="58"/>
  <c r="J44" i="58"/>
  <c r="V48" i="58"/>
  <c r="J52" i="58"/>
  <c r="V56" i="58"/>
  <c r="J60" i="58"/>
  <c r="V61" i="58"/>
  <c r="V62" i="58"/>
  <c r="V71" i="58"/>
  <c r="J16" i="59"/>
  <c r="J23" i="59"/>
  <c r="R46" i="59"/>
  <c r="N28" i="60"/>
  <c r="V31" i="60"/>
  <c r="X39" i="60"/>
  <c r="Z39" i="60" s="1"/>
  <c r="Z14" i="61"/>
  <c r="X14" i="61"/>
  <c r="N36" i="64"/>
  <c r="X19" i="69"/>
  <c r="Z19" i="69" s="1"/>
  <c r="X54" i="74"/>
  <c r="Z54" i="74" s="1"/>
  <c r="F41" i="58"/>
  <c r="F42" i="58"/>
  <c r="F64" i="58"/>
  <c r="Z18" i="59"/>
  <c r="N36" i="59"/>
  <c r="X18" i="61"/>
  <c r="Z18" i="61" s="1"/>
  <c r="X32" i="71"/>
  <c r="Z32" i="71" s="1"/>
  <c r="Z12" i="59"/>
  <c r="F21" i="59"/>
  <c r="F25" i="59"/>
  <c r="F29" i="59"/>
  <c r="V32" i="59"/>
  <c r="F49" i="59"/>
  <c r="V52" i="59"/>
  <c r="F56" i="59"/>
  <c r="F57" i="59"/>
  <c r="V60" i="59"/>
  <c r="V62" i="59"/>
  <c r="V64" i="59"/>
  <c r="F68" i="59"/>
  <c r="F71" i="59"/>
  <c r="R21" i="60"/>
  <c r="R25" i="60"/>
  <c r="R33" i="60"/>
  <c r="R34" i="60"/>
  <c r="R41" i="60"/>
  <c r="R42" i="60"/>
  <c r="L12" i="61"/>
  <c r="F32" i="61"/>
  <c r="F39" i="61"/>
  <c r="F40" i="61"/>
  <c r="F49" i="61"/>
  <c r="F51" i="61"/>
  <c r="N12" i="64"/>
  <c r="V20" i="64"/>
  <c r="V24" i="64"/>
  <c r="J32" i="64"/>
  <c r="F36" i="64"/>
  <c r="F37" i="64"/>
  <c r="J38" i="64"/>
  <c r="V40" i="64"/>
  <c r="F45" i="64"/>
  <c r="J46" i="64"/>
  <c r="V48" i="64"/>
  <c r="J56" i="64"/>
  <c r="V60" i="64"/>
  <c r="F65" i="64"/>
  <c r="J72" i="64"/>
  <c r="J81" i="64"/>
  <c r="F85" i="64"/>
  <c r="J93" i="64"/>
  <c r="Z39" i="68"/>
  <c r="X56" i="68"/>
  <c r="Z56" i="68" s="1"/>
  <c r="X23" i="69"/>
  <c r="Z23" i="69" s="1"/>
  <c r="Z102" i="69"/>
  <c r="R22" i="70"/>
  <c r="X18" i="71"/>
  <c r="Z18" i="71"/>
  <c r="N62" i="71"/>
  <c r="L62" i="71"/>
  <c r="X19" i="74"/>
  <c r="Z19" i="74" s="1"/>
  <c r="V95" i="64"/>
  <c r="V93" i="64"/>
  <c r="V87" i="64"/>
  <c r="V79" i="64"/>
  <c r="V82" i="64"/>
  <c r="V14" i="64"/>
  <c r="V16" i="64"/>
  <c r="V18" i="64"/>
  <c r="V58" i="64"/>
  <c r="V66" i="64"/>
  <c r="V74" i="64"/>
  <c r="V77" i="64"/>
  <c r="J61" i="68"/>
  <c r="J59" i="68"/>
  <c r="J51" i="68"/>
  <c r="J45" i="68"/>
  <c r="J46" i="68"/>
  <c r="J34" i="68"/>
  <c r="J30" i="68"/>
  <c r="J63" i="68"/>
  <c r="J52" i="68"/>
  <c r="J36" i="68"/>
  <c r="J48" i="68"/>
  <c r="J38" i="68"/>
  <c r="J26" i="68"/>
  <c r="J22" i="68"/>
  <c r="J54" i="68"/>
  <c r="J40" i="68"/>
  <c r="J32" i="68"/>
  <c r="J55" i="68"/>
  <c r="J41" i="68"/>
  <c r="J27" i="68"/>
  <c r="J23" i="68"/>
  <c r="L12" i="68"/>
  <c r="J57" i="68"/>
  <c r="J43" i="68"/>
  <c r="J33" i="68"/>
  <c r="J19" i="68"/>
  <c r="J44" i="68"/>
  <c r="L20" i="69"/>
  <c r="N20" i="69" s="1"/>
  <c r="X31" i="69"/>
  <c r="Z31" i="69" s="1"/>
  <c r="X38" i="71"/>
  <c r="Z38" i="71"/>
  <c r="Z62" i="71"/>
  <c r="V19" i="64"/>
  <c r="V23" i="64"/>
  <c r="V27" i="64"/>
  <c r="V39" i="64"/>
  <c r="V47" i="64"/>
  <c r="V59" i="64"/>
  <c r="V67" i="64"/>
  <c r="F79" i="64"/>
  <c r="N12" i="68"/>
  <c r="J24" i="68"/>
  <c r="J37" i="68"/>
  <c r="T12" i="69"/>
  <c r="N24" i="69"/>
  <c r="L24" i="69"/>
  <c r="X35" i="69"/>
  <c r="Z35" i="69" s="1"/>
  <c r="L99" i="71"/>
  <c r="N99" i="71" s="1"/>
  <c r="T12" i="74"/>
  <c r="X15" i="74"/>
  <c r="Z15" i="74" s="1"/>
  <c r="X31" i="74"/>
  <c r="Z31" i="74" s="1"/>
  <c r="F33" i="59"/>
  <c r="V36" i="59"/>
  <c r="V44" i="59"/>
  <c r="F62" i="59"/>
  <c r="F64" i="59"/>
  <c r="R29" i="60"/>
  <c r="R30" i="60"/>
  <c r="R51" i="60"/>
  <c r="F35" i="61"/>
  <c r="F36" i="61"/>
  <c r="Z12" i="64"/>
  <c r="X19" i="64"/>
  <c r="Z19" i="64" s="1"/>
  <c r="F21" i="64"/>
  <c r="F25" i="64"/>
  <c r="V28" i="64"/>
  <c r="V32" i="64"/>
  <c r="J44" i="64"/>
  <c r="J52" i="64"/>
  <c r="L53" i="64"/>
  <c r="V56" i="64"/>
  <c r="X59" i="64"/>
  <c r="Z59" i="64" s="1"/>
  <c r="J64" i="64"/>
  <c r="X67" i="64"/>
  <c r="Z67" i="64" s="1"/>
  <c r="F69" i="64"/>
  <c r="V72" i="64"/>
  <c r="F88" i="64"/>
  <c r="P90" i="64"/>
  <c r="X90" i="64" s="1"/>
  <c r="Z90" i="64" s="1"/>
  <c r="V102" i="64"/>
  <c r="R68" i="68"/>
  <c r="R65" i="68"/>
  <c r="R52" i="68"/>
  <c r="R48" i="68"/>
  <c r="R47" i="68"/>
  <c r="R31" i="68"/>
  <c r="R54" i="68"/>
  <c r="R53" i="68"/>
  <c r="R49" i="68"/>
  <c r="R56" i="68"/>
  <c r="R55" i="68"/>
  <c r="R27" i="68"/>
  <c r="R23" i="68"/>
  <c r="R57" i="68"/>
  <c r="R33" i="68"/>
  <c r="R61" i="68"/>
  <c r="R59" i="68"/>
  <c r="R45" i="68"/>
  <c r="R44" i="68"/>
  <c r="R29" i="68"/>
  <c r="R28" i="68"/>
  <c r="R24" i="68"/>
  <c r="R20" i="68"/>
  <c r="P16" i="68"/>
  <c r="R46" i="68"/>
  <c r="R35" i="68"/>
  <c r="R34" i="68"/>
  <c r="R30" i="68"/>
  <c r="X14" i="68"/>
  <c r="J18" i="68"/>
  <c r="R19" i="68"/>
  <c r="J29" i="68"/>
  <c r="R50" i="68"/>
  <c r="J65" i="68"/>
  <c r="D12" i="69"/>
  <c r="L28" i="69"/>
  <c r="N28" i="69" s="1"/>
  <c r="X39" i="69"/>
  <c r="Z39" i="69" s="1"/>
  <c r="J75" i="70"/>
  <c r="J65" i="70"/>
  <c r="J66" i="70"/>
  <c r="J47" i="70"/>
  <c r="J31" i="70"/>
  <c r="J27" i="70"/>
  <c r="J71" i="70"/>
  <c r="J63" i="70"/>
  <c r="J48" i="70"/>
  <c r="J32" i="70"/>
  <c r="J18" i="70"/>
  <c r="J57" i="70"/>
  <c r="J49" i="70"/>
  <c r="J37" i="70"/>
  <c r="J33" i="70"/>
  <c r="J23" i="70"/>
  <c r="J50" i="70"/>
  <c r="J38" i="70"/>
  <c r="J28" i="70"/>
  <c r="J24" i="70"/>
  <c r="J22" i="70"/>
  <c r="J67" i="70"/>
  <c r="J51" i="70"/>
  <c r="J39" i="70"/>
  <c r="H20" i="70"/>
  <c r="J20" i="70" s="1"/>
  <c r="J64" i="70"/>
  <c r="J58" i="70"/>
  <c r="J52" i="70"/>
  <c r="J40" i="70"/>
  <c r="J34" i="70"/>
  <c r="J68" i="70"/>
  <c r="J59" i="70"/>
  <c r="J53" i="70"/>
  <c r="J41" i="70"/>
  <c r="J29" i="70"/>
  <c r="J25" i="70"/>
  <c r="J60" i="70"/>
  <c r="J42" i="70"/>
  <c r="J61" i="70"/>
  <c r="J43" i="70"/>
  <c r="J35" i="70"/>
  <c r="J55" i="70"/>
  <c r="J45" i="70"/>
  <c r="J17" i="70"/>
  <c r="J54" i="70"/>
  <c r="N92" i="71"/>
  <c r="V21" i="59"/>
  <c r="V25" i="59"/>
  <c r="V29" i="59"/>
  <c r="V45" i="59"/>
  <c r="V49" i="59"/>
  <c r="F53" i="59"/>
  <c r="F54" i="59"/>
  <c r="V57" i="59"/>
  <c r="R19" i="60"/>
  <c r="R38" i="60"/>
  <c r="R39" i="60"/>
  <c r="F21" i="61"/>
  <c r="F25" i="61"/>
  <c r="F44" i="61"/>
  <c r="F45" i="61"/>
  <c r="D16" i="64"/>
  <c r="J21" i="64"/>
  <c r="J25" i="64"/>
  <c r="F30" i="64"/>
  <c r="F34" i="64"/>
  <c r="V37" i="64"/>
  <c r="F41" i="64"/>
  <c r="F42" i="64"/>
  <c r="J43" i="64"/>
  <c r="V45" i="64"/>
  <c r="F49" i="64"/>
  <c r="F50" i="64"/>
  <c r="J51" i="64"/>
  <c r="V57" i="64"/>
  <c r="F61" i="64"/>
  <c r="F62" i="64"/>
  <c r="J63" i="64"/>
  <c r="V65" i="64"/>
  <c r="J69" i="64"/>
  <c r="V73" i="64"/>
  <c r="J79" i="64"/>
  <c r="V80" i="64"/>
  <c r="Z81" i="64"/>
  <c r="J84" i="64"/>
  <c r="V85" i="64"/>
  <c r="L87" i="64"/>
  <c r="N87" i="64" s="1"/>
  <c r="J88" i="64"/>
  <c r="F97" i="64"/>
  <c r="D16" i="68"/>
  <c r="J21" i="68"/>
  <c r="Z24" i="69"/>
  <c r="N32" i="69"/>
  <c r="L32" i="69"/>
  <c r="R66" i="70"/>
  <c r="R62" i="70"/>
  <c r="R69" i="70"/>
  <c r="R28" i="70"/>
  <c r="R24" i="70"/>
  <c r="P20" i="70"/>
  <c r="R67" i="70"/>
  <c r="R52" i="70"/>
  <c r="R51" i="70"/>
  <c r="R40" i="70"/>
  <c r="R39" i="70"/>
  <c r="R64" i="70"/>
  <c r="R59" i="70"/>
  <c r="R58" i="70"/>
  <c r="R34" i="70"/>
  <c r="R75" i="70"/>
  <c r="R68" i="70"/>
  <c r="R53" i="70"/>
  <c r="R42" i="70"/>
  <c r="R41" i="70"/>
  <c r="R29" i="70"/>
  <c r="R25" i="70"/>
  <c r="R61" i="70"/>
  <c r="R60" i="70"/>
  <c r="R44" i="70"/>
  <c r="R43" i="70"/>
  <c r="R35" i="70"/>
  <c r="R16" i="70"/>
  <c r="R65" i="70"/>
  <c r="R55" i="70"/>
  <c r="R54" i="70"/>
  <c r="R30" i="70"/>
  <c r="R26" i="70"/>
  <c r="R46" i="70"/>
  <c r="R45" i="70"/>
  <c r="R17" i="70"/>
  <c r="R56" i="70"/>
  <c r="R36" i="70"/>
  <c r="X12" i="70"/>
  <c r="Z12" i="70" s="1"/>
  <c r="R63" i="70"/>
  <c r="R23" i="70"/>
  <c r="R18" i="70"/>
  <c r="J16" i="70"/>
  <c r="J30" i="70"/>
  <c r="L61" i="70"/>
  <c r="Z27" i="71"/>
  <c r="N82" i="74"/>
  <c r="L82" i="74"/>
  <c r="D16" i="61"/>
  <c r="V22" i="64"/>
  <c r="V26" i="64"/>
  <c r="V38" i="64"/>
  <c r="V46" i="64"/>
  <c r="V54" i="64"/>
  <c r="V70" i="64"/>
  <c r="F75" i="64"/>
  <c r="F78" i="64"/>
  <c r="V81" i="64"/>
  <c r="F87" i="64"/>
  <c r="V90" i="64"/>
  <c r="V92" i="64"/>
  <c r="J31" i="68"/>
  <c r="J49" i="68"/>
  <c r="L36" i="69"/>
  <c r="N36" i="69" s="1"/>
  <c r="Z43" i="69"/>
  <c r="X43" i="69"/>
  <c r="N61" i="70"/>
  <c r="F39" i="73"/>
  <c r="D25" i="73"/>
  <c r="F78" i="73"/>
  <c r="F65" i="73"/>
  <c r="F82" i="73"/>
  <c r="F48" i="73"/>
  <c r="F47" i="73"/>
  <c r="F40" i="73"/>
  <c r="F71" i="73"/>
  <c r="F67" i="73"/>
  <c r="F66" i="73"/>
  <c r="F59" i="73"/>
  <c r="F35" i="73"/>
  <c r="F31" i="73"/>
  <c r="F50" i="73"/>
  <c r="F49" i="73"/>
  <c r="F22" i="73"/>
  <c r="F21" i="73"/>
  <c r="F41" i="73"/>
  <c r="F72" i="73"/>
  <c r="F68" i="73"/>
  <c r="F60" i="73"/>
  <c r="F52" i="73"/>
  <c r="F51" i="73"/>
  <c r="F36" i="73"/>
  <c r="F32" i="73"/>
  <c r="F23" i="73"/>
  <c r="F69" i="73"/>
  <c r="F33" i="73"/>
  <c r="F29" i="73"/>
  <c r="F28" i="73"/>
  <c r="F54" i="73"/>
  <c r="F45" i="73"/>
  <c r="F37" i="73"/>
  <c r="F30" i="73"/>
  <c r="F63" i="73"/>
  <c r="F43" i="73"/>
  <c r="F75" i="73"/>
  <c r="F61" i="73"/>
  <c r="F73" i="73"/>
  <c r="F57" i="73"/>
  <c r="F46" i="73"/>
  <c r="F38" i="73"/>
  <c r="F34" i="73"/>
  <c r="F55" i="73"/>
  <c r="F76" i="73"/>
  <c r="F64" i="73"/>
  <c r="F62" i="73"/>
  <c r="F44" i="73"/>
  <c r="F27" i="73"/>
  <c r="F74" i="73"/>
  <c r="F53" i="73"/>
  <c r="F42" i="73"/>
  <c r="F70" i="73"/>
  <c r="X27" i="74"/>
  <c r="Z27" i="74" s="1"/>
  <c r="F52" i="59"/>
  <c r="V55" i="59"/>
  <c r="F60" i="59"/>
  <c r="H16" i="64"/>
  <c r="F19" i="64"/>
  <c r="F20" i="64"/>
  <c r="F24" i="64"/>
  <c r="V31" i="64"/>
  <c r="V35" i="64"/>
  <c r="F40" i="64"/>
  <c r="J41" i="64"/>
  <c r="F48" i="64"/>
  <c r="J49" i="64"/>
  <c r="V55" i="64"/>
  <c r="F59" i="64"/>
  <c r="F60" i="64"/>
  <c r="J61" i="64"/>
  <c r="F67" i="64"/>
  <c r="F68" i="64"/>
  <c r="V71" i="64"/>
  <c r="J75" i="64"/>
  <c r="V76" i="64"/>
  <c r="J83" i="64"/>
  <c r="V91" i="64"/>
  <c r="V99" i="64"/>
  <c r="H16" i="68"/>
  <c r="J28" i="68"/>
  <c r="R36" i="68"/>
  <c r="Z37" i="68"/>
  <c r="P12" i="69"/>
  <c r="X13" i="69"/>
  <c r="Z13" i="69" s="1"/>
  <c r="Z32" i="69"/>
  <c r="N40" i="69"/>
  <c r="L40" i="69"/>
  <c r="N72" i="69"/>
  <c r="D12" i="76"/>
  <c r="L14" i="76"/>
  <c r="L44" i="61"/>
  <c r="N44" i="61" s="1"/>
  <c r="V36" i="64"/>
  <c r="L41" i="64"/>
  <c r="N41" i="64" s="1"/>
  <c r="V44" i="64"/>
  <c r="L49" i="64"/>
  <c r="N49" i="64" s="1"/>
  <c r="V52" i="64"/>
  <c r="X55" i="64"/>
  <c r="Z55" i="64" s="1"/>
  <c r="L61" i="64"/>
  <c r="N61" i="64" s="1"/>
  <c r="V64" i="64"/>
  <c r="J68" i="64"/>
  <c r="X71" i="64"/>
  <c r="Z71" i="64" s="1"/>
  <c r="L83" i="64"/>
  <c r="N83" i="64" s="1"/>
  <c r="J87" i="64"/>
  <c r="V88" i="64"/>
  <c r="X91" i="64"/>
  <c r="Z91" i="64" s="1"/>
  <c r="J16" i="68"/>
  <c r="J39" i="68"/>
  <c r="J42" i="68"/>
  <c r="R43" i="68"/>
  <c r="J68" i="68"/>
  <c r="Z36" i="69"/>
  <c r="L96" i="69"/>
  <c r="N108" i="69"/>
  <c r="X23" i="70"/>
  <c r="R50" i="70"/>
  <c r="V41" i="59"/>
  <c r="F45" i="59"/>
  <c r="F46" i="59"/>
  <c r="X56" i="59"/>
  <c r="Z56" i="59" s="1"/>
  <c r="X28" i="60"/>
  <c r="Z28" i="60" s="1"/>
  <c r="L34" i="60"/>
  <c r="N34" i="60" s="1"/>
  <c r="L42" i="60"/>
  <c r="N42" i="60" s="1"/>
  <c r="X39" i="61"/>
  <c r="X49" i="61"/>
  <c r="F102" i="64"/>
  <c r="F99" i="64"/>
  <c r="F84" i="64"/>
  <c r="F83" i="64"/>
  <c r="L14" i="64"/>
  <c r="V21" i="64"/>
  <c r="V25" i="64"/>
  <c r="V53" i="64"/>
  <c r="F57" i="64"/>
  <c r="F58" i="64"/>
  <c r="J59" i="64"/>
  <c r="F66" i="64"/>
  <c r="V69" i="64"/>
  <c r="F73" i="64"/>
  <c r="F74" i="64"/>
  <c r="F82" i="64"/>
  <c r="V84" i="64"/>
  <c r="F86" i="64"/>
  <c r="L93" i="64"/>
  <c r="V97" i="64"/>
  <c r="X18" i="68"/>
  <c r="Z18" i="68" s="1"/>
  <c r="J53" i="68"/>
  <c r="N44" i="69"/>
  <c r="L44" i="69"/>
  <c r="N96" i="69"/>
  <c r="Z23" i="70"/>
  <c r="D12" i="71"/>
  <c r="L14" i="71"/>
  <c r="N14" i="71" s="1"/>
  <c r="L20" i="71"/>
  <c r="N20" i="71" s="1"/>
  <c r="X24" i="71"/>
  <c r="Z24" i="71" s="1"/>
  <c r="X83" i="71"/>
  <c r="Z23" i="74"/>
  <c r="X23" i="74"/>
  <c r="V14" i="59"/>
  <c r="V16" i="59"/>
  <c r="V18" i="59"/>
  <c r="F30" i="59"/>
  <c r="F31" i="59"/>
  <c r="F35" i="59"/>
  <c r="F50" i="59"/>
  <c r="F51" i="59"/>
  <c r="F58" i="59"/>
  <c r="R35" i="60"/>
  <c r="R43" i="60"/>
  <c r="F41" i="61"/>
  <c r="J86" i="64"/>
  <c r="J78" i="64"/>
  <c r="F23" i="64"/>
  <c r="F27" i="64"/>
  <c r="J28" i="64"/>
  <c r="V30" i="64"/>
  <c r="V34" i="64"/>
  <c r="F38" i="64"/>
  <c r="F39" i="64"/>
  <c r="V42" i="64"/>
  <c r="F46" i="64"/>
  <c r="F47" i="64"/>
  <c r="V50" i="64"/>
  <c r="J58" i="64"/>
  <c r="V62" i="64"/>
  <c r="J66" i="64"/>
  <c r="J74" i="64"/>
  <c r="V75" i="64"/>
  <c r="F77" i="64"/>
  <c r="V78" i="64"/>
  <c r="F81" i="64"/>
  <c r="J82" i="64"/>
  <c r="D90" i="64"/>
  <c r="L90" i="64" s="1"/>
  <c r="N90" i="64" s="1"/>
  <c r="F93" i="64"/>
  <c r="J95" i="64"/>
  <c r="J20" i="68"/>
  <c r="J25" i="68"/>
  <c r="J35" i="68"/>
  <c r="L41" i="68"/>
  <c r="N48" i="68"/>
  <c r="R51" i="68"/>
  <c r="Z15" i="69"/>
  <c r="X15" i="69"/>
  <c r="Z59" i="70"/>
  <c r="J69" i="70"/>
  <c r="Z83" i="71"/>
  <c r="V25" i="68"/>
  <c r="V37" i="68"/>
  <c r="F41" i="68"/>
  <c r="F42" i="68"/>
  <c r="F50" i="68"/>
  <c r="V63" i="68"/>
  <c r="V65" i="68"/>
  <c r="V68" i="68"/>
  <c r="F26" i="70"/>
  <c r="F30" i="70"/>
  <c r="F54" i="70"/>
  <c r="F61" i="70"/>
  <c r="F62" i="70"/>
  <c r="F69" i="70"/>
  <c r="P12" i="71"/>
  <c r="Z85" i="71"/>
  <c r="N97" i="71"/>
  <c r="L54" i="75"/>
  <c r="N54" i="75" s="1"/>
  <c r="F32" i="68"/>
  <c r="V35" i="68"/>
  <c r="F39" i="68"/>
  <c r="F40" i="68"/>
  <c r="V51" i="68"/>
  <c r="L117" i="69"/>
  <c r="F59" i="70"/>
  <c r="F60" i="70"/>
  <c r="F68" i="70"/>
  <c r="Z15" i="71"/>
  <c r="Z35" i="71"/>
  <c r="Z41" i="71"/>
  <c r="Z80" i="71"/>
  <c r="D112" i="71"/>
  <c r="L113" i="71"/>
  <c r="N113" i="71" s="1"/>
  <c r="L15" i="73"/>
  <c r="N15" i="73" s="1"/>
  <c r="H12" i="73"/>
  <c r="L12" i="73" s="1"/>
  <c r="T12" i="75"/>
  <c r="X20" i="75"/>
  <c r="Z30" i="75"/>
  <c r="X32" i="75"/>
  <c r="Z32" i="75" s="1"/>
  <c r="F25" i="70"/>
  <c r="F29" i="70"/>
  <c r="F40" i="70"/>
  <c r="F41" i="70"/>
  <c r="F52" i="70"/>
  <c r="F53" i="70"/>
  <c r="N68" i="70"/>
  <c r="N28" i="71"/>
  <c r="L92" i="71"/>
  <c r="Z107" i="71"/>
  <c r="Z109" i="71"/>
  <c r="H112" i="71"/>
  <c r="R47" i="73"/>
  <c r="R49" i="73"/>
  <c r="R70" i="73"/>
  <c r="Z20" i="75"/>
  <c r="D20" i="70"/>
  <c r="F34" i="70"/>
  <c r="F58" i="70"/>
  <c r="F64" i="70"/>
  <c r="F75" i="70"/>
  <c r="Z23" i="71"/>
  <c r="R51" i="73"/>
  <c r="R58" i="73"/>
  <c r="R79" i="74"/>
  <c r="R78" i="74"/>
  <c r="R73" i="74"/>
  <c r="R72" i="74"/>
  <c r="R84" i="74"/>
  <c r="R83" i="74"/>
  <c r="R80" i="74"/>
  <c r="R77" i="74"/>
  <c r="R59" i="74"/>
  <c r="R65" i="74"/>
  <c r="R54" i="74"/>
  <c r="R85" i="74"/>
  <c r="R81" i="74"/>
  <c r="R74" i="74"/>
  <c r="R71" i="74"/>
  <c r="R60" i="74"/>
  <c r="R56" i="74"/>
  <c r="P52" i="74"/>
  <c r="R52" i="74" s="1"/>
  <c r="R91" i="74"/>
  <c r="R47" i="74"/>
  <c r="R43" i="74"/>
  <c r="R39" i="74"/>
  <c r="R82" i="74"/>
  <c r="R75" i="74"/>
  <c r="R66" i="74"/>
  <c r="R35" i="74"/>
  <c r="R87" i="74"/>
  <c r="R61" i="74"/>
  <c r="R57" i="74"/>
  <c r="R48" i="74"/>
  <c r="R44" i="74"/>
  <c r="R40" i="74"/>
  <c r="R36" i="74"/>
  <c r="R68" i="74"/>
  <c r="R67" i="74"/>
  <c r="R70" i="74"/>
  <c r="R69" i="74"/>
  <c r="R49" i="74"/>
  <c r="R45" i="74"/>
  <c r="R41" i="74"/>
  <c r="R37" i="74"/>
  <c r="Z16" i="74"/>
  <c r="Z20" i="74"/>
  <c r="Z24" i="74"/>
  <c r="Z28" i="74"/>
  <c r="Z32" i="74"/>
  <c r="R63" i="74"/>
  <c r="V14" i="68"/>
  <c r="V16" i="68"/>
  <c r="V18" i="68"/>
  <c r="F31" i="68"/>
  <c r="V42" i="68"/>
  <c r="F47" i="68"/>
  <c r="T116" i="69"/>
  <c r="Z116" i="69" s="1"/>
  <c r="F20" i="70"/>
  <c r="F22" i="70"/>
  <c r="F38" i="70"/>
  <c r="F39" i="70"/>
  <c r="F50" i="70"/>
  <c r="F51" i="70"/>
  <c r="F67" i="70"/>
  <c r="L39" i="71"/>
  <c r="N39" i="71" s="1"/>
  <c r="T12" i="73"/>
  <c r="Z15" i="73"/>
  <c r="X15" i="73"/>
  <c r="R22" i="73"/>
  <c r="R40" i="73"/>
  <c r="R50" i="74"/>
  <c r="R76" i="74"/>
  <c r="T12" i="79"/>
  <c r="Z19" i="73"/>
  <c r="X19" i="73"/>
  <c r="R82" i="73"/>
  <c r="F32" i="70"/>
  <c r="F33" i="70"/>
  <c r="F37" i="70"/>
  <c r="F48" i="70"/>
  <c r="F49" i="70"/>
  <c r="Z14" i="71"/>
  <c r="L16" i="71"/>
  <c r="N16" i="71" s="1"/>
  <c r="X28" i="71"/>
  <c r="Z28" i="71" s="1"/>
  <c r="L30" i="71"/>
  <c r="X31" i="71"/>
  <c r="Z31" i="71" s="1"/>
  <c r="Z34" i="71"/>
  <c r="L36" i="71"/>
  <c r="N36" i="71" s="1"/>
  <c r="Z39" i="71"/>
  <c r="R34" i="73"/>
  <c r="Z66" i="73"/>
  <c r="D12" i="74"/>
  <c r="L68" i="74"/>
  <c r="N68" i="74" s="1"/>
  <c r="X87" i="69"/>
  <c r="X117" i="69"/>
  <c r="F71" i="70"/>
  <c r="N13" i="70"/>
  <c r="X16" i="70"/>
  <c r="Z16" i="70" s="1"/>
  <c r="F18" i="70"/>
  <c r="L22" i="70"/>
  <c r="N22" i="70" s="1"/>
  <c r="L38" i="70"/>
  <c r="N38" i="70" s="1"/>
  <c r="X44" i="70"/>
  <c r="L50" i="70"/>
  <c r="N50" i="70" s="1"/>
  <c r="F63" i="70"/>
  <c r="X61" i="71"/>
  <c r="Z61" i="71" s="1"/>
  <c r="T112" i="71"/>
  <c r="R71" i="73"/>
  <c r="R67" i="73"/>
  <c r="R59" i="73"/>
  <c r="R35" i="73"/>
  <c r="R31" i="73"/>
  <c r="R41" i="73"/>
  <c r="R73" i="73"/>
  <c r="R72" i="73"/>
  <c r="R68" i="73"/>
  <c r="R61" i="73"/>
  <c r="R60" i="73"/>
  <c r="R53" i="73"/>
  <c r="R52" i="73"/>
  <c r="R37" i="73"/>
  <c r="R36" i="73"/>
  <c r="R32" i="73"/>
  <c r="R28" i="73"/>
  <c r="R23" i="73"/>
  <c r="R75" i="73"/>
  <c r="R74" i="73"/>
  <c r="R63" i="73"/>
  <c r="R62" i="73"/>
  <c r="R55" i="73"/>
  <c r="R54" i="73"/>
  <c r="R43" i="73"/>
  <c r="R42" i="73"/>
  <c r="R38" i="73"/>
  <c r="R27" i="73"/>
  <c r="R69" i="73"/>
  <c r="R33" i="73"/>
  <c r="R29" i="73"/>
  <c r="P25" i="73"/>
  <c r="R76" i="73"/>
  <c r="R64" i="73"/>
  <c r="R57" i="73"/>
  <c r="R56" i="73"/>
  <c r="R45" i="73"/>
  <c r="R44" i="73"/>
  <c r="R78" i="73"/>
  <c r="R39" i="73"/>
  <c r="R66" i="73"/>
  <c r="R65" i="73"/>
  <c r="R48" i="73"/>
  <c r="L15" i="74"/>
  <c r="H12" i="74"/>
  <c r="F27" i="70"/>
  <c r="F31" i="70"/>
  <c r="F46" i="70"/>
  <c r="F47" i="70"/>
  <c r="F66" i="70"/>
  <c r="Z19" i="71"/>
  <c r="Z22" i="71"/>
  <c r="L24" i="71"/>
  <c r="N24" i="71" s="1"/>
  <c r="X33" i="71"/>
  <c r="Z33" i="71" s="1"/>
  <c r="L41" i="71"/>
  <c r="N41" i="71" s="1"/>
  <c r="N87" i="71"/>
  <c r="X115" i="71"/>
  <c r="Z115" i="71" s="1"/>
  <c r="X12" i="73"/>
  <c r="R50" i="73"/>
  <c r="N15" i="74"/>
  <c r="N19" i="74"/>
  <c r="N23" i="74"/>
  <c r="N27" i="74"/>
  <c r="N31" i="74"/>
  <c r="R64" i="74"/>
  <c r="L75" i="74"/>
  <c r="Z79" i="74"/>
  <c r="Z87" i="75"/>
  <c r="L12" i="70"/>
  <c r="N12" i="70" s="1"/>
  <c r="F36" i="70"/>
  <c r="F55" i="70"/>
  <c r="F56" i="70"/>
  <c r="H12" i="71"/>
  <c r="Z16" i="73"/>
  <c r="L28" i="73"/>
  <c r="N28" i="73" s="1"/>
  <c r="X77" i="74"/>
  <c r="Z77" i="74" s="1"/>
  <c r="X22" i="75"/>
  <c r="Z22" i="75" s="1"/>
  <c r="N24" i="75"/>
  <c r="Z70" i="75"/>
  <c r="L99" i="75"/>
  <c r="N99" i="75" s="1"/>
  <c r="N101" i="75"/>
  <c r="N14" i="76"/>
  <c r="N16" i="76"/>
  <c r="N31" i="76"/>
  <c r="L57" i="76"/>
  <c r="N57" i="76" s="1"/>
  <c r="R59" i="77"/>
  <c r="J62" i="77"/>
  <c r="N67" i="77"/>
  <c r="N76" i="77"/>
  <c r="Z78" i="77"/>
  <c r="T100" i="77"/>
  <c r="R63" i="79"/>
  <c r="R45" i="79"/>
  <c r="R44" i="79"/>
  <c r="R37" i="79"/>
  <c r="R36" i="79"/>
  <c r="R32" i="79"/>
  <c r="R62" i="79"/>
  <c r="R61" i="79"/>
  <c r="R55" i="79"/>
  <c r="R54" i="79"/>
  <c r="R46" i="79"/>
  <c r="R38" i="79"/>
  <c r="R67" i="79"/>
  <c r="R60" i="79"/>
  <c r="R33" i="79"/>
  <c r="R29" i="79"/>
  <c r="P25" i="79"/>
  <c r="R59" i="79"/>
  <c r="R56" i="79"/>
  <c r="R48" i="79"/>
  <c r="R47" i="79"/>
  <c r="R34" i="79"/>
  <c r="R30" i="79"/>
  <c r="R50" i="79"/>
  <c r="R49" i="79"/>
  <c r="R52" i="79"/>
  <c r="R51" i="79"/>
  <c r="R35" i="79"/>
  <c r="R31" i="79"/>
  <c r="R43" i="79"/>
  <c r="R41" i="79"/>
  <c r="R18" i="79"/>
  <c r="R25" i="79"/>
  <c r="R22" i="79"/>
  <c r="R19" i="79"/>
  <c r="R53" i="79"/>
  <c r="R39" i="79"/>
  <c r="R27" i="79"/>
  <c r="R42" i="79"/>
  <c r="R20" i="79"/>
  <c r="R28" i="79"/>
  <c r="X12" i="79"/>
  <c r="R23" i="79"/>
  <c r="R40" i="79"/>
  <c r="R21" i="79"/>
  <c r="Z18" i="79"/>
  <c r="P12" i="75"/>
  <c r="N34" i="75"/>
  <c r="H12" i="76"/>
  <c r="N20" i="76"/>
  <c r="N73" i="76"/>
  <c r="X16" i="77"/>
  <c r="X20" i="77"/>
  <c r="X24" i="77"/>
  <c r="N57" i="77"/>
  <c r="N72" i="77"/>
  <c r="R76" i="77"/>
  <c r="V89" i="77"/>
  <c r="V77" i="77"/>
  <c r="V69" i="77"/>
  <c r="V80" i="77"/>
  <c r="V64" i="77"/>
  <c r="V60" i="77"/>
  <c r="V91" i="77"/>
  <c r="V79" i="77"/>
  <c r="V51" i="77"/>
  <c r="V47" i="77"/>
  <c r="V43" i="77"/>
  <c r="V39" i="77"/>
  <c r="V82" i="77"/>
  <c r="V70" i="77"/>
  <c r="V93" i="77"/>
  <c r="V81" i="77"/>
  <c r="V65" i="77"/>
  <c r="V61" i="77"/>
  <c r="V57" i="77"/>
  <c r="V92" i="77"/>
  <c r="V84" i="77"/>
  <c r="V72" i="77"/>
  <c r="V56" i="77"/>
  <c r="V52" i="77"/>
  <c r="V48" i="77"/>
  <c r="V44" i="77"/>
  <c r="V40" i="77"/>
  <c r="V95" i="77"/>
  <c r="V83" i="77"/>
  <c r="V71" i="77"/>
  <c r="V67" i="77"/>
  <c r="T54" i="77"/>
  <c r="V54" i="77" s="1"/>
  <c r="V104" i="77"/>
  <c r="V94" i="77"/>
  <c r="V86" i="77"/>
  <c r="V74" i="77"/>
  <c r="V66" i="77"/>
  <c r="V62" i="77"/>
  <c r="V58" i="77"/>
  <c r="V103" i="77"/>
  <c r="V97" i="77"/>
  <c r="V85" i="77"/>
  <c r="V73" i="77"/>
  <c r="V49" i="77"/>
  <c r="V45" i="77"/>
  <c r="V41" i="77"/>
  <c r="V102" i="77"/>
  <c r="V96" i="77"/>
  <c r="V88" i="77"/>
  <c r="V76" i="77"/>
  <c r="V68" i="77"/>
  <c r="V101" i="77"/>
  <c r="V87" i="77"/>
  <c r="V75" i="77"/>
  <c r="V63" i="77"/>
  <c r="V59" i="77"/>
  <c r="R108" i="77"/>
  <c r="R101" i="77"/>
  <c r="R98" i="77"/>
  <c r="R50" i="77"/>
  <c r="R46" i="77"/>
  <c r="R42" i="77"/>
  <c r="R100" i="77"/>
  <c r="R90" i="77"/>
  <c r="R89" i="77"/>
  <c r="R78" i="77"/>
  <c r="R77" i="77"/>
  <c r="R69" i="77"/>
  <c r="R38" i="77"/>
  <c r="R64" i="77"/>
  <c r="R60" i="77"/>
  <c r="R91" i="77"/>
  <c r="R80" i="77"/>
  <c r="R79" i="77"/>
  <c r="R51" i="77"/>
  <c r="R47" i="77"/>
  <c r="R43" i="77"/>
  <c r="R39" i="77"/>
  <c r="R70" i="77"/>
  <c r="R82" i="77"/>
  <c r="R81" i="77"/>
  <c r="R65" i="77"/>
  <c r="R61" i="77"/>
  <c r="R93" i="77"/>
  <c r="R92" i="77"/>
  <c r="R57" i="77"/>
  <c r="R52" i="77"/>
  <c r="R48" i="77"/>
  <c r="R44" i="77"/>
  <c r="R40" i="77"/>
  <c r="R84" i="77"/>
  <c r="R83" i="77"/>
  <c r="R72" i="77"/>
  <c r="R71" i="77"/>
  <c r="R56" i="77"/>
  <c r="R95" i="77"/>
  <c r="R94" i="77"/>
  <c r="R67" i="77"/>
  <c r="R66" i="77"/>
  <c r="R62" i="77"/>
  <c r="R58" i="77"/>
  <c r="P54" i="77"/>
  <c r="R104" i="77"/>
  <c r="R86" i="77"/>
  <c r="R85" i="77"/>
  <c r="R74" i="77"/>
  <c r="R73" i="77"/>
  <c r="R49" i="77"/>
  <c r="R45" i="77"/>
  <c r="R41" i="77"/>
  <c r="R103" i="77"/>
  <c r="R97" i="77"/>
  <c r="R96" i="77"/>
  <c r="R68" i="77"/>
  <c r="X12" i="77"/>
  <c r="Z12" i="77" s="1"/>
  <c r="Z16" i="77"/>
  <c r="Z20" i="77"/>
  <c r="Z24" i="77"/>
  <c r="V42" i="77"/>
  <c r="P112" i="71"/>
  <c r="X112" i="71" s="1"/>
  <c r="L13" i="74"/>
  <c r="N13" i="74" s="1"/>
  <c r="L17" i="74"/>
  <c r="N17" i="74" s="1"/>
  <c r="L21" i="74"/>
  <c r="N21" i="74" s="1"/>
  <c r="L25" i="74"/>
  <c r="N25" i="74" s="1"/>
  <c r="L29" i="74"/>
  <c r="N29" i="74" s="1"/>
  <c r="L33" i="74"/>
  <c r="X24" i="75"/>
  <c r="Z24" i="75" s="1"/>
  <c r="N62" i="76"/>
  <c r="Z18" i="77"/>
  <c r="Z22" i="77"/>
  <c r="Z28" i="77"/>
  <c r="Z57" i="77"/>
  <c r="V98" i="77"/>
  <c r="Z14" i="75"/>
  <c r="X21" i="75"/>
  <c r="Z21" i="75" s="1"/>
  <c r="Z26" i="75"/>
  <c r="Z34" i="75"/>
  <c r="N51" i="76"/>
  <c r="N60" i="76"/>
  <c r="Z26" i="77"/>
  <c r="X32" i="77"/>
  <c r="X36" i="77"/>
  <c r="R102" i="77"/>
  <c r="Z75" i="74"/>
  <c r="D12" i="75"/>
  <c r="N84" i="75"/>
  <c r="L84" i="75"/>
  <c r="J95" i="77"/>
  <c r="J85" i="77"/>
  <c r="J73" i="77"/>
  <c r="J67" i="77"/>
  <c r="H54" i="77"/>
  <c r="J49" i="77"/>
  <c r="J45" i="77"/>
  <c r="J41" i="77"/>
  <c r="J104" i="77"/>
  <c r="J96" i="77"/>
  <c r="J86" i="77"/>
  <c r="J74" i="77"/>
  <c r="J68" i="77"/>
  <c r="J103" i="77"/>
  <c r="J97" i="77"/>
  <c r="J87" i="77"/>
  <c r="J75" i="77"/>
  <c r="J63" i="77"/>
  <c r="J59" i="77"/>
  <c r="J108" i="77"/>
  <c r="J102" i="77"/>
  <c r="J98" i="77"/>
  <c r="J88" i="77"/>
  <c r="J76" i="77"/>
  <c r="J50" i="77"/>
  <c r="J46" i="77"/>
  <c r="J42" i="77"/>
  <c r="J101" i="77"/>
  <c r="J89" i="77"/>
  <c r="J77" i="77"/>
  <c r="J69" i="77"/>
  <c r="J90" i="77"/>
  <c r="J78" i="77"/>
  <c r="J64" i="77"/>
  <c r="J60" i="77"/>
  <c r="J38" i="77"/>
  <c r="J91" i="77"/>
  <c r="J79" i="77"/>
  <c r="J51" i="77"/>
  <c r="J47" i="77"/>
  <c r="J43" i="77"/>
  <c r="J39" i="77"/>
  <c r="J80" i="77"/>
  <c r="J70" i="77"/>
  <c r="J81" i="77"/>
  <c r="J65" i="77"/>
  <c r="J61" i="77"/>
  <c r="J92" i="77"/>
  <c r="J82" i="77"/>
  <c r="J52" i="77"/>
  <c r="J48" i="77"/>
  <c r="J44" i="77"/>
  <c r="J40" i="77"/>
  <c r="J93" i="77"/>
  <c r="J83" i="77"/>
  <c r="J71" i="77"/>
  <c r="J57" i="77"/>
  <c r="N21" i="77"/>
  <c r="Z32" i="77"/>
  <c r="Z36" i="77"/>
  <c r="V50" i="77"/>
  <c r="J54" i="77"/>
  <c r="J58" i="77"/>
  <c r="R63" i="77"/>
  <c r="J66" i="77"/>
  <c r="L16" i="73"/>
  <c r="N16" i="73" s="1"/>
  <c r="L16" i="74"/>
  <c r="N16" i="74" s="1"/>
  <c r="L20" i="74"/>
  <c r="N20" i="74" s="1"/>
  <c r="L24" i="74"/>
  <c r="N24" i="74" s="1"/>
  <c r="L28" i="74"/>
  <c r="L32" i="74"/>
  <c r="H12" i="75"/>
  <c r="Z16" i="75"/>
  <c r="N25" i="75"/>
  <c r="Z28" i="75"/>
  <c r="N82" i="75"/>
  <c r="Z51" i="76"/>
  <c r="N15" i="77"/>
  <c r="N19" i="77"/>
  <c r="N23" i="77"/>
  <c r="Z34" i="77"/>
  <c r="R75" i="77"/>
  <c r="N84" i="77"/>
  <c r="V100" i="77"/>
  <c r="L77" i="74"/>
  <c r="L13" i="75"/>
  <c r="N13" i="75" s="1"/>
  <c r="X18" i="75"/>
  <c r="Z18" i="75" s="1"/>
  <c r="N20" i="75"/>
  <c r="X30" i="75"/>
  <c r="N32" i="75"/>
  <c r="Z63" i="75"/>
  <c r="P12" i="76"/>
  <c r="X13" i="76"/>
  <c r="Z13" i="76" s="1"/>
  <c r="J84" i="77"/>
  <c r="F23" i="79"/>
  <c r="Z80" i="75"/>
  <c r="L87" i="75"/>
  <c r="Z45" i="76"/>
  <c r="J56" i="77"/>
  <c r="R88" i="77"/>
  <c r="Z90" i="77"/>
  <c r="N93" i="77"/>
  <c r="N87" i="75"/>
  <c r="N35" i="77"/>
  <c r="V46" i="77"/>
  <c r="V90" i="77"/>
  <c r="F40" i="79"/>
  <c r="F51" i="79"/>
  <c r="F50" i="79"/>
  <c r="F42" i="79"/>
  <c r="F41" i="79"/>
  <c r="F53" i="79"/>
  <c r="F52" i="79"/>
  <c r="F44" i="79"/>
  <c r="F43" i="79"/>
  <c r="F36" i="79"/>
  <c r="F32" i="79"/>
  <c r="F63" i="79"/>
  <c r="F54" i="79"/>
  <c r="F46" i="79"/>
  <c r="F45" i="79"/>
  <c r="F38" i="79"/>
  <c r="F37" i="79"/>
  <c r="F67" i="79"/>
  <c r="F62" i="79"/>
  <c r="F61" i="79"/>
  <c r="F56" i="79"/>
  <c r="F55" i="79"/>
  <c r="F60" i="79"/>
  <c r="F47" i="79"/>
  <c r="F39" i="79"/>
  <c r="D25" i="79"/>
  <c r="F34" i="79"/>
  <c r="F29" i="79"/>
  <c r="F21" i="79"/>
  <c r="F59" i="79"/>
  <c r="F31" i="79"/>
  <c r="F49" i="79"/>
  <c r="F33" i="79"/>
  <c r="F25" i="79"/>
  <c r="F18" i="79"/>
  <c r="F35" i="79"/>
  <c r="F22" i="79"/>
  <c r="F19" i="79"/>
  <c r="F27" i="79"/>
  <c r="F48" i="79"/>
  <c r="F30" i="79"/>
  <c r="F20" i="79"/>
  <c r="N18" i="79"/>
  <c r="L74" i="76"/>
  <c r="F40" i="77"/>
  <c r="F44" i="77"/>
  <c r="F48" i="77"/>
  <c r="F52" i="77"/>
  <c r="F92" i="77"/>
  <c r="X13" i="79"/>
  <c r="Z13" i="79" s="1"/>
  <c r="N28" i="79"/>
  <c r="N50" i="79"/>
  <c r="H107" i="75"/>
  <c r="N107" i="75" s="1"/>
  <c r="N74" i="76"/>
  <c r="F61" i="77"/>
  <c r="F65" i="77"/>
  <c r="F80" i="77"/>
  <c r="F81" i="77"/>
  <c r="X101" i="77"/>
  <c r="Z101" i="77" s="1"/>
  <c r="N48" i="79"/>
  <c r="L48" i="79"/>
  <c r="F70" i="77"/>
  <c r="D100" i="77"/>
  <c r="N31" i="80"/>
  <c r="T12" i="76"/>
  <c r="T73" i="76"/>
  <c r="F38" i="77"/>
  <c r="F39" i="77"/>
  <c r="F43" i="77"/>
  <c r="F47" i="77"/>
  <c r="F51" i="77"/>
  <c r="F78" i="77"/>
  <c r="F79" i="77"/>
  <c r="F90" i="77"/>
  <c r="F91" i="77"/>
  <c r="F100" i="77"/>
  <c r="L14" i="79"/>
  <c r="N14" i="79" s="1"/>
  <c r="L27" i="79"/>
  <c r="N27" i="79" s="1"/>
  <c r="N37" i="79"/>
  <c r="Z43" i="80"/>
  <c r="F60" i="77"/>
  <c r="F64" i="77"/>
  <c r="H100" i="77"/>
  <c r="J100" i="77" s="1"/>
  <c r="F101" i="77"/>
  <c r="Z28" i="79"/>
  <c r="X37" i="79"/>
  <c r="Z37" i="79" s="1"/>
  <c r="P107" i="75"/>
  <c r="X107" i="75" s="1"/>
  <c r="Z107" i="75" s="1"/>
  <c r="L13" i="77"/>
  <c r="L17" i="77"/>
  <c r="N17" i="77" s="1"/>
  <c r="L21" i="77"/>
  <c r="L25" i="77"/>
  <c r="N25" i="77" s="1"/>
  <c r="L29" i="77"/>
  <c r="N29" i="77" s="1"/>
  <c r="L33" i="77"/>
  <c r="F69" i="77"/>
  <c r="F76" i="77"/>
  <c r="F77" i="77"/>
  <c r="F88" i="77"/>
  <c r="F89" i="77"/>
  <c r="F102" i="77"/>
  <c r="X74" i="76"/>
  <c r="Z74" i="76" s="1"/>
  <c r="N13" i="77"/>
  <c r="X14" i="77"/>
  <c r="Z14" i="77" s="1"/>
  <c r="L38" i="77"/>
  <c r="N38" i="77" s="1"/>
  <c r="F42" i="77"/>
  <c r="F46" i="77"/>
  <c r="F50" i="77"/>
  <c r="X56" i="77"/>
  <c r="Z56" i="77" s="1"/>
  <c r="X72" i="77"/>
  <c r="Z72" i="77" s="1"/>
  <c r="L78" i="77"/>
  <c r="F97" i="77"/>
  <c r="F98" i="77"/>
  <c r="F103" i="77"/>
  <c r="F108" i="77"/>
  <c r="D58" i="79"/>
  <c r="L58" i="79" s="1"/>
  <c r="N58" i="79" s="1"/>
  <c r="L59" i="79"/>
  <c r="N59" i="79" s="1"/>
  <c r="F59" i="77"/>
  <c r="F63" i="77"/>
  <c r="F74" i="77"/>
  <c r="F75" i="77"/>
  <c r="F86" i="77"/>
  <c r="F87" i="77"/>
  <c r="X93" i="77"/>
  <c r="Z93" i="77" s="1"/>
  <c r="L101" i="77"/>
  <c r="N101" i="77" s="1"/>
  <c r="F104" i="77"/>
  <c r="L18" i="79"/>
  <c r="X27" i="79"/>
  <c r="Z27" i="79" s="1"/>
  <c r="N16" i="80"/>
  <c r="N22" i="80"/>
  <c r="N37" i="80"/>
  <c r="Z51" i="80"/>
  <c r="L12" i="77"/>
  <c r="N12" i="77" s="1"/>
  <c r="D54" i="77"/>
  <c r="F67" i="77"/>
  <c r="F68" i="77"/>
  <c r="F95" i="77"/>
  <c r="F96" i="77"/>
  <c r="L13" i="79"/>
  <c r="N13" i="79" s="1"/>
  <c r="N45" i="79"/>
  <c r="F60" i="80"/>
  <c r="F22" i="80"/>
  <c r="F65" i="80"/>
  <c r="F50" i="80"/>
  <c r="F49" i="80"/>
  <c r="F42" i="80"/>
  <c r="F41" i="80"/>
  <c r="F34" i="80"/>
  <c r="D20" i="80"/>
  <c r="F66" i="80"/>
  <c r="F57" i="80"/>
  <c r="F29" i="80"/>
  <c r="F25" i="80"/>
  <c r="F61" i="80"/>
  <c r="F52" i="80"/>
  <c r="F51" i="80"/>
  <c r="F44" i="80"/>
  <c r="F43" i="80"/>
  <c r="F62" i="80"/>
  <c r="F35" i="80"/>
  <c r="F58" i="80"/>
  <c r="F46" i="80"/>
  <c r="F45" i="80"/>
  <c r="F30" i="80"/>
  <c r="F26" i="80"/>
  <c r="F72" i="80"/>
  <c r="F53" i="80"/>
  <c r="F17" i="80"/>
  <c r="F16" i="80"/>
  <c r="F36" i="80"/>
  <c r="F32" i="80"/>
  <c r="F31" i="80"/>
  <c r="L12" i="80"/>
  <c r="F68" i="80"/>
  <c r="F63" i="80"/>
  <c r="F47" i="80"/>
  <c r="F27" i="80"/>
  <c r="F64" i="80"/>
  <c r="F59" i="80"/>
  <c r="F54" i="80"/>
  <c r="F38" i="80"/>
  <c r="F37" i="80"/>
  <c r="F18" i="80"/>
  <c r="F33" i="80"/>
  <c r="F56" i="80"/>
  <c r="F55" i="80"/>
  <c r="F48" i="80"/>
  <c r="F40" i="80"/>
  <c r="F39" i="80"/>
  <c r="F28" i="80"/>
  <c r="F24" i="80"/>
  <c r="F23" i="80"/>
  <c r="F41" i="77"/>
  <c r="F45" i="77"/>
  <c r="F49" i="77"/>
  <c r="F54" i="77"/>
  <c r="F56" i="77"/>
  <c r="F72" i="77"/>
  <c r="F73" i="77"/>
  <c r="F84" i="77"/>
  <c r="F85" i="77"/>
  <c r="J60" i="80"/>
  <c r="J62" i="80"/>
  <c r="J64" i="80"/>
  <c r="J68" i="80"/>
  <c r="J50" i="80"/>
  <c r="J42" i="80"/>
  <c r="J34" i="80"/>
  <c r="J66" i="80"/>
  <c r="J61" i="80"/>
  <c r="J57" i="80"/>
  <c r="J51" i="80"/>
  <c r="J43" i="80"/>
  <c r="J29" i="80"/>
  <c r="J25" i="80"/>
  <c r="J52" i="80"/>
  <c r="J44" i="80"/>
  <c r="J45" i="80"/>
  <c r="J35" i="80"/>
  <c r="J58" i="80"/>
  <c r="J46" i="80"/>
  <c r="J30" i="80"/>
  <c r="J26" i="80"/>
  <c r="J16" i="80"/>
  <c r="J72" i="80"/>
  <c r="J53" i="80"/>
  <c r="J31" i="80"/>
  <c r="J17" i="80"/>
  <c r="J63" i="80"/>
  <c r="J36" i="80"/>
  <c r="J32" i="80"/>
  <c r="N12" i="80"/>
  <c r="J47" i="80"/>
  <c r="J37" i="80"/>
  <c r="J27" i="80"/>
  <c r="J59" i="80"/>
  <c r="J54" i="80"/>
  <c r="J38" i="80"/>
  <c r="J18" i="80"/>
  <c r="J55" i="80"/>
  <c r="J39" i="80"/>
  <c r="J33" i="80"/>
  <c r="J23" i="80"/>
  <c r="J56" i="80"/>
  <c r="J48" i="80"/>
  <c r="J40" i="80"/>
  <c r="J28" i="80"/>
  <c r="J24" i="80"/>
  <c r="J22" i="80"/>
  <c r="J65" i="80"/>
  <c r="J49" i="80"/>
  <c r="J41" i="80"/>
  <c r="H20" i="80"/>
  <c r="J20" i="80" s="1"/>
  <c r="F57" i="77"/>
  <c r="F58" i="77"/>
  <c r="F62" i="77"/>
  <c r="F66" i="77"/>
  <c r="F93" i="77"/>
  <c r="H12" i="79"/>
  <c r="T58" i="79"/>
  <c r="X63" i="79"/>
  <c r="R68" i="80"/>
  <c r="R35" i="80"/>
  <c r="R16" i="80"/>
  <c r="R58" i="80"/>
  <c r="R46" i="80"/>
  <c r="R31" i="80"/>
  <c r="R30" i="80"/>
  <c r="R26" i="80"/>
  <c r="R62" i="80"/>
  <c r="R53" i="80"/>
  <c r="R17" i="80"/>
  <c r="R72" i="80"/>
  <c r="R63" i="80"/>
  <c r="R37" i="80"/>
  <c r="R36" i="80"/>
  <c r="R32" i="80"/>
  <c r="X12" i="80"/>
  <c r="Z12" i="80" s="1"/>
  <c r="R47" i="80"/>
  <c r="R27" i="80"/>
  <c r="R59" i="80"/>
  <c r="R55" i="80"/>
  <c r="R54" i="80"/>
  <c r="R39" i="80"/>
  <c r="R38" i="80"/>
  <c r="R23" i="80"/>
  <c r="R18" i="80"/>
  <c r="R64" i="80"/>
  <c r="R33" i="80"/>
  <c r="R22" i="80"/>
  <c r="R56" i="80"/>
  <c r="R49" i="80"/>
  <c r="R48" i="80"/>
  <c r="R41" i="80"/>
  <c r="R40" i="80"/>
  <c r="R28" i="80"/>
  <c r="R24" i="80"/>
  <c r="P20" i="80"/>
  <c r="R20" i="80" s="1"/>
  <c r="R65" i="80"/>
  <c r="R60" i="80"/>
  <c r="R51" i="80"/>
  <c r="R50" i="80"/>
  <c r="R43" i="80"/>
  <c r="R42" i="80"/>
  <c r="R34" i="80"/>
  <c r="R61" i="80"/>
  <c r="R57" i="80"/>
  <c r="R29" i="80"/>
  <c r="R25" i="80"/>
  <c r="R66" i="80"/>
  <c r="R52" i="80"/>
  <c r="R45" i="80"/>
  <c r="R44" i="80"/>
  <c r="Z49" i="80"/>
  <c r="F40" i="81"/>
  <c r="J49" i="81"/>
  <c r="F53" i="81"/>
  <c r="N73" i="81"/>
  <c r="L73" i="81"/>
  <c r="L13" i="80"/>
  <c r="T12" i="81"/>
  <c r="J53" i="81"/>
  <c r="N70" i="81"/>
  <c r="Z23" i="83"/>
  <c r="N62" i="84"/>
  <c r="Z32" i="85"/>
  <c r="L14" i="89"/>
  <c r="D12" i="89"/>
  <c r="N13" i="80"/>
  <c r="X13" i="81"/>
  <c r="Z13" i="81" s="1"/>
  <c r="J23" i="81"/>
  <c r="R26" i="81"/>
  <c r="X32" i="81"/>
  <c r="Z32" i="81" s="1"/>
  <c r="N42" i="81"/>
  <c r="N59" i="81"/>
  <c r="L59" i="81"/>
  <c r="V17" i="84"/>
  <c r="Z22" i="84"/>
  <c r="J25" i="84"/>
  <c r="J49" i="84"/>
  <c r="R115" i="85"/>
  <c r="R114" i="85"/>
  <c r="R116" i="85"/>
  <c r="R108" i="85"/>
  <c r="R109" i="85"/>
  <c r="R97" i="85"/>
  <c r="R86" i="85"/>
  <c r="R85" i="85"/>
  <c r="R90" i="85"/>
  <c r="R89" i="85"/>
  <c r="R78" i="85"/>
  <c r="R77" i="85"/>
  <c r="R118" i="85"/>
  <c r="R110" i="85"/>
  <c r="R99" i="85"/>
  <c r="R81" i="85"/>
  <c r="R71" i="85"/>
  <c r="R66" i="85"/>
  <c r="R62" i="85"/>
  <c r="R93" i="85"/>
  <c r="R82" i="85"/>
  <c r="R53" i="85"/>
  <c r="R49" i="85"/>
  <c r="R45" i="85"/>
  <c r="R41" i="85"/>
  <c r="R111" i="85"/>
  <c r="R103" i="85"/>
  <c r="R102" i="85"/>
  <c r="R72" i="85"/>
  <c r="R37" i="85"/>
  <c r="X12" i="85"/>
  <c r="R106" i="85"/>
  <c r="R100" i="85"/>
  <c r="R94" i="85"/>
  <c r="R67" i="85"/>
  <c r="R63" i="85"/>
  <c r="R83" i="85"/>
  <c r="R54" i="85"/>
  <c r="R50" i="85"/>
  <c r="R46" i="85"/>
  <c r="R42" i="85"/>
  <c r="R38" i="85"/>
  <c r="R74" i="85"/>
  <c r="R73" i="85"/>
  <c r="R112" i="85"/>
  <c r="R95" i="85"/>
  <c r="R87" i="85"/>
  <c r="R79" i="85"/>
  <c r="R69" i="85"/>
  <c r="R68" i="85"/>
  <c r="R64" i="85"/>
  <c r="R104" i="85"/>
  <c r="R91" i="85"/>
  <c r="R88" i="85"/>
  <c r="R84" i="85"/>
  <c r="R80" i="85"/>
  <c r="R75" i="85"/>
  <c r="R60" i="85"/>
  <c r="R55" i="85"/>
  <c r="R51" i="85"/>
  <c r="R47" i="85"/>
  <c r="R43" i="85"/>
  <c r="R39" i="85"/>
  <c r="R113" i="85"/>
  <c r="R101" i="85"/>
  <c r="R92" i="85"/>
  <c r="R65" i="85"/>
  <c r="R61" i="85"/>
  <c r="P57" i="85"/>
  <c r="R105" i="85"/>
  <c r="R96" i="85"/>
  <c r="R52" i="85"/>
  <c r="R48" i="85"/>
  <c r="R44" i="85"/>
  <c r="R40" i="85"/>
  <c r="Z34" i="85"/>
  <c r="Z37" i="85"/>
  <c r="N59" i="85"/>
  <c r="V61" i="85"/>
  <c r="N94" i="85"/>
  <c r="V105" i="85"/>
  <c r="D34" i="86"/>
  <c r="L23" i="80"/>
  <c r="N23" i="80" s="1"/>
  <c r="L39" i="80"/>
  <c r="N39" i="80" s="1"/>
  <c r="X45" i="80"/>
  <c r="Z45" i="80" s="1"/>
  <c r="L55" i="80"/>
  <c r="N55" i="80" s="1"/>
  <c r="F66" i="81"/>
  <c r="F62" i="81"/>
  <c r="F61" i="81"/>
  <c r="F54" i="81"/>
  <c r="F30" i="81"/>
  <c r="F26" i="81"/>
  <c r="F45" i="81"/>
  <c r="F44" i="81"/>
  <c r="F56" i="81"/>
  <c r="F55" i="81"/>
  <c r="F36" i="81"/>
  <c r="F67" i="81"/>
  <c r="F63" i="81"/>
  <c r="F47" i="81"/>
  <c r="F46" i="81"/>
  <c r="F31" i="81"/>
  <c r="F27" i="81"/>
  <c r="F69" i="81"/>
  <c r="F68" i="81"/>
  <c r="F57" i="81"/>
  <c r="F49" i="81"/>
  <c r="F48" i="81"/>
  <c r="F37" i="81"/>
  <c r="F33" i="81"/>
  <c r="F32" i="81"/>
  <c r="F64" i="81"/>
  <c r="F28" i="81"/>
  <c r="F24" i="81"/>
  <c r="F23" i="81"/>
  <c r="F71" i="81"/>
  <c r="F70" i="81"/>
  <c r="F51" i="81"/>
  <c r="F50" i="81"/>
  <c r="F39" i="81"/>
  <c r="F38" i="81"/>
  <c r="F22" i="81"/>
  <c r="F77" i="81"/>
  <c r="F43" i="81"/>
  <c r="F42" i="81"/>
  <c r="F35" i="81"/>
  <c r="F18" i="81"/>
  <c r="F29" i="81"/>
  <c r="J42" i="81"/>
  <c r="J59" i="81"/>
  <c r="J34" i="84"/>
  <c r="F46" i="85"/>
  <c r="F54" i="85"/>
  <c r="R76" i="85"/>
  <c r="F83" i="85"/>
  <c r="R122" i="85"/>
  <c r="Z21" i="86"/>
  <c r="L12" i="81"/>
  <c r="Z16" i="81"/>
  <c r="N22" i="81"/>
  <c r="F25" i="81"/>
  <c r="J29" i="81"/>
  <c r="J33" i="81"/>
  <c r="J61" i="81"/>
  <c r="X68" i="81"/>
  <c r="Z68" i="81" s="1"/>
  <c r="V96" i="85"/>
  <c r="Z19" i="87"/>
  <c r="X19" i="87"/>
  <c r="P58" i="79"/>
  <c r="X58" i="79" s="1"/>
  <c r="X13" i="80"/>
  <c r="Z13" i="80" s="1"/>
  <c r="N12" i="81"/>
  <c r="N14" i="81"/>
  <c r="J25" i="81"/>
  <c r="J35" i="81"/>
  <c r="J37" i="81"/>
  <c r="F41" i="81"/>
  <c r="R27" i="83"/>
  <c r="R83" i="84"/>
  <c r="R69" i="84"/>
  <c r="R68" i="84"/>
  <c r="R45" i="84"/>
  <c r="R44" i="84"/>
  <c r="R36" i="84"/>
  <c r="X12" i="84"/>
  <c r="Z12" i="84" s="1"/>
  <c r="R63" i="84"/>
  <c r="R56" i="84"/>
  <c r="R55" i="84"/>
  <c r="R32" i="84"/>
  <c r="R31" i="84"/>
  <c r="R27" i="84"/>
  <c r="R74" i="84"/>
  <c r="R70" i="84"/>
  <c r="R46" i="84"/>
  <c r="R23" i="84"/>
  <c r="R18" i="84"/>
  <c r="R87" i="84"/>
  <c r="R58" i="84"/>
  <c r="R57" i="84"/>
  <c r="R37" i="84"/>
  <c r="R33" i="84"/>
  <c r="R22" i="84"/>
  <c r="R64" i="84"/>
  <c r="R28" i="84"/>
  <c r="R24" i="84"/>
  <c r="P20" i="84"/>
  <c r="R76" i="84"/>
  <c r="R75" i="84"/>
  <c r="R71" i="84"/>
  <c r="R59" i="84"/>
  <c r="R48" i="84"/>
  <c r="R47" i="84"/>
  <c r="R39" i="84"/>
  <c r="R38" i="84"/>
  <c r="R34" i="84"/>
  <c r="R78" i="84"/>
  <c r="R77" i="84"/>
  <c r="R65" i="84"/>
  <c r="R50" i="84"/>
  <c r="R49" i="84"/>
  <c r="R29" i="84"/>
  <c r="R25" i="84"/>
  <c r="R72" i="84"/>
  <c r="R60" i="84"/>
  <c r="R41" i="84"/>
  <c r="R40" i="84"/>
  <c r="R67" i="84"/>
  <c r="R66" i="84"/>
  <c r="R81" i="84"/>
  <c r="R73" i="84"/>
  <c r="R62" i="84"/>
  <c r="R61" i="84"/>
  <c r="R54" i="84"/>
  <c r="R53" i="84"/>
  <c r="R17" i="84"/>
  <c r="R30" i="84"/>
  <c r="R51" i="84"/>
  <c r="Z67" i="84"/>
  <c r="X67" i="84"/>
  <c r="R79" i="84"/>
  <c r="Z19" i="85"/>
  <c r="Z21" i="85"/>
  <c r="Z59" i="85"/>
  <c r="Z69" i="85"/>
  <c r="T83" i="88"/>
  <c r="J41" i="81"/>
  <c r="Z42" i="81"/>
  <c r="X42" i="81"/>
  <c r="N48" i="81"/>
  <c r="L48" i="81"/>
  <c r="J77" i="81"/>
  <c r="V30" i="84"/>
  <c r="N54" i="84"/>
  <c r="N58" i="84"/>
  <c r="Z23" i="85"/>
  <c r="Z25" i="85"/>
  <c r="Z74" i="85"/>
  <c r="Z92" i="85"/>
  <c r="X92" i="85"/>
  <c r="R23" i="81"/>
  <c r="R18" i="81"/>
  <c r="R70" i="81"/>
  <c r="R69" i="81"/>
  <c r="R57" i="81"/>
  <c r="R50" i="81"/>
  <c r="R49" i="81"/>
  <c r="R38" i="81"/>
  <c r="R37" i="81"/>
  <c r="R33" i="81"/>
  <c r="R64" i="81"/>
  <c r="R28" i="81"/>
  <c r="R71" i="81"/>
  <c r="R52" i="81"/>
  <c r="R51" i="81"/>
  <c r="R40" i="81"/>
  <c r="R39" i="81"/>
  <c r="R73" i="81"/>
  <c r="R59" i="81"/>
  <c r="R58" i="81"/>
  <c r="R65" i="81"/>
  <c r="R53" i="81"/>
  <c r="R42" i="81"/>
  <c r="R41" i="81"/>
  <c r="R29" i="81"/>
  <c r="R25" i="81"/>
  <c r="R61" i="81"/>
  <c r="R60" i="81"/>
  <c r="R77" i="81"/>
  <c r="R44" i="81"/>
  <c r="R43" i="81"/>
  <c r="R35" i="81"/>
  <c r="R16" i="81"/>
  <c r="R66" i="81"/>
  <c r="R62" i="81"/>
  <c r="R68" i="81"/>
  <c r="R67" i="81"/>
  <c r="R63" i="81"/>
  <c r="R48" i="81"/>
  <c r="R47" i="81"/>
  <c r="R32" i="81"/>
  <c r="R31" i="81"/>
  <c r="R27" i="81"/>
  <c r="F17" i="81"/>
  <c r="R22" i="81"/>
  <c r="Z44" i="81"/>
  <c r="X46" i="81"/>
  <c r="N50" i="81"/>
  <c r="F52" i="81"/>
  <c r="F58" i="81"/>
  <c r="V18" i="83"/>
  <c r="V24" i="83"/>
  <c r="V23" i="83"/>
  <c r="V21" i="83"/>
  <c r="V19" i="83"/>
  <c r="T21" i="83"/>
  <c r="V27" i="83"/>
  <c r="V25" i="83"/>
  <c r="V31" i="83"/>
  <c r="V17" i="83"/>
  <c r="R43" i="84"/>
  <c r="F110" i="85"/>
  <c r="F106" i="85"/>
  <c r="F105" i="85"/>
  <c r="F98" i="85"/>
  <c r="F112" i="85"/>
  <c r="F111" i="85"/>
  <c r="F100" i="85"/>
  <c r="F99" i="85"/>
  <c r="F101" i="85"/>
  <c r="F93" i="85"/>
  <c r="F92" i="85"/>
  <c r="F81" i="85"/>
  <c r="F80" i="85"/>
  <c r="F118" i="85"/>
  <c r="F109" i="85"/>
  <c r="F97" i="85"/>
  <c r="F96" i="85"/>
  <c r="F85" i="85"/>
  <c r="F84" i="85"/>
  <c r="F122" i="85"/>
  <c r="F107" i="85"/>
  <c r="F75" i="85"/>
  <c r="F74" i="85"/>
  <c r="F55" i="85"/>
  <c r="F51" i="85"/>
  <c r="F47" i="85"/>
  <c r="F43" i="85"/>
  <c r="F39" i="85"/>
  <c r="F88" i="85"/>
  <c r="F70" i="85"/>
  <c r="F69" i="85"/>
  <c r="F113" i="85"/>
  <c r="F76" i="85"/>
  <c r="F65" i="85"/>
  <c r="F61" i="85"/>
  <c r="F60" i="85"/>
  <c r="F89" i="85"/>
  <c r="F77" i="85"/>
  <c r="F59" i="85"/>
  <c r="F52" i="85"/>
  <c r="F48" i="85"/>
  <c r="F44" i="85"/>
  <c r="F40" i="85"/>
  <c r="F114" i="85"/>
  <c r="F108" i="85"/>
  <c r="F71" i="85"/>
  <c r="D57" i="85"/>
  <c r="F66" i="85"/>
  <c r="F62" i="85"/>
  <c r="F102" i="85"/>
  <c r="F53" i="85"/>
  <c r="F49" i="85"/>
  <c r="F45" i="85"/>
  <c r="F41" i="85"/>
  <c r="F90" i="85"/>
  <c r="F82" i="85"/>
  <c r="F78" i="85"/>
  <c r="F72" i="85"/>
  <c r="L12" i="85"/>
  <c r="F115" i="85"/>
  <c r="F86" i="85"/>
  <c r="F67" i="85"/>
  <c r="F63" i="85"/>
  <c r="F91" i="85"/>
  <c r="F79" i="85"/>
  <c r="F73" i="85"/>
  <c r="F116" i="85"/>
  <c r="F104" i="85"/>
  <c r="F95" i="85"/>
  <c r="F87" i="85"/>
  <c r="F68" i="85"/>
  <c r="F64" i="85"/>
  <c r="Z14" i="81"/>
  <c r="D20" i="81"/>
  <c r="F20" i="81" s="1"/>
  <c r="J43" i="81"/>
  <c r="R46" i="81"/>
  <c r="Z48" i="81"/>
  <c r="N52" i="81"/>
  <c r="F60" i="81"/>
  <c r="D12" i="84"/>
  <c r="L13" i="84"/>
  <c r="N16" i="84"/>
  <c r="X43" i="84"/>
  <c r="Z43" i="84" s="1"/>
  <c r="Z58" i="84"/>
  <c r="N20" i="85"/>
  <c r="Z31" i="85"/>
  <c r="L13" i="81"/>
  <c r="H20" i="81"/>
  <c r="Z46" i="81"/>
  <c r="D12" i="83"/>
  <c r="L13" i="83"/>
  <c r="J79" i="84"/>
  <c r="J51" i="84"/>
  <c r="J41" i="84"/>
  <c r="J35" i="84"/>
  <c r="J80" i="84"/>
  <c r="J66" i="84"/>
  <c r="J52" i="84"/>
  <c r="J42" i="84"/>
  <c r="J30" i="84"/>
  <c r="J26" i="84"/>
  <c r="J16" i="84"/>
  <c r="J81" i="84"/>
  <c r="J73" i="84"/>
  <c r="J67" i="84"/>
  <c r="J61" i="84"/>
  <c r="J53" i="84"/>
  <c r="J43" i="84"/>
  <c r="J17" i="84"/>
  <c r="J68" i="84"/>
  <c r="J62" i="84"/>
  <c r="J54" i="84"/>
  <c r="J44" i="84"/>
  <c r="J36" i="84"/>
  <c r="J83" i="84"/>
  <c r="J69" i="84"/>
  <c r="J63" i="84"/>
  <c r="J55" i="84"/>
  <c r="J45" i="84"/>
  <c r="J31" i="84"/>
  <c r="J27" i="84"/>
  <c r="J74" i="84"/>
  <c r="J70" i="84"/>
  <c r="J56" i="84"/>
  <c r="J46" i="84"/>
  <c r="J32" i="84"/>
  <c r="J18" i="84"/>
  <c r="J87" i="84"/>
  <c r="J57" i="84"/>
  <c r="J37" i="84"/>
  <c r="J33" i="84"/>
  <c r="J23" i="84"/>
  <c r="J64" i="84"/>
  <c r="J58" i="84"/>
  <c r="J28" i="84"/>
  <c r="J24" i="84"/>
  <c r="J22" i="84"/>
  <c r="J20" i="84"/>
  <c r="J75" i="84"/>
  <c r="J71" i="84"/>
  <c r="J59" i="84"/>
  <c r="J47" i="84"/>
  <c r="H20" i="84"/>
  <c r="J77" i="84"/>
  <c r="J65" i="84"/>
  <c r="J78" i="84"/>
  <c r="J72" i="84"/>
  <c r="J60" i="84"/>
  <c r="J50" i="84"/>
  <c r="J40" i="84"/>
  <c r="L48" i="84"/>
  <c r="N48" i="84" s="1"/>
  <c r="V101" i="85"/>
  <c r="V93" i="85"/>
  <c r="V81" i="85"/>
  <c r="V103" i="85"/>
  <c r="V95" i="85"/>
  <c r="V122" i="85"/>
  <c r="V104" i="85"/>
  <c r="V88" i="85"/>
  <c r="V112" i="85"/>
  <c r="V100" i="85"/>
  <c r="V92" i="85"/>
  <c r="V80" i="85"/>
  <c r="V114" i="85"/>
  <c r="V89" i="85"/>
  <c r="V85" i="85"/>
  <c r="V82" i="85"/>
  <c r="V77" i="85"/>
  <c r="V66" i="85"/>
  <c r="V62" i="85"/>
  <c r="V111" i="85"/>
  <c r="V108" i="85"/>
  <c r="V90" i="85"/>
  <c r="V78" i="85"/>
  <c r="V53" i="85"/>
  <c r="V49" i="85"/>
  <c r="V45" i="85"/>
  <c r="V41" i="85"/>
  <c r="V37" i="85"/>
  <c r="V115" i="85"/>
  <c r="V102" i="85"/>
  <c r="V94" i="85"/>
  <c r="V86" i="85"/>
  <c r="V72" i="85"/>
  <c r="Z12" i="85"/>
  <c r="V106" i="85"/>
  <c r="V97" i="85"/>
  <c r="V67" i="85"/>
  <c r="V63" i="85"/>
  <c r="V83" i="85"/>
  <c r="V74" i="85"/>
  <c r="V54" i="85"/>
  <c r="V50" i="85"/>
  <c r="V46" i="85"/>
  <c r="V42" i="85"/>
  <c r="V38" i="85"/>
  <c r="V73" i="85"/>
  <c r="V69" i="85"/>
  <c r="V109" i="85"/>
  <c r="V87" i="85"/>
  <c r="V84" i="85"/>
  <c r="V79" i="85"/>
  <c r="V68" i="85"/>
  <c r="V64" i="85"/>
  <c r="V60" i="85"/>
  <c r="V91" i="85"/>
  <c r="V76" i="85"/>
  <c r="V75" i="85"/>
  <c r="V59" i="85"/>
  <c r="V57" i="85"/>
  <c r="V55" i="85"/>
  <c r="V51" i="85"/>
  <c r="V47" i="85"/>
  <c r="V43" i="85"/>
  <c r="V39" i="85"/>
  <c r="V116" i="85"/>
  <c r="V113" i="85"/>
  <c r="V107" i="85"/>
  <c r="V98" i="85"/>
  <c r="V70" i="85"/>
  <c r="T57" i="85"/>
  <c r="V118" i="85"/>
  <c r="V99" i="85"/>
  <c r="V52" i="85"/>
  <c r="V48" i="85"/>
  <c r="V44" i="85"/>
  <c r="V40" i="85"/>
  <c r="V110" i="85"/>
  <c r="V71" i="85"/>
  <c r="R70" i="85"/>
  <c r="J55" i="81"/>
  <c r="J45" i="81"/>
  <c r="J17" i="81"/>
  <c r="J56" i="81"/>
  <c r="J46" i="81"/>
  <c r="J36" i="81"/>
  <c r="J67" i="81"/>
  <c r="J63" i="81"/>
  <c r="J47" i="81"/>
  <c r="J31" i="81"/>
  <c r="J27" i="81"/>
  <c r="J68" i="81"/>
  <c r="J48" i="81"/>
  <c r="J32" i="81"/>
  <c r="J18" i="81"/>
  <c r="J69" i="81"/>
  <c r="J57" i="81"/>
  <c r="J70" i="81"/>
  <c r="J64" i="81"/>
  <c r="J50" i="81"/>
  <c r="J38" i="81"/>
  <c r="J28" i="81"/>
  <c r="J24" i="81"/>
  <c r="J22" i="81"/>
  <c r="J20" i="81"/>
  <c r="J71" i="81"/>
  <c r="J51" i="81"/>
  <c r="J39" i="81"/>
  <c r="J58" i="81"/>
  <c r="J52" i="81"/>
  <c r="J40" i="81"/>
  <c r="J34" i="81"/>
  <c r="J73" i="81"/>
  <c r="J65" i="81"/>
  <c r="J66" i="81"/>
  <c r="J62" i="81"/>
  <c r="J54" i="81"/>
  <c r="J44" i="81"/>
  <c r="J30" i="81"/>
  <c r="J26" i="81"/>
  <c r="J16" i="81"/>
  <c r="L32" i="81"/>
  <c r="N32" i="81" s="1"/>
  <c r="F34" i="81"/>
  <c r="Z52" i="81"/>
  <c r="R54" i="81"/>
  <c r="R56" i="81"/>
  <c r="F65" i="81"/>
  <c r="H12" i="83"/>
  <c r="N13" i="83"/>
  <c r="J29" i="84"/>
  <c r="J48" i="84"/>
  <c r="N76" i="84"/>
  <c r="Z20" i="85"/>
  <c r="N28" i="85"/>
  <c r="F42" i="85"/>
  <c r="F50" i="85"/>
  <c r="F103" i="85"/>
  <c r="R107" i="85"/>
  <c r="V21" i="86"/>
  <c r="V23" i="86"/>
  <c r="T18" i="86"/>
  <c r="V24" i="86"/>
  <c r="V22" i="86"/>
  <c r="V26" i="86"/>
  <c r="V18" i="86"/>
  <c r="V32" i="86"/>
  <c r="V28" i="86"/>
  <c r="V20" i="86"/>
  <c r="V15" i="86"/>
  <c r="V25" i="86"/>
  <c r="V16" i="86"/>
  <c r="N13" i="81"/>
  <c r="F16" i="81"/>
  <c r="P20" i="81"/>
  <c r="R24" i="81"/>
  <c r="L40" i="81"/>
  <c r="N40" i="81" s="1"/>
  <c r="F73" i="81"/>
  <c r="R31" i="83"/>
  <c r="R17" i="83"/>
  <c r="X12" i="83"/>
  <c r="Z12" i="83" s="1"/>
  <c r="R18" i="83"/>
  <c r="R24" i="83"/>
  <c r="R19" i="83"/>
  <c r="R23" i="83"/>
  <c r="R25" i="83"/>
  <c r="P21" i="83"/>
  <c r="V63" i="84"/>
  <c r="V55" i="84"/>
  <c r="V31" i="84"/>
  <c r="V27" i="84"/>
  <c r="V23" i="84"/>
  <c r="V74" i="84"/>
  <c r="V70" i="84"/>
  <c r="V58" i="84"/>
  <c r="V46" i="84"/>
  <c r="V22" i="84"/>
  <c r="V18" i="84"/>
  <c r="V87" i="84"/>
  <c r="V57" i="84"/>
  <c r="V37" i="84"/>
  <c r="V33" i="84"/>
  <c r="T20" i="84"/>
  <c r="V76" i="84"/>
  <c r="V64" i="84"/>
  <c r="V48" i="84"/>
  <c r="V28" i="84"/>
  <c r="V24" i="84"/>
  <c r="V75" i="84"/>
  <c r="V71" i="84"/>
  <c r="V59" i="84"/>
  <c r="V47" i="84"/>
  <c r="V39" i="84"/>
  <c r="V78" i="84"/>
  <c r="V50" i="84"/>
  <c r="V38" i="84"/>
  <c r="V34" i="84"/>
  <c r="V77" i="84"/>
  <c r="V65" i="84"/>
  <c r="V49" i="84"/>
  <c r="V41" i="84"/>
  <c r="V29" i="84"/>
  <c r="V25" i="84"/>
  <c r="V80" i="84"/>
  <c r="V72" i="84"/>
  <c r="V60" i="84"/>
  <c r="V52" i="84"/>
  <c r="V40" i="84"/>
  <c r="V16" i="84"/>
  <c r="V79" i="84"/>
  <c r="V67" i="84"/>
  <c r="V51" i="84"/>
  <c r="V43" i="84"/>
  <c r="V35" i="84"/>
  <c r="V83" i="84"/>
  <c r="V81" i="84"/>
  <c r="V73" i="84"/>
  <c r="V69" i="84"/>
  <c r="V61" i="84"/>
  <c r="V53" i="84"/>
  <c r="V68" i="84"/>
  <c r="V56" i="84"/>
  <c r="V44" i="84"/>
  <c r="V36" i="84"/>
  <c r="V32" i="84"/>
  <c r="Z16" i="84"/>
  <c r="R35" i="84"/>
  <c r="R42" i="84"/>
  <c r="R52" i="84"/>
  <c r="J76" i="84"/>
  <c r="R80" i="84"/>
  <c r="Z22" i="85"/>
  <c r="N32" i="85"/>
  <c r="F37" i="85"/>
  <c r="J39" i="85"/>
  <c r="J43" i="85"/>
  <c r="J47" i="85"/>
  <c r="J51" i="85"/>
  <c r="J55" i="85"/>
  <c r="J69" i="85"/>
  <c r="J75" i="85"/>
  <c r="J84" i="85"/>
  <c r="J88" i="85"/>
  <c r="L12" i="86"/>
  <c r="F15" i="86"/>
  <c r="N20" i="86"/>
  <c r="F24" i="87"/>
  <c r="F26" i="87"/>
  <c r="F28" i="87"/>
  <c r="F20" i="87"/>
  <c r="F19" i="87"/>
  <c r="F18" i="87"/>
  <c r="F16" i="87"/>
  <c r="F14" i="87"/>
  <c r="N18" i="87"/>
  <c r="F22" i="87"/>
  <c r="Z16" i="88"/>
  <c r="X52" i="88"/>
  <c r="Z52" i="88" s="1"/>
  <c r="J64" i="85"/>
  <c r="J68" i="85"/>
  <c r="J74" i="85"/>
  <c r="J87" i="85"/>
  <c r="J95" i="85"/>
  <c r="R32" i="86"/>
  <c r="R15" i="86"/>
  <c r="R21" i="86"/>
  <c r="R16" i="86"/>
  <c r="R28" i="86"/>
  <c r="X54" i="84"/>
  <c r="Z54" i="84" s="1"/>
  <c r="X62" i="84"/>
  <c r="Z62" i="84" s="1"/>
  <c r="L76" i="84"/>
  <c r="J111" i="85"/>
  <c r="J99" i="85"/>
  <c r="J89" i="85"/>
  <c r="J77" i="85"/>
  <c r="J113" i="85"/>
  <c r="J107" i="85"/>
  <c r="J91" i="85"/>
  <c r="J116" i="85"/>
  <c r="J108" i="85"/>
  <c r="J94" i="85"/>
  <c r="J82" i="85"/>
  <c r="J122" i="85"/>
  <c r="J104" i="85"/>
  <c r="J86" i="85"/>
  <c r="Z14" i="85"/>
  <c r="J38" i="85"/>
  <c r="J42" i="85"/>
  <c r="J46" i="85"/>
  <c r="J50" i="85"/>
  <c r="J54" i="85"/>
  <c r="J83" i="85"/>
  <c r="X12" i="86"/>
  <c r="Z12" i="86" s="1"/>
  <c r="F32" i="86"/>
  <c r="Z59" i="88"/>
  <c r="N14" i="89"/>
  <c r="J37" i="85"/>
  <c r="J63" i="85"/>
  <c r="J67" i="85"/>
  <c r="J100" i="85"/>
  <c r="J103" i="85"/>
  <c r="X15" i="86"/>
  <c r="Z15" i="86" s="1"/>
  <c r="H18" i="86"/>
  <c r="R20" i="86"/>
  <c r="F23" i="86"/>
  <c r="D16" i="87"/>
  <c r="H12" i="88"/>
  <c r="N14" i="88"/>
  <c r="Z14" i="83"/>
  <c r="N13" i="84"/>
  <c r="X14" i="84"/>
  <c r="Z14" i="84" s="1"/>
  <c r="N12" i="85"/>
  <c r="X13" i="85"/>
  <c r="Z13" i="85" s="1"/>
  <c r="J72" i="85"/>
  <c r="J97" i="85"/>
  <c r="J106" i="85"/>
  <c r="J115" i="85"/>
  <c r="F26" i="86"/>
  <c r="F25" i="86"/>
  <c r="F30" i="86"/>
  <c r="F28" i="86"/>
  <c r="F20" i="86"/>
  <c r="F18" i="86"/>
  <c r="R24" i="86"/>
  <c r="V28" i="87"/>
  <c r="V19" i="87"/>
  <c r="X12" i="87"/>
  <c r="T16" i="87"/>
  <c r="V22" i="87"/>
  <c r="V20" i="87"/>
  <c r="V26" i="87"/>
  <c r="J41" i="85"/>
  <c r="J45" i="85"/>
  <c r="J49" i="85"/>
  <c r="J53" i="85"/>
  <c r="J78" i="85"/>
  <c r="J90" i="85"/>
  <c r="J93" i="85"/>
  <c r="J102" i="85"/>
  <c r="N13" i="86"/>
  <c r="Z12" i="87"/>
  <c r="V18" i="87"/>
  <c r="V83" i="88"/>
  <c r="J62" i="85"/>
  <c r="J66" i="85"/>
  <c r="L13" i="86"/>
  <c r="P18" i="86"/>
  <c r="F22" i="86"/>
  <c r="X28" i="86"/>
  <c r="X16" i="87"/>
  <c r="V47" i="88"/>
  <c r="V60" i="88"/>
  <c r="L23" i="89"/>
  <c r="N23" i="89" s="1"/>
  <c r="J71" i="85"/>
  <c r="J81" i="85"/>
  <c r="J85" i="85"/>
  <c r="L92" i="85"/>
  <c r="Z94" i="85"/>
  <c r="N96" i="85"/>
  <c r="J110" i="85"/>
  <c r="J114" i="85"/>
  <c r="J118" i="85"/>
  <c r="X13" i="86"/>
  <c r="Z13" i="86" s="1"/>
  <c r="R18" i="86"/>
  <c r="P24" i="87"/>
  <c r="F16" i="88"/>
  <c r="Z32" i="88"/>
  <c r="N63" i="88"/>
  <c r="X71" i="89"/>
  <c r="L68" i="81"/>
  <c r="N68" i="81" s="1"/>
  <c r="Z13" i="84"/>
  <c r="X76" i="84"/>
  <c r="Z76" i="84" s="1"/>
  <c r="J40" i="85"/>
  <c r="J44" i="85"/>
  <c r="J48" i="85"/>
  <c r="J52" i="85"/>
  <c r="H57" i="85"/>
  <c r="Z90" i="85"/>
  <c r="J96" i="85"/>
  <c r="Z103" i="85"/>
  <c r="J105" i="85"/>
  <c r="F16" i="86"/>
  <c r="L25" i="86"/>
  <c r="R26" i="86"/>
  <c r="F34" i="86"/>
  <c r="V16" i="87"/>
  <c r="L19" i="87"/>
  <c r="N19" i="87" s="1"/>
  <c r="J57" i="85"/>
  <c r="J59" i="85"/>
  <c r="J61" i="85"/>
  <c r="J65" i="85"/>
  <c r="N76" i="85"/>
  <c r="J92" i="85"/>
  <c r="F21" i="86"/>
  <c r="R22" i="86"/>
  <c r="R23" i="86"/>
  <c r="V24" i="87"/>
  <c r="P12" i="88"/>
  <c r="X13" i="88"/>
  <c r="Z13" i="88" s="1"/>
  <c r="J60" i="85"/>
  <c r="J70" i="85"/>
  <c r="J76" i="85"/>
  <c r="X78" i="85"/>
  <c r="Z78" i="85" s="1"/>
  <c r="J80" i="85"/>
  <c r="N88" i="85"/>
  <c r="X90" i="85"/>
  <c r="J98" i="85"/>
  <c r="J101" i="85"/>
  <c r="Z111" i="85"/>
  <c r="L113" i="85"/>
  <c r="N113" i="85" s="1"/>
  <c r="J32" i="86"/>
  <c r="J16" i="86"/>
  <c r="J24" i="86"/>
  <c r="N12" i="86"/>
  <c r="J25" i="86"/>
  <c r="V54" i="88"/>
  <c r="V42" i="88"/>
  <c r="V34" i="88"/>
  <c r="V61" i="88"/>
  <c r="V53" i="88"/>
  <c r="V29" i="88"/>
  <c r="V25" i="88"/>
  <c r="V72" i="88"/>
  <c r="V68" i="88"/>
  <c r="V44" i="88"/>
  <c r="V16" i="88"/>
  <c r="V73" i="88"/>
  <c r="V69" i="88"/>
  <c r="V57" i="88"/>
  <c r="V45" i="88"/>
  <c r="V37" i="88"/>
  <c r="V76" i="88"/>
  <c r="V64" i="88"/>
  <c r="V56" i="88"/>
  <c r="V48" i="88"/>
  <c r="V36" i="88"/>
  <c r="V32" i="88"/>
  <c r="V77" i="88"/>
  <c r="V65" i="88"/>
  <c r="V49" i="88"/>
  <c r="V41" i="88"/>
  <c r="V33" i="88"/>
  <c r="V79" i="88"/>
  <c r="V74" i="88"/>
  <c r="V67" i="88"/>
  <c r="V52" i="88"/>
  <c r="V38" i="88"/>
  <c r="V26" i="88"/>
  <c r="V20" i="88"/>
  <c r="V62" i="88"/>
  <c r="V63" i="88"/>
  <c r="V58" i="88"/>
  <c r="V31" i="88"/>
  <c r="V27" i="88"/>
  <c r="V23" i="88"/>
  <c r="V17" i="88"/>
  <c r="V78" i="88"/>
  <c r="V75" i="88"/>
  <c r="V70" i="88"/>
  <c r="V66" i="88"/>
  <c r="V59" i="88"/>
  <c r="V46" i="88"/>
  <c r="V28" i="88"/>
  <c r="V71" i="88"/>
  <c r="V35" i="88"/>
  <c r="V30" i="88"/>
  <c r="V24" i="88"/>
  <c r="X16" i="88"/>
  <c r="J22" i="87"/>
  <c r="F23" i="88"/>
  <c r="N37" i="88"/>
  <c r="X41" i="88"/>
  <c r="Z41" i="88" s="1"/>
  <c r="F66" i="88"/>
  <c r="X76" i="88"/>
  <c r="Z76" i="88" s="1"/>
  <c r="F78" i="88"/>
  <c r="N22" i="89"/>
  <c r="N59" i="89"/>
  <c r="Z88" i="92"/>
  <c r="H16" i="87"/>
  <c r="L13" i="88"/>
  <c r="N13" i="88" s="1"/>
  <c r="F17" i="88"/>
  <c r="L22" i="88"/>
  <c r="N22" i="88" s="1"/>
  <c r="F45" i="88"/>
  <c r="F63" i="88"/>
  <c r="N66" i="88"/>
  <c r="N78" i="88"/>
  <c r="Z16" i="89"/>
  <c r="R22" i="87"/>
  <c r="L12" i="88"/>
  <c r="D20" i="88"/>
  <c r="X23" i="88"/>
  <c r="Z23" i="88" s="1"/>
  <c r="N50" i="88"/>
  <c r="F55" i="88"/>
  <c r="F72" i="88"/>
  <c r="F85" i="88"/>
  <c r="R62" i="89"/>
  <c r="R53" i="89"/>
  <c r="R42" i="89"/>
  <c r="R41" i="89"/>
  <c r="R63" i="89"/>
  <c r="R67" i="89"/>
  <c r="R60" i="89"/>
  <c r="R44" i="89"/>
  <c r="R43" i="89"/>
  <c r="R35" i="89"/>
  <c r="R16" i="89"/>
  <c r="R68" i="89"/>
  <c r="R54" i="89"/>
  <c r="R30" i="89"/>
  <c r="R26" i="89"/>
  <c r="R46" i="89"/>
  <c r="R45" i="89"/>
  <c r="R69" i="89"/>
  <c r="R64" i="89"/>
  <c r="R61" i="89"/>
  <c r="R56" i="89"/>
  <c r="R55" i="89"/>
  <c r="R48" i="89"/>
  <c r="R47" i="89"/>
  <c r="R32" i="89"/>
  <c r="R31" i="89"/>
  <c r="R27" i="89"/>
  <c r="R23" i="89"/>
  <c r="R18" i="89"/>
  <c r="R71" i="89"/>
  <c r="R28" i="89"/>
  <c r="R65" i="89"/>
  <c r="R52" i="89"/>
  <c r="R51" i="89"/>
  <c r="R40" i="89"/>
  <c r="R39" i="89"/>
  <c r="R22" i="89"/>
  <c r="Z14" i="89"/>
  <c r="F44" i="88"/>
  <c r="F60" i="88"/>
  <c r="Z63" i="88"/>
  <c r="X14" i="89"/>
  <c r="N42" i="89"/>
  <c r="N48" i="89"/>
  <c r="R58" i="89"/>
  <c r="R19" i="87"/>
  <c r="Z22" i="88"/>
  <c r="Z39" i="88"/>
  <c r="N41" i="88"/>
  <c r="L54" i="88"/>
  <c r="N54" i="88" s="1"/>
  <c r="H12" i="89"/>
  <c r="P20" i="89"/>
  <c r="Z32" i="89"/>
  <c r="R34" i="89"/>
  <c r="R36" i="89"/>
  <c r="N46" i="89"/>
  <c r="X48" i="89"/>
  <c r="Z56" i="89"/>
  <c r="F28" i="88"/>
  <c r="F43" i="88"/>
  <c r="F64" i="88"/>
  <c r="R38" i="89"/>
  <c r="Z42" i="89"/>
  <c r="Z52" i="89"/>
  <c r="Z42" i="92"/>
  <c r="P91" i="92"/>
  <c r="F75" i="88"/>
  <c r="F74" i="88"/>
  <c r="F47" i="88"/>
  <c r="F46" i="88"/>
  <c r="F70" i="88"/>
  <c r="F58" i="88"/>
  <c r="F57" i="88"/>
  <c r="F38" i="88"/>
  <c r="F37" i="88"/>
  <c r="F18" i="88"/>
  <c r="F77" i="88"/>
  <c r="F76" i="88"/>
  <c r="F65" i="88"/>
  <c r="F49" i="88"/>
  <c r="F48" i="88"/>
  <c r="F33" i="88"/>
  <c r="F32" i="88"/>
  <c r="F42" i="88"/>
  <c r="F41" i="88"/>
  <c r="F34" i="88"/>
  <c r="F61" i="88"/>
  <c r="F53" i="88"/>
  <c r="F52" i="88"/>
  <c r="F29" i="88"/>
  <c r="F25" i="88"/>
  <c r="F62" i="88"/>
  <c r="F30" i="88"/>
  <c r="F26" i="88"/>
  <c r="F51" i="88"/>
  <c r="F56" i="88"/>
  <c r="F59" i="88"/>
  <c r="F73" i="88"/>
  <c r="T12" i="89"/>
  <c r="Z13" i="89"/>
  <c r="Z36" i="92"/>
  <c r="X36" i="92"/>
  <c r="Z59" i="89"/>
  <c r="N18" i="92"/>
  <c r="L18" i="92"/>
  <c r="Z19" i="92"/>
  <c r="L46" i="92"/>
  <c r="X15" i="93"/>
  <c r="Z15" i="93" s="1"/>
  <c r="P12" i="93"/>
  <c r="L23" i="93"/>
  <c r="N23" i="93" s="1"/>
  <c r="X39" i="93"/>
  <c r="Z39" i="93" s="1"/>
  <c r="F50" i="93"/>
  <c r="F91" i="92"/>
  <c r="F89" i="92"/>
  <c r="F72" i="92"/>
  <c r="F93" i="92"/>
  <c r="F88" i="92"/>
  <c r="F79" i="92"/>
  <c r="F78" i="92"/>
  <c r="F67" i="92"/>
  <c r="F66" i="92"/>
  <c r="F55" i="92"/>
  <c r="F54" i="92"/>
  <c r="F43" i="92"/>
  <c r="F42" i="92"/>
  <c r="F35" i="92"/>
  <c r="F31" i="92"/>
  <c r="F87" i="92"/>
  <c r="F62" i="92"/>
  <c r="F26" i="92"/>
  <c r="F22" i="92"/>
  <c r="F81" i="92"/>
  <c r="F80" i="92"/>
  <c r="F73" i="92"/>
  <c r="F69" i="92"/>
  <c r="F68" i="92"/>
  <c r="F57" i="92"/>
  <c r="F56" i="92"/>
  <c r="F45" i="92"/>
  <c r="F44" i="92"/>
  <c r="F37" i="92"/>
  <c r="F36" i="92"/>
  <c r="F63" i="92"/>
  <c r="F47" i="92"/>
  <c r="F46" i="92"/>
  <c r="F39" i="92"/>
  <c r="F38" i="92"/>
  <c r="F27" i="92"/>
  <c r="F23" i="92"/>
  <c r="F82" i="92"/>
  <c r="F74" i="92"/>
  <c r="F70" i="92"/>
  <c r="F58" i="92"/>
  <c r="F49" i="92"/>
  <c r="F48" i="92"/>
  <c r="F33" i="92"/>
  <c r="F34" i="92"/>
  <c r="F30" i="92"/>
  <c r="F29" i="92"/>
  <c r="D16" i="92"/>
  <c r="F85" i="92"/>
  <c r="F84" i="92"/>
  <c r="F77" i="92"/>
  <c r="F76" i="92"/>
  <c r="F65" i="92"/>
  <c r="F61" i="92"/>
  <c r="F60" i="92"/>
  <c r="F53" i="92"/>
  <c r="F52" i="92"/>
  <c r="F41" i="92"/>
  <c r="F25" i="92"/>
  <c r="F21" i="92"/>
  <c r="N46" i="92"/>
  <c r="F98" i="92"/>
  <c r="V71" i="93"/>
  <c r="V56" i="93"/>
  <c r="V79" i="93"/>
  <c r="V57" i="93"/>
  <c r="V49" i="93"/>
  <c r="V70" i="93"/>
  <c r="V50" i="93"/>
  <c r="V69" i="93"/>
  <c r="V65" i="93"/>
  <c r="V53" i="93"/>
  <c r="V41" i="93"/>
  <c r="V67" i="93"/>
  <c r="V55" i="93"/>
  <c r="V48" i="93"/>
  <c r="V44" i="93"/>
  <c r="V28" i="93"/>
  <c r="V24" i="93"/>
  <c r="V62" i="93"/>
  <c r="V59" i="93"/>
  <c r="V45" i="93"/>
  <c r="V75" i="93"/>
  <c r="V34" i="93"/>
  <c r="V72" i="93"/>
  <c r="V68" i="93"/>
  <c r="V39" i="93"/>
  <c r="V38" i="93"/>
  <c r="V29" i="93"/>
  <c r="V25" i="93"/>
  <c r="V35" i="93"/>
  <c r="V63" i="93"/>
  <c r="V60" i="93"/>
  <c r="V51" i="93"/>
  <c r="V40" i="93"/>
  <c r="V30" i="93"/>
  <c r="V26" i="93"/>
  <c r="V66" i="93"/>
  <c r="V58" i="93"/>
  <c r="V54" i="93"/>
  <c r="V46" i="93"/>
  <c r="V17" i="93"/>
  <c r="V73" i="93"/>
  <c r="V22" i="93"/>
  <c r="V18" i="93"/>
  <c r="V61" i="93"/>
  <c r="V52" i="93"/>
  <c r="V37" i="93"/>
  <c r="V33" i="93"/>
  <c r="T20" i="93"/>
  <c r="L12" i="92"/>
  <c r="X14" i="92"/>
  <c r="Z18" i="92"/>
  <c r="F20" i="92"/>
  <c r="Z46" i="92"/>
  <c r="L50" i="92"/>
  <c r="N50" i="92" s="1"/>
  <c r="N52" i="92"/>
  <c r="N60" i="92"/>
  <c r="Z23" i="93"/>
  <c r="V42" i="93"/>
  <c r="F16" i="92"/>
  <c r="F24" i="92"/>
  <c r="F28" i="92"/>
  <c r="X68" i="92"/>
  <c r="Z68" i="92" s="1"/>
  <c r="L14" i="93"/>
  <c r="V23" i="93"/>
  <c r="V31" i="93"/>
  <c r="F57" i="93"/>
  <c r="X12" i="94"/>
  <c r="N41" i="95"/>
  <c r="L41" i="95"/>
  <c r="N16" i="92"/>
  <c r="H91" i="92"/>
  <c r="X44" i="92"/>
  <c r="Z44" i="92" s="1"/>
  <c r="N14" i="93"/>
  <c r="N56" i="92"/>
  <c r="Z17" i="93"/>
  <c r="X17" i="93"/>
  <c r="F19" i="92"/>
  <c r="F51" i="92"/>
  <c r="Z52" i="92"/>
  <c r="F59" i="92"/>
  <c r="Z60" i="92"/>
  <c r="X14" i="93"/>
  <c r="Z14" i="93" s="1"/>
  <c r="V36" i="93"/>
  <c r="F43" i="93"/>
  <c r="V55" i="94"/>
  <c r="L39" i="93"/>
  <c r="V47" i="93"/>
  <c r="R68" i="95"/>
  <c r="R64" i="95"/>
  <c r="R45" i="95"/>
  <c r="R44" i="95"/>
  <c r="R56" i="95"/>
  <c r="R55" i="95"/>
  <c r="R49" i="95"/>
  <c r="R48" i="95"/>
  <c r="R28" i="95"/>
  <c r="R72" i="95"/>
  <c r="R71" i="95"/>
  <c r="R60" i="95"/>
  <c r="R59" i="95"/>
  <c r="R66" i="95"/>
  <c r="R51" i="95"/>
  <c r="R50" i="95"/>
  <c r="R73" i="95"/>
  <c r="R62" i="95"/>
  <c r="R61" i="95"/>
  <c r="R54" i="95"/>
  <c r="R79" i="95"/>
  <c r="R52" i="95"/>
  <c r="R32" i="95"/>
  <c r="R25" i="95"/>
  <c r="R36" i="95"/>
  <c r="R69" i="95"/>
  <c r="R65" i="95"/>
  <c r="R63" i="95"/>
  <c r="R40" i="95"/>
  <c r="R16" i="95"/>
  <c r="R67" i="95"/>
  <c r="R53" i="95"/>
  <c r="R47" i="95"/>
  <c r="R33" i="95"/>
  <c r="R29" i="95"/>
  <c r="R41" i="95"/>
  <c r="R26" i="95"/>
  <c r="R17" i="95"/>
  <c r="R75" i="95"/>
  <c r="R57" i="95"/>
  <c r="R37" i="95"/>
  <c r="R70" i="95"/>
  <c r="R34" i="95"/>
  <c r="R30" i="95"/>
  <c r="R23" i="95"/>
  <c r="R18" i="95"/>
  <c r="R39" i="95"/>
  <c r="R46" i="95"/>
  <c r="R43" i="95"/>
  <c r="R31" i="95"/>
  <c r="R38" i="95"/>
  <c r="R24" i="95"/>
  <c r="R42" i="95"/>
  <c r="R35" i="95"/>
  <c r="P20" i="95"/>
  <c r="R22" i="95"/>
  <c r="R58" i="95"/>
  <c r="F14" i="92"/>
  <c r="L38" i="92"/>
  <c r="N38" i="92" s="1"/>
  <c r="Z56" i="92"/>
  <c r="X56" i="92"/>
  <c r="F69" i="93"/>
  <c r="F65" i="93"/>
  <c r="F66" i="93"/>
  <c r="F54" i="93"/>
  <c r="F53" i="93"/>
  <c r="F67" i="93"/>
  <c r="F63" i="93"/>
  <c r="F62" i="93"/>
  <c r="F55" i="93"/>
  <c r="F75" i="93"/>
  <c r="F46" i="93"/>
  <c r="F45" i="93"/>
  <c r="F73" i="93"/>
  <c r="F58" i="93"/>
  <c r="F51" i="93"/>
  <c r="F41" i="93"/>
  <c r="F36" i="93"/>
  <c r="F64" i="93"/>
  <c r="F61" i="93"/>
  <c r="F47" i="93"/>
  <c r="F42" i="93"/>
  <c r="F31" i="93"/>
  <c r="F27" i="93"/>
  <c r="F70" i="93"/>
  <c r="F52" i="93"/>
  <c r="F18" i="93"/>
  <c r="F17" i="93"/>
  <c r="F79" i="93"/>
  <c r="F71" i="93"/>
  <c r="F48" i="93"/>
  <c r="F44" i="93"/>
  <c r="F28" i="93"/>
  <c r="F24" i="93"/>
  <c r="F23" i="93"/>
  <c r="F22" i="93"/>
  <c r="F56" i="93"/>
  <c r="F49" i="93"/>
  <c r="F38" i="93"/>
  <c r="F34" i="93"/>
  <c r="D20" i="93"/>
  <c r="F72" i="93"/>
  <c r="F60" i="93"/>
  <c r="F39" i="93"/>
  <c r="F35" i="93"/>
  <c r="F40" i="93"/>
  <c r="F30" i="93"/>
  <c r="F26" i="93"/>
  <c r="N39" i="93"/>
  <c r="X43" i="93"/>
  <c r="V64" i="93"/>
  <c r="X58" i="95"/>
  <c r="Z58" i="95"/>
  <c r="L29" i="92"/>
  <c r="X76" i="92"/>
  <c r="Z78" i="92"/>
  <c r="X84" i="92"/>
  <c r="F95" i="92"/>
  <c r="H12" i="93"/>
  <c r="L12" i="93" s="1"/>
  <c r="X32" i="93"/>
  <c r="Z43" i="93"/>
  <c r="V65" i="94"/>
  <c r="V39" i="94"/>
  <c r="V64" i="94"/>
  <c r="V62" i="94"/>
  <c r="V50" i="94"/>
  <c r="V42" i="94"/>
  <c r="V34" i="94"/>
  <c r="V57" i="94"/>
  <c r="V41" i="94"/>
  <c r="V29" i="94"/>
  <c r="V25" i="94"/>
  <c r="V52" i="94"/>
  <c r="V44" i="94"/>
  <c r="V69" i="94"/>
  <c r="V51" i="94"/>
  <c r="V43" i="94"/>
  <c r="V35" i="94"/>
  <c r="V58" i="94"/>
  <c r="V46" i="94"/>
  <c r="V30" i="94"/>
  <c r="V26" i="94"/>
  <c r="V53" i="94"/>
  <c r="V45" i="94"/>
  <c r="V17" i="94"/>
  <c r="V48" i="94"/>
  <c r="V36" i="94"/>
  <c r="V32" i="94"/>
  <c r="Z12" i="94"/>
  <c r="V61" i="94"/>
  <c r="V49" i="94"/>
  <c r="V37" i="94"/>
  <c r="V33" i="94"/>
  <c r="T20" i="94"/>
  <c r="V60" i="94"/>
  <c r="V56" i="94"/>
  <c r="V40" i="94"/>
  <c r="V28" i="94"/>
  <c r="V24" i="94"/>
  <c r="V38" i="94"/>
  <c r="V23" i="94"/>
  <c r="V59" i="94"/>
  <c r="V16" i="94"/>
  <c r="V54" i="94"/>
  <c r="V20" i="94"/>
  <c r="V27" i="94"/>
  <c r="V18" i="94"/>
  <c r="V22" i="94"/>
  <c r="V47" i="94"/>
  <c r="N29" i="92"/>
  <c r="Z76" i="92"/>
  <c r="X80" i="92"/>
  <c r="Z80" i="92" s="1"/>
  <c r="Z84" i="92"/>
  <c r="N87" i="92"/>
  <c r="Z32" i="93"/>
  <c r="Z12" i="92"/>
  <c r="V32" i="92"/>
  <c r="R37" i="92"/>
  <c r="R38" i="92"/>
  <c r="J42" i="92"/>
  <c r="R45" i="92"/>
  <c r="R46" i="92"/>
  <c r="V48" i="92"/>
  <c r="J54" i="92"/>
  <c r="R57" i="92"/>
  <c r="J66" i="92"/>
  <c r="R69" i="92"/>
  <c r="J72" i="92"/>
  <c r="R73" i="92"/>
  <c r="J78" i="92"/>
  <c r="R81" i="92"/>
  <c r="J88" i="92"/>
  <c r="Z13" i="93"/>
  <c r="X32" i="94"/>
  <c r="Z32" i="94" s="1"/>
  <c r="X48" i="94"/>
  <c r="Z48" i="94" s="1"/>
  <c r="Z64" i="94"/>
  <c r="N48" i="96"/>
  <c r="R22" i="92"/>
  <c r="R26" i="92"/>
  <c r="V37" i="92"/>
  <c r="J41" i="92"/>
  <c r="V45" i="92"/>
  <c r="J53" i="92"/>
  <c r="V57" i="92"/>
  <c r="J61" i="92"/>
  <c r="R62" i="92"/>
  <c r="J65" i="92"/>
  <c r="V69" i="92"/>
  <c r="V73" i="92"/>
  <c r="J77" i="92"/>
  <c r="V81" i="92"/>
  <c r="J85" i="92"/>
  <c r="J89" i="92"/>
  <c r="J91" i="92"/>
  <c r="R95" i="92"/>
  <c r="R98" i="92"/>
  <c r="X14" i="94"/>
  <c r="Z14" i="94" s="1"/>
  <c r="X55" i="94"/>
  <c r="Z55" i="94" s="1"/>
  <c r="Z22" i="95"/>
  <c r="J14" i="92"/>
  <c r="J16" i="92"/>
  <c r="J18" i="92"/>
  <c r="J20" i="92"/>
  <c r="R21" i="92"/>
  <c r="J24" i="92"/>
  <c r="R25" i="92"/>
  <c r="J28" i="92"/>
  <c r="V36" i="92"/>
  <c r="J40" i="92"/>
  <c r="R41" i="92"/>
  <c r="R42" i="92"/>
  <c r="V44" i="92"/>
  <c r="J50" i="92"/>
  <c r="R53" i="92"/>
  <c r="R54" i="92"/>
  <c r="V56" i="92"/>
  <c r="R61" i="92"/>
  <c r="J64" i="92"/>
  <c r="R65" i="92"/>
  <c r="R66" i="92"/>
  <c r="V68" i="92"/>
  <c r="V72" i="92"/>
  <c r="R77" i="92"/>
  <c r="R78" i="92"/>
  <c r="V80" i="92"/>
  <c r="R85" i="92"/>
  <c r="T87" i="92"/>
  <c r="R88" i="92"/>
  <c r="N45" i="93"/>
  <c r="Z51" i="93"/>
  <c r="L53" i="93"/>
  <c r="N53" i="93" s="1"/>
  <c r="P20" i="96"/>
  <c r="V41" i="92"/>
  <c r="V53" i="92"/>
  <c r="V61" i="92"/>
  <c r="V65" i="92"/>
  <c r="V77" i="92"/>
  <c r="V85" i="92"/>
  <c r="V87" i="92"/>
  <c r="R89" i="92"/>
  <c r="R91" i="92"/>
  <c r="N49" i="93"/>
  <c r="F52" i="95"/>
  <c r="F51" i="95"/>
  <c r="F40" i="95"/>
  <c r="F39" i="95"/>
  <c r="F67" i="95"/>
  <c r="F63" i="95"/>
  <c r="F62" i="95"/>
  <c r="F75" i="95"/>
  <c r="F68" i="95"/>
  <c r="F64" i="95"/>
  <c r="F44" i="95"/>
  <c r="F43" i="95"/>
  <c r="F36" i="95"/>
  <c r="F55" i="95"/>
  <c r="F46" i="95"/>
  <c r="F45" i="95"/>
  <c r="F69" i="95"/>
  <c r="F65" i="95"/>
  <c r="F57" i="95"/>
  <c r="F56" i="95"/>
  <c r="F66" i="95"/>
  <c r="F73" i="95"/>
  <c r="F72" i="95"/>
  <c r="F61" i="95"/>
  <c r="F60" i="95"/>
  <c r="F79" i="95"/>
  <c r="F58" i="95"/>
  <c r="F54" i="95"/>
  <c r="F42" i="95"/>
  <c r="F38" i="95"/>
  <c r="F35" i="95"/>
  <c r="F24" i="95"/>
  <c r="F23" i="95"/>
  <c r="F31" i="95"/>
  <c r="F22" i="95"/>
  <c r="F71" i="95"/>
  <c r="F49" i="95"/>
  <c r="F28" i="95"/>
  <c r="D20" i="95"/>
  <c r="F20" i="95" s="1"/>
  <c r="F25" i="95"/>
  <c r="F32" i="95"/>
  <c r="F59" i="95"/>
  <c r="F47" i="95"/>
  <c r="F33" i="95"/>
  <c r="F53" i="95"/>
  <c r="F50" i="95"/>
  <c r="F29" i="95"/>
  <c r="F48" i="95"/>
  <c r="F34" i="95"/>
  <c r="F30" i="95"/>
  <c r="F27" i="95"/>
  <c r="F18" i="95"/>
  <c r="F16" i="95"/>
  <c r="F37" i="95"/>
  <c r="X39" i="98"/>
  <c r="Z39" i="98" s="1"/>
  <c r="V30" i="92"/>
  <c r="V34" i="92"/>
  <c r="V42" i="92"/>
  <c r="J48" i="92"/>
  <c r="R51" i="92"/>
  <c r="R52" i="92"/>
  <c r="V54" i="92"/>
  <c r="J58" i="92"/>
  <c r="R59" i="92"/>
  <c r="R60" i="92"/>
  <c r="V66" i="92"/>
  <c r="J70" i="92"/>
  <c r="R71" i="92"/>
  <c r="J74" i="92"/>
  <c r="R75" i="92"/>
  <c r="R76" i="92"/>
  <c r="V78" i="92"/>
  <c r="J82" i="92"/>
  <c r="R83" i="92"/>
  <c r="R84" i="92"/>
  <c r="V88" i="92"/>
  <c r="L42" i="94"/>
  <c r="N42" i="94" s="1"/>
  <c r="J86" i="96"/>
  <c r="J66" i="96"/>
  <c r="J52" i="96"/>
  <c r="J42" i="96"/>
  <c r="J30" i="96"/>
  <c r="J26" i="96"/>
  <c r="J16" i="96"/>
  <c r="J91" i="96"/>
  <c r="J77" i="96"/>
  <c r="J73" i="96"/>
  <c r="J61" i="96"/>
  <c r="J53" i="96"/>
  <c r="J43" i="96"/>
  <c r="J17" i="96"/>
  <c r="J62" i="96"/>
  <c r="J54" i="96"/>
  <c r="J44" i="96"/>
  <c r="J36" i="96"/>
  <c r="J67" i="96"/>
  <c r="J63" i="96"/>
  <c r="J78" i="96"/>
  <c r="J74" i="96"/>
  <c r="J68" i="96"/>
  <c r="J56" i="96"/>
  <c r="J46" i="96"/>
  <c r="J32" i="96"/>
  <c r="J18" i="96"/>
  <c r="J79" i="96"/>
  <c r="J69" i="96"/>
  <c r="J57" i="96"/>
  <c r="J37" i="96"/>
  <c r="J33" i="96"/>
  <c r="J23" i="96"/>
  <c r="J80" i="96"/>
  <c r="J64" i="96"/>
  <c r="J58" i="96"/>
  <c r="J28" i="96"/>
  <c r="J24" i="96"/>
  <c r="J22" i="96"/>
  <c r="J81" i="96"/>
  <c r="J75" i="96"/>
  <c r="J59" i="96"/>
  <c r="J47" i="96"/>
  <c r="H20" i="96"/>
  <c r="J84" i="96"/>
  <c r="J76" i="96"/>
  <c r="J72" i="96"/>
  <c r="J60" i="96"/>
  <c r="J50" i="96"/>
  <c r="J40" i="96"/>
  <c r="J87" i="96"/>
  <c r="J51" i="96"/>
  <c r="J41" i="96"/>
  <c r="J35" i="96"/>
  <c r="J45" i="96"/>
  <c r="J27" i="96"/>
  <c r="J25" i="96"/>
  <c r="J49" i="96"/>
  <c r="J39" i="96"/>
  <c r="J31" i="96"/>
  <c r="J29" i="96"/>
  <c r="J82" i="96"/>
  <c r="J70" i="96"/>
  <c r="J55" i="96"/>
  <c r="J48" i="96"/>
  <c r="J65" i="96"/>
  <c r="J38" i="96"/>
  <c r="R16" i="96"/>
  <c r="J71" i="96"/>
  <c r="X35" i="100"/>
  <c r="Z35" i="100" s="1"/>
  <c r="L41" i="100"/>
  <c r="N41" i="100" s="1"/>
  <c r="D40" i="100"/>
  <c r="L40" i="100" s="1"/>
  <c r="Z72" i="93"/>
  <c r="R61" i="94"/>
  <c r="R60" i="94"/>
  <c r="R56" i="94"/>
  <c r="R28" i="94"/>
  <c r="R24" i="94"/>
  <c r="P20" i="94"/>
  <c r="R40" i="94"/>
  <c r="R39" i="94"/>
  <c r="R65" i="94"/>
  <c r="R62" i="94"/>
  <c r="R50" i="94"/>
  <c r="R34" i="94"/>
  <c r="R64" i="94"/>
  <c r="R57" i="94"/>
  <c r="R69" i="94"/>
  <c r="R52" i="94"/>
  <c r="R51" i="94"/>
  <c r="R44" i="94"/>
  <c r="R43" i="94"/>
  <c r="R35" i="94"/>
  <c r="R16" i="94"/>
  <c r="R58" i="94"/>
  <c r="R30" i="94"/>
  <c r="R26" i="94"/>
  <c r="R53" i="94"/>
  <c r="R46" i="94"/>
  <c r="R45" i="94"/>
  <c r="R17" i="94"/>
  <c r="R55" i="94"/>
  <c r="R54" i="94"/>
  <c r="R23" i="94"/>
  <c r="R18" i="94"/>
  <c r="R49" i="94"/>
  <c r="R38" i="94"/>
  <c r="R37" i="94"/>
  <c r="R33" i="94"/>
  <c r="R22" i="94"/>
  <c r="R20" i="94"/>
  <c r="L23" i="94"/>
  <c r="N23" i="94" s="1"/>
  <c r="R36" i="94"/>
  <c r="F26" i="95"/>
  <c r="X39" i="95"/>
  <c r="Z39" i="95" s="1"/>
  <c r="Z30" i="99"/>
  <c r="X30" i="99"/>
  <c r="V24" i="92"/>
  <c r="V28" i="92"/>
  <c r="R33" i="92"/>
  <c r="V40" i="92"/>
  <c r="J46" i="92"/>
  <c r="R49" i="92"/>
  <c r="R50" i="92"/>
  <c r="V52" i="92"/>
  <c r="V60" i="92"/>
  <c r="V64" i="92"/>
  <c r="V76" i="92"/>
  <c r="V84" i="92"/>
  <c r="Z13" i="94"/>
  <c r="R59" i="94"/>
  <c r="L65" i="94"/>
  <c r="D64" i="94"/>
  <c r="L64" i="94" s="1"/>
  <c r="N64" i="94" s="1"/>
  <c r="T12" i="95"/>
  <c r="X12" i="95" s="1"/>
  <c r="T16" i="92"/>
  <c r="R19" i="92"/>
  <c r="V29" i="92"/>
  <c r="V33" i="92"/>
  <c r="J37" i="92"/>
  <c r="J45" i="92"/>
  <c r="V49" i="92"/>
  <c r="J57" i="92"/>
  <c r="R58" i="92"/>
  <c r="J69" i="92"/>
  <c r="R70" i="92"/>
  <c r="J73" i="92"/>
  <c r="R74" i="92"/>
  <c r="J81" i="92"/>
  <c r="R82" i="92"/>
  <c r="J95" i="92"/>
  <c r="J98" i="92"/>
  <c r="L58" i="93"/>
  <c r="Z23" i="94"/>
  <c r="X23" i="94"/>
  <c r="X13" i="95"/>
  <c r="Z13" i="95" s="1"/>
  <c r="F70" i="95"/>
  <c r="V14" i="92"/>
  <c r="V16" i="92"/>
  <c r="V18" i="92"/>
  <c r="R23" i="92"/>
  <c r="R27" i="92"/>
  <c r="R39" i="92"/>
  <c r="J44" i="92"/>
  <c r="R47" i="92"/>
  <c r="R48" i="92"/>
  <c r="V50" i="92"/>
  <c r="J56" i="92"/>
  <c r="V58" i="92"/>
  <c r="J62" i="92"/>
  <c r="J68" i="92"/>
  <c r="V70" i="92"/>
  <c r="V74" i="92"/>
  <c r="J80" i="92"/>
  <c r="V82" i="92"/>
  <c r="D12" i="94"/>
  <c r="L14" i="94"/>
  <c r="N14" i="94" s="1"/>
  <c r="N65" i="94"/>
  <c r="F17" i="95"/>
  <c r="V47" i="92"/>
  <c r="J67" i="92"/>
  <c r="J79" i="92"/>
  <c r="J87" i="92"/>
  <c r="N58" i="93"/>
  <c r="X13" i="94"/>
  <c r="N32" i="94"/>
  <c r="J36" i="94"/>
  <c r="Z42" i="94"/>
  <c r="J46" i="94"/>
  <c r="X65" i="94"/>
  <c r="N13" i="95"/>
  <c r="X14" i="95"/>
  <c r="Z14" i="95" s="1"/>
  <c r="N58" i="95"/>
  <c r="R43" i="96"/>
  <c r="L81" i="96"/>
  <c r="P86" i="96"/>
  <c r="X86" i="96" s="1"/>
  <c r="R48" i="101"/>
  <c r="J17" i="94"/>
  <c r="J45" i="94"/>
  <c r="J53" i="94"/>
  <c r="Z65" i="94"/>
  <c r="H12" i="95"/>
  <c r="Z43" i="95"/>
  <c r="X49" i="95"/>
  <c r="Z49" i="95" s="1"/>
  <c r="L70" i="95"/>
  <c r="N70" i="95" s="1"/>
  <c r="D12" i="96"/>
  <c r="L13" i="96"/>
  <c r="Z43" i="96"/>
  <c r="L54" i="96"/>
  <c r="N54" i="96" s="1"/>
  <c r="Z62" i="96"/>
  <c r="N71" i="96"/>
  <c r="N83" i="96"/>
  <c r="R86" i="96"/>
  <c r="J46" i="98"/>
  <c r="J52" i="98"/>
  <c r="J42" i="94"/>
  <c r="J64" i="94"/>
  <c r="L47" i="95"/>
  <c r="N47" i="95" s="1"/>
  <c r="T12" i="96"/>
  <c r="X13" i="96"/>
  <c r="Z13" i="96" s="1"/>
  <c r="Z16" i="96"/>
  <c r="R28" i="96"/>
  <c r="Z54" i="96"/>
  <c r="P12" i="98"/>
  <c r="X13" i="98"/>
  <c r="Z50" i="98"/>
  <c r="J25" i="94"/>
  <c r="J29" i="94"/>
  <c r="J41" i="94"/>
  <c r="J57" i="94"/>
  <c r="J65" i="94"/>
  <c r="R26" i="96"/>
  <c r="X48" i="96"/>
  <c r="Z48" i="96" s="1"/>
  <c r="R52" i="96"/>
  <c r="T12" i="98"/>
  <c r="Z13" i="98"/>
  <c r="J34" i="94"/>
  <c r="J40" i="94"/>
  <c r="J50" i="94"/>
  <c r="J62" i="94"/>
  <c r="X41" i="95"/>
  <c r="X70" i="95"/>
  <c r="Z70" i="95"/>
  <c r="R24" i="96"/>
  <c r="D17" i="100"/>
  <c r="L14" i="100"/>
  <c r="H20" i="94"/>
  <c r="J39" i="94"/>
  <c r="J61" i="94"/>
  <c r="J56" i="94"/>
  <c r="J60" i="94"/>
  <c r="Z41" i="95"/>
  <c r="N43" i="95"/>
  <c r="Z22" i="98"/>
  <c r="J23" i="94"/>
  <c r="J33" i="94"/>
  <c r="J37" i="94"/>
  <c r="J49" i="94"/>
  <c r="J55" i="94"/>
  <c r="N49" i="95"/>
  <c r="Z53" i="95"/>
  <c r="J18" i="94"/>
  <c r="J32" i="94"/>
  <c r="J48" i="94"/>
  <c r="J54" i="94"/>
  <c r="L55" i="94"/>
  <c r="N55" i="94" s="1"/>
  <c r="L39" i="95"/>
  <c r="N39" i="95" s="1"/>
  <c r="L43" i="95"/>
  <c r="R68" i="96"/>
  <c r="R67" i="96"/>
  <c r="R63" i="96"/>
  <c r="R56" i="96"/>
  <c r="R55" i="96"/>
  <c r="R32" i="96"/>
  <c r="R31" i="96"/>
  <c r="R27" i="96"/>
  <c r="R79" i="96"/>
  <c r="R78" i="96"/>
  <c r="R74" i="96"/>
  <c r="R46" i="96"/>
  <c r="R23" i="96"/>
  <c r="R18" i="96"/>
  <c r="R69" i="96"/>
  <c r="R58" i="96"/>
  <c r="R57" i="96"/>
  <c r="R37" i="96"/>
  <c r="R33" i="96"/>
  <c r="R22" i="96"/>
  <c r="R20" i="96"/>
  <c r="R81" i="96"/>
  <c r="R80" i="96"/>
  <c r="R64" i="96"/>
  <c r="R75" i="96"/>
  <c r="R59" i="96"/>
  <c r="R48" i="96"/>
  <c r="R47" i="96"/>
  <c r="R83" i="96"/>
  <c r="R82" i="96"/>
  <c r="R71" i="96"/>
  <c r="R70" i="96"/>
  <c r="R39" i="96"/>
  <c r="R38" i="96"/>
  <c r="R34" i="96"/>
  <c r="R65" i="96"/>
  <c r="R50" i="96"/>
  <c r="R49" i="96"/>
  <c r="R29" i="96"/>
  <c r="R25" i="96"/>
  <c r="R87" i="96"/>
  <c r="R84" i="96"/>
  <c r="R76" i="96"/>
  <c r="R72" i="96"/>
  <c r="R60" i="96"/>
  <c r="R41" i="96"/>
  <c r="R40" i="96"/>
  <c r="R91" i="96"/>
  <c r="R77" i="96"/>
  <c r="R73" i="96"/>
  <c r="R62" i="96"/>
  <c r="R61" i="96"/>
  <c r="R54" i="96"/>
  <c r="R53" i="96"/>
  <c r="R17" i="96"/>
  <c r="R45" i="96"/>
  <c r="R44" i="96"/>
  <c r="R36" i="96"/>
  <c r="X12" i="96"/>
  <c r="R35" i="96"/>
  <c r="J77" i="98"/>
  <c r="J53" i="98"/>
  <c r="J78" i="98"/>
  <c r="J72" i="98"/>
  <c r="J60" i="98"/>
  <c r="J54" i="98"/>
  <c r="J44" i="98"/>
  <c r="J36" i="98"/>
  <c r="J79" i="98"/>
  <c r="J67" i="98"/>
  <c r="J61" i="98"/>
  <c r="J55" i="98"/>
  <c r="J45" i="98"/>
  <c r="J82" i="98"/>
  <c r="J81" i="98"/>
  <c r="J73" i="98"/>
  <c r="J69" i="98"/>
  <c r="J37" i="98"/>
  <c r="J86" i="98"/>
  <c r="J56" i="98"/>
  <c r="J28" i="98"/>
  <c r="J24" i="98"/>
  <c r="J22" i="98"/>
  <c r="J74" i="98"/>
  <c r="J70" i="98"/>
  <c r="J58" i="98"/>
  <c r="J48" i="98"/>
  <c r="J38" i="98"/>
  <c r="J34" i="98"/>
  <c r="J75" i="98"/>
  <c r="J71" i="98"/>
  <c r="J65" i="98"/>
  <c r="J59" i="98"/>
  <c r="J51" i="98"/>
  <c r="J41" i="98"/>
  <c r="J35" i="98"/>
  <c r="J76" i="98"/>
  <c r="J66" i="98"/>
  <c r="J42" i="98"/>
  <c r="J39" i="98"/>
  <c r="J23" i="98"/>
  <c r="H20" i="98"/>
  <c r="J20" i="98" s="1"/>
  <c r="J47" i="98"/>
  <c r="J33" i="98"/>
  <c r="J27" i="98"/>
  <c r="J30" i="98"/>
  <c r="J43" i="98"/>
  <c r="J68" i="98"/>
  <c r="J63" i="98"/>
  <c r="J57" i="98"/>
  <c r="J40" i="98"/>
  <c r="J25" i="98"/>
  <c r="J16" i="98"/>
  <c r="J31" i="98"/>
  <c r="J17" i="98"/>
  <c r="J49" i="98"/>
  <c r="J64" i="98"/>
  <c r="J62" i="98"/>
  <c r="J29" i="98"/>
  <c r="J50" i="98"/>
  <c r="J18" i="98"/>
  <c r="J27" i="94"/>
  <c r="J31" i="94"/>
  <c r="J47" i="94"/>
  <c r="Z14" i="96"/>
  <c r="R51" i="96"/>
  <c r="N62" i="96"/>
  <c r="L12" i="98"/>
  <c r="N12" i="98" s="1"/>
  <c r="N41" i="98"/>
  <c r="N43" i="96"/>
  <c r="Z81" i="96"/>
  <c r="P47" i="100"/>
  <c r="N40" i="100"/>
  <c r="L64" i="102"/>
  <c r="N64" i="102" s="1"/>
  <c r="R34" i="103"/>
  <c r="R33" i="103"/>
  <c r="R25" i="103"/>
  <c r="R21" i="103"/>
  <c r="R36" i="103"/>
  <c r="R35" i="103"/>
  <c r="R50" i="103"/>
  <c r="R48" i="103"/>
  <c r="R38" i="103"/>
  <c r="R37" i="103"/>
  <c r="R39" i="103"/>
  <c r="R28" i="103"/>
  <c r="R27" i="103"/>
  <c r="R23" i="103"/>
  <c r="R52" i="103"/>
  <c r="R19" i="103"/>
  <c r="R32" i="103"/>
  <c r="R31" i="103"/>
  <c r="R43" i="103"/>
  <c r="R42" i="103"/>
  <c r="R57" i="103"/>
  <c r="R26" i="103"/>
  <c r="R24" i="103"/>
  <c r="R22" i="103"/>
  <c r="R20" i="103"/>
  <c r="R29" i="103"/>
  <c r="R16" i="103"/>
  <c r="P16" i="103"/>
  <c r="R54" i="103"/>
  <c r="R45" i="103"/>
  <c r="R40" i="103"/>
  <c r="R18" i="103"/>
  <c r="R30" i="103"/>
  <c r="X12" i="103"/>
  <c r="R41" i="103"/>
  <c r="R46" i="103"/>
  <c r="R44" i="103"/>
  <c r="R14" i="103"/>
  <c r="F66" i="98"/>
  <c r="F65" i="98"/>
  <c r="F77" i="98"/>
  <c r="F76" i="98"/>
  <c r="F53" i="98"/>
  <c r="F52" i="98"/>
  <c r="F72" i="98"/>
  <c r="F60" i="98"/>
  <c r="F44" i="98"/>
  <c r="F43" i="98"/>
  <c r="F79" i="98"/>
  <c r="F78" i="98"/>
  <c r="F62" i="98"/>
  <c r="F61" i="98"/>
  <c r="F46" i="98"/>
  <c r="F45" i="98"/>
  <c r="F82" i="98"/>
  <c r="F73" i="98"/>
  <c r="F69" i="98"/>
  <c r="F68" i="98"/>
  <c r="F37" i="98"/>
  <c r="F33" i="98"/>
  <c r="F32" i="98"/>
  <c r="F86" i="98"/>
  <c r="F63" i="98"/>
  <c r="F47" i="98"/>
  <c r="F64" i="98"/>
  <c r="F40" i="98"/>
  <c r="F39" i="98"/>
  <c r="F75" i="98"/>
  <c r="F71" i="98"/>
  <c r="F18" i="98"/>
  <c r="F26" i="98"/>
  <c r="N32" i="98"/>
  <c r="F41" i="98"/>
  <c r="F34" i="99"/>
  <c r="F29" i="99"/>
  <c r="F25" i="99"/>
  <c r="F45" i="99"/>
  <c r="F36" i="99"/>
  <c r="F35" i="99"/>
  <c r="F49" i="99"/>
  <c r="F31" i="99"/>
  <c r="F30" i="99"/>
  <c r="F38" i="99"/>
  <c r="F37" i="99"/>
  <c r="F26" i="99"/>
  <c r="F17" i="99"/>
  <c r="F16" i="99"/>
  <c r="F40" i="99"/>
  <c r="F39" i="99"/>
  <c r="F32" i="99"/>
  <c r="L12" i="99"/>
  <c r="F27" i="99"/>
  <c r="F23" i="99"/>
  <c r="F22" i="99"/>
  <c r="F28" i="99"/>
  <c r="F24" i="99"/>
  <c r="F43" i="99"/>
  <c r="F42" i="99"/>
  <c r="R30" i="99"/>
  <c r="V36" i="99"/>
  <c r="R37" i="101"/>
  <c r="R36" i="101"/>
  <c r="R24" i="101"/>
  <c r="P20" i="101"/>
  <c r="R54" i="101"/>
  <c r="R41" i="101"/>
  <c r="R40" i="101"/>
  <c r="R56" i="101"/>
  <c r="R55" i="101"/>
  <c r="R51" i="101"/>
  <c r="R31" i="101"/>
  <c r="R60" i="101"/>
  <c r="R57" i="101"/>
  <c r="R64" i="101"/>
  <c r="R35" i="101"/>
  <c r="R34" i="101"/>
  <c r="R23" i="101"/>
  <c r="R53" i="101"/>
  <c r="R46" i="101"/>
  <c r="R45" i="101"/>
  <c r="R22" i="101"/>
  <c r="R20" i="101"/>
  <c r="R49" i="101"/>
  <c r="R44" i="101"/>
  <c r="R38" i="101"/>
  <c r="R29" i="101"/>
  <c r="R52" i="101"/>
  <c r="R50" i="101"/>
  <c r="R47" i="101"/>
  <c r="R39" i="101"/>
  <c r="R32" i="101"/>
  <c r="R26" i="101"/>
  <c r="R16" i="101"/>
  <c r="R42" i="101"/>
  <c r="R33" i="101"/>
  <c r="R17" i="101"/>
  <c r="R30" i="101"/>
  <c r="R27" i="101"/>
  <c r="X12" i="101"/>
  <c r="R28" i="101"/>
  <c r="R25" i="101"/>
  <c r="J59" i="101"/>
  <c r="J33" i="101"/>
  <c r="J64" i="101"/>
  <c r="J53" i="101"/>
  <c r="J47" i="101"/>
  <c r="J37" i="101"/>
  <c r="H20" i="101"/>
  <c r="J54" i="101"/>
  <c r="J48" i="101"/>
  <c r="J38" i="101"/>
  <c r="J30" i="101"/>
  <c r="J50" i="101"/>
  <c r="J40" i="101"/>
  <c r="J57" i="101"/>
  <c r="J43" i="101"/>
  <c r="J27" i="101"/>
  <c r="J62" i="101"/>
  <c r="J60" i="101"/>
  <c r="J52" i="101"/>
  <c r="J44" i="101"/>
  <c r="J34" i="101"/>
  <c r="J31" i="101"/>
  <c r="J25" i="101"/>
  <c r="J18" i="101"/>
  <c r="J46" i="101"/>
  <c r="J28" i="101"/>
  <c r="J56" i="101"/>
  <c r="J41" i="101"/>
  <c r="J20" i="101"/>
  <c r="J49" i="101"/>
  <c r="J35" i="101"/>
  <c r="J29" i="101"/>
  <c r="J23" i="101"/>
  <c r="J22" i="101"/>
  <c r="J39" i="101"/>
  <c r="J32" i="101"/>
  <c r="J26" i="101"/>
  <c r="J42" i="101"/>
  <c r="J16" i="101"/>
  <c r="J55" i="101"/>
  <c r="J51" i="101"/>
  <c r="J66" i="101"/>
  <c r="J36" i="101"/>
  <c r="J69" i="101"/>
  <c r="F16" i="98"/>
  <c r="F17" i="98"/>
  <c r="F31" i="98"/>
  <c r="F34" i="98"/>
  <c r="F36" i="98"/>
  <c r="F38" i="98"/>
  <c r="F57" i="98"/>
  <c r="F70" i="98"/>
  <c r="X76" i="98"/>
  <c r="L29" i="100"/>
  <c r="J17" i="101"/>
  <c r="F25" i="98"/>
  <c r="F28" i="98"/>
  <c r="X52" i="98"/>
  <c r="F54" i="98"/>
  <c r="N68" i="98"/>
  <c r="Z76" i="98"/>
  <c r="L48" i="104"/>
  <c r="N48" i="104" s="1"/>
  <c r="N13" i="96"/>
  <c r="X14" i="96"/>
  <c r="N43" i="98"/>
  <c r="F48" i="98"/>
  <c r="F51" i="98"/>
  <c r="F59" i="98"/>
  <c r="F41" i="99"/>
  <c r="N29" i="100"/>
  <c r="Z40" i="100"/>
  <c r="X40" i="100"/>
  <c r="J45" i="101"/>
  <c r="X60" i="101"/>
  <c r="P59" i="101"/>
  <c r="X59" i="101" s="1"/>
  <c r="X53" i="102"/>
  <c r="Z53" i="102" s="1"/>
  <c r="N61" i="98"/>
  <c r="L61" i="98"/>
  <c r="Z78" i="98"/>
  <c r="X37" i="99"/>
  <c r="N76" i="102"/>
  <c r="L76" i="102"/>
  <c r="F30" i="98"/>
  <c r="R39" i="99"/>
  <c r="R38" i="99"/>
  <c r="R26" i="99"/>
  <c r="R22" i="99"/>
  <c r="R17" i="99"/>
  <c r="R40" i="99"/>
  <c r="R32" i="99"/>
  <c r="R21" i="99"/>
  <c r="X12" i="99"/>
  <c r="R27" i="99"/>
  <c r="R23" i="99"/>
  <c r="P19" i="99"/>
  <c r="R42" i="99"/>
  <c r="R41" i="99"/>
  <c r="R33" i="99"/>
  <c r="R28" i="99"/>
  <c r="R24" i="99"/>
  <c r="R43" i="99"/>
  <c r="R37" i="99"/>
  <c r="R36" i="99"/>
  <c r="R49" i="99"/>
  <c r="R31" i="99"/>
  <c r="R16" i="99"/>
  <c r="D19" i="99"/>
  <c r="R35" i="99"/>
  <c r="J24" i="101"/>
  <c r="L14" i="98"/>
  <c r="N14" i="98" s="1"/>
  <c r="D20" i="98"/>
  <c r="F22" i="98"/>
  <c r="F23" i="98"/>
  <c r="F24" i="98"/>
  <c r="F27" i="98"/>
  <c r="F35" i="98"/>
  <c r="N45" i="98"/>
  <c r="F56" i="98"/>
  <c r="V21" i="99"/>
  <c r="V19" i="99"/>
  <c r="V17" i="99"/>
  <c r="V40" i="99"/>
  <c r="V32" i="99"/>
  <c r="T19" i="99"/>
  <c r="Z12" i="99"/>
  <c r="V27" i="99"/>
  <c r="V23" i="99"/>
  <c r="V42" i="99"/>
  <c r="V41" i="99"/>
  <c r="V33" i="99"/>
  <c r="V28" i="99"/>
  <c r="V24" i="99"/>
  <c r="V47" i="99"/>
  <c r="V45" i="99"/>
  <c r="V43" i="99"/>
  <c r="V35" i="99"/>
  <c r="V34" i="99"/>
  <c r="V30" i="99"/>
  <c r="V54" i="99"/>
  <c r="V51" i="99"/>
  <c r="V49" i="99"/>
  <c r="V39" i="99"/>
  <c r="V31" i="99"/>
  <c r="V38" i="99"/>
  <c r="V26" i="99"/>
  <c r="V22" i="99"/>
  <c r="V37" i="99"/>
  <c r="N16" i="101"/>
  <c r="L16" i="101"/>
  <c r="N33" i="101"/>
  <c r="L33" i="101"/>
  <c r="R43" i="101"/>
  <c r="Z13" i="102"/>
  <c r="L16" i="104"/>
  <c r="D12" i="104"/>
  <c r="F20" i="98"/>
  <c r="F42" i="98"/>
  <c r="X45" i="98"/>
  <c r="Z45" i="98" s="1"/>
  <c r="F50" i="98"/>
  <c r="F67" i="98"/>
  <c r="N19" i="102"/>
  <c r="Z54" i="98"/>
  <c r="F58" i="98"/>
  <c r="L20" i="100"/>
  <c r="N20" i="100" s="1"/>
  <c r="R18" i="101"/>
  <c r="X37" i="101"/>
  <c r="Z37" i="101" s="1"/>
  <c r="V27" i="100"/>
  <c r="V41" i="100"/>
  <c r="V43" i="100"/>
  <c r="F52" i="101"/>
  <c r="F44" i="101"/>
  <c r="F43" i="101"/>
  <c r="F32" i="101"/>
  <c r="F28" i="101"/>
  <c r="F27" i="101"/>
  <c r="L12" i="101"/>
  <c r="F62" i="101"/>
  <c r="F60" i="101"/>
  <c r="F64" i="101"/>
  <c r="F59" i="101"/>
  <c r="F36" i="101"/>
  <c r="F35" i="101"/>
  <c r="F24" i="101"/>
  <c r="F23" i="101"/>
  <c r="F69" i="101"/>
  <c r="F66" i="101"/>
  <c r="F47" i="101"/>
  <c r="F46" i="101"/>
  <c r="F49" i="101"/>
  <c r="F48" i="101"/>
  <c r="F42" i="101"/>
  <c r="F41" i="101"/>
  <c r="F26" i="101"/>
  <c r="F57" i="101"/>
  <c r="F56" i="101"/>
  <c r="T62" i="101"/>
  <c r="F40" i="101"/>
  <c r="Z41" i="101"/>
  <c r="F51" i="101"/>
  <c r="F53" i="101"/>
  <c r="F55" i="101"/>
  <c r="Z25" i="102"/>
  <c r="X25" i="102"/>
  <c r="Z41" i="102"/>
  <c r="X41" i="102"/>
  <c r="F57" i="102"/>
  <c r="D50" i="103"/>
  <c r="L16" i="103"/>
  <c r="J43" i="99"/>
  <c r="Z12" i="100"/>
  <c r="H17" i="100"/>
  <c r="F20" i="100"/>
  <c r="F21" i="100"/>
  <c r="F25" i="100"/>
  <c r="J32" i="100"/>
  <c r="V36" i="100"/>
  <c r="V20" i="101"/>
  <c r="V22" i="101"/>
  <c r="V41" i="101"/>
  <c r="F45" i="101"/>
  <c r="V56" i="101"/>
  <c r="P12" i="102"/>
  <c r="X13" i="102"/>
  <c r="X15" i="102"/>
  <c r="Z15" i="102" s="1"/>
  <c r="Z17" i="102"/>
  <c r="Z45" i="102"/>
  <c r="J57" i="102"/>
  <c r="X61" i="102"/>
  <c r="Z61" i="102" s="1"/>
  <c r="F64" i="102"/>
  <c r="X36" i="103"/>
  <c r="D81" i="98"/>
  <c r="H19" i="99"/>
  <c r="F28" i="100"/>
  <c r="J29" i="100"/>
  <c r="R32" i="100"/>
  <c r="R33" i="100"/>
  <c r="V35" i="100"/>
  <c r="F41" i="100"/>
  <c r="F43" i="100"/>
  <c r="J45" i="100"/>
  <c r="V47" i="101"/>
  <c r="V39" i="101"/>
  <c r="V54" i="101"/>
  <c r="V55" i="101"/>
  <c r="V51" i="101"/>
  <c r="V43" i="101"/>
  <c r="V31" i="101"/>
  <c r="V27" i="101"/>
  <c r="V60" i="101"/>
  <c r="V42" i="101"/>
  <c r="V26" i="101"/>
  <c r="V59" i="101"/>
  <c r="V57" i="101"/>
  <c r="V52" i="101"/>
  <c r="V44" i="101"/>
  <c r="V53" i="101"/>
  <c r="V45" i="101"/>
  <c r="V37" i="101"/>
  <c r="V29" i="101"/>
  <c r="V48" i="101"/>
  <c r="F39" i="101"/>
  <c r="F50" i="101"/>
  <c r="J19" i="102"/>
  <c r="F26" i="102"/>
  <c r="Z64" i="102"/>
  <c r="J69" i="102"/>
  <c r="R21" i="100"/>
  <c r="J24" i="100"/>
  <c r="R25" i="100"/>
  <c r="J28" i="100"/>
  <c r="V32" i="100"/>
  <c r="J40" i="100"/>
  <c r="R50" i="100"/>
  <c r="F22" i="101"/>
  <c r="V36" i="101"/>
  <c r="N14" i="102"/>
  <c r="N16" i="102"/>
  <c r="L16" i="102"/>
  <c r="N26" i="102"/>
  <c r="F33" i="102"/>
  <c r="N35" i="102"/>
  <c r="N74" i="102"/>
  <c r="Z76" i="102"/>
  <c r="R82" i="104"/>
  <c r="R63" i="104"/>
  <c r="R56" i="104"/>
  <c r="R55" i="104"/>
  <c r="R44" i="104"/>
  <c r="R43" i="104"/>
  <c r="R19" i="104"/>
  <c r="R38" i="104"/>
  <c r="R74" i="104"/>
  <c r="R73" i="104"/>
  <c r="R69" i="104"/>
  <c r="R58" i="104"/>
  <c r="R57" i="104"/>
  <c r="R46" i="104"/>
  <c r="R45" i="104"/>
  <c r="R33" i="104"/>
  <c r="R29" i="104"/>
  <c r="R86" i="104"/>
  <c r="R64" i="104"/>
  <c r="R25" i="104"/>
  <c r="R76" i="104"/>
  <c r="R75" i="104"/>
  <c r="R59" i="104"/>
  <c r="R48" i="104"/>
  <c r="R47" i="104"/>
  <c r="R39" i="104"/>
  <c r="R24" i="104"/>
  <c r="R70" i="104"/>
  <c r="R35" i="104"/>
  <c r="R34" i="104"/>
  <c r="R30" i="104"/>
  <c r="R26" i="104"/>
  <c r="P22" i="104"/>
  <c r="R22" i="104" s="1"/>
  <c r="R78" i="104"/>
  <c r="R77" i="104"/>
  <c r="R66" i="104"/>
  <c r="R65" i="104"/>
  <c r="R50" i="104"/>
  <c r="R49" i="104"/>
  <c r="R60" i="104"/>
  <c r="R40" i="104"/>
  <c r="R36" i="104"/>
  <c r="X12" i="104"/>
  <c r="Z12" i="104" s="1"/>
  <c r="R62" i="104"/>
  <c r="R61" i="104"/>
  <c r="R54" i="104"/>
  <c r="R53" i="104"/>
  <c r="R42" i="104"/>
  <c r="R41" i="104"/>
  <c r="R37" i="104"/>
  <c r="R18" i="104"/>
  <c r="R80" i="104"/>
  <c r="R72" i="104"/>
  <c r="R68" i="104"/>
  <c r="R32" i="104"/>
  <c r="R28" i="104"/>
  <c r="R20" i="104"/>
  <c r="R71" i="104"/>
  <c r="R52" i="104"/>
  <c r="R79" i="104"/>
  <c r="R31" i="104"/>
  <c r="R51" i="104"/>
  <c r="R67" i="104"/>
  <c r="R27" i="104"/>
  <c r="H81" i="98"/>
  <c r="N81" i="98" s="1"/>
  <c r="N12" i="99"/>
  <c r="X13" i="99"/>
  <c r="J22" i="99"/>
  <c r="J32" i="99"/>
  <c r="J40" i="99"/>
  <c r="R17" i="100"/>
  <c r="R19" i="100"/>
  <c r="V21" i="100"/>
  <c r="V25" i="100"/>
  <c r="R30" i="100"/>
  <c r="R31" i="100"/>
  <c r="V33" i="100"/>
  <c r="F37" i="100"/>
  <c r="F38" i="100"/>
  <c r="J41" i="100"/>
  <c r="J43" i="100"/>
  <c r="R47" i="100"/>
  <c r="Z12" i="101"/>
  <c r="D20" i="101"/>
  <c r="N23" i="101"/>
  <c r="V24" i="101"/>
  <c r="F29" i="101"/>
  <c r="V30" i="101"/>
  <c r="F54" i="101"/>
  <c r="Z19" i="102"/>
  <c r="X19" i="102"/>
  <c r="H23" i="102"/>
  <c r="J33" i="102"/>
  <c r="F38" i="102"/>
  <c r="F65" i="102"/>
  <c r="Z13" i="99"/>
  <c r="J17" i="99"/>
  <c r="J39" i="99"/>
  <c r="J51" i="99"/>
  <c r="J54" i="99"/>
  <c r="T17" i="100"/>
  <c r="R20" i="100"/>
  <c r="F23" i="100"/>
  <c r="F27" i="100"/>
  <c r="V30" i="100"/>
  <c r="J38" i="100"/>
  <c r="R45" i="100"/>
  <c r="V50" i="100"/>
  <c r="V17" i="101"/>
  <c r="F20" i="101"/>
  <c r="Z33" i="101"/>
  <c r="F38" i="101"/>
  <c r="L41" i="101"/>
  <c r="N41" i="101" s="1"/>
  <c r="X50" i="101"/>
  <c r="Z50" i="101" s="1"/>
  <c r="F31" i="102"/>
  <c r="F77" i="102"/>
  <c r="L18" i="103"/>
  <c r="N18" i="103" s="1"/>
  <c r="L30" i="103"/>
  <c r="Z74" i="104"/>
  <c r="J38" i="99"/>
  <c r="V31" i="100"/>
  <c r="J37" i="100"/>
  <c r="V45" i="100"/>
  <c r="V47" i="100"/>
  <c r="V33" i="101"/>
  <c r="J59" i="102"/>
  <c r="J51" i="102"/>
  <c r="J35" i="102"/>
  <c r="J21" i="102"/>
  <c r="J84" i="102"/>
  <c r="J60" i="102"/>
  <c r="J52" i="102"/>
  <c r="J40" i="102"/>
  <c r="J36" i="102"/>
  <c r="J26" i="102"/>
  <c r="J71" i="102"/>
  <c r="J67" i="102"/>
  <c r="J61" i="102"/>
  <c r="J53" i="102"/>
  <c r="J41" i="102"/>
  <c r="J31" i="102"/>
  <c r="J27" i="102"/>
  <c r="J25" i="102"/>
  <c r="J23" i="102"/>
  <c r="J72" i="102"/>
  <c r="J62" i="102"/>
  <c r="J54" i="102"/>
  <c r="J42" i="102"/>
  <c r="J73" i="102"/>
  <c r="J55" i="102"/>
  <c r="J43" i="102"/>
  <c r="J37" i="102"/>
  <c r="J74" i="102"/>
  <c r="J68" i="102"/>
  <c r="J56" i="102"/>
  <c r="J44" i="102"/>
  <c r="J32" i="102"/>
  <c r="J28" i="102"/>
  <c r="J75" i="102"/>
  <c r="J63" i="102"/>
  <c r="J45" i="102"/>
  <c r="J76" i="102"/>
  <c r="J64" i="102"/>
  <c r="J46" i="102"/>
  <c r="J38" i="102"/>
  <c r="J79" i="102"/>
  <c r="J49" i="102"/>
  <c r="J39" i="102"/>
  <c r="J70" i="102"/>
  <c r="J66" i="102"/>
  <c r="J58" i="102"/>
  <c r="J50" i="102"/>
  <c r="J34" i="102"/>
  <c r="J30" i="102"/>
  <c r="J20" i="102"/>
  <c r="Z26" i="102"/>
  <c r="X26" i="102"/>
  <c r="F29" i="102"/>
  <c r="J77" i="102"/>
  <c r="J80" i="102"/>
  <c r="Z28" i="103"/>
  <c r="J31" i="99"/>
  <c r="J37" i="99"/>
  <c r="J49" i="99"/>
  <c r="X17" i="100"/>
  <c r="V20" i="100"/>
  <c r="V24" i="100"/>
  <c r="V28" i="100"/>
  <c r="J36" i="100"/>
  <c r="R40" i="100"/>
  <c r="V32" i="101"/>
  <c r="N47" i="102"/>
  <c r="L47" i="102"/>
  <c r="J30" i="99"/>
  <c r="J36" i="99"/>
  <c r="L37" i="99"/>
  <c r="F22" i="100"/>
  <c r="F26" i="100"/>
  <c r="V29" i="100"/>
  <c r="F33" i="100"/>
  <c r="J35" i="100"/>
  <c r="R38" i="100"/>
  <c r="R41" i="100"/>
  <c r="V16" i="101"/>
  <c r="F18" i="101"/>
  <c r="F25" i="101"/>
  <c r="F31" i="101"/>
  <c r="F34" i="101"/>
  <c r="F37" i="101"/>
  <c r="X39" i="101"/>
  <c r="V50" i="101"/>
  <c r="V64" i="101"/>
  <c r="N25" i="102"/>
  <c r="L25" i="102"/>
  <c r="F27" i="102"/>
  <c r="J47" i="102"/>
  <c r="J25" i="99"/>
  <c r="J29" i="99"/>
  <c r="J35" i="99"/>
  <c r="J45" i="99"/>
  <c r="V14" i="100"/>
  <c r="V38" i="100"/>
  <c r="V23" i="101"/>
  <c r="V35" i="101"/>
  <c r="V38" i="101"/>
  <c r="L48" i="101"/>
  <c r="V49" i="101"/>
  <c r="F79" i="102"/>
  <c r="F70" i="102"/>
  <c r="F66" i="102"/>
  <c r="F58" i="102"/>
  <c r="F50" i="102"/>
  <c r="F49" i="102"/>
  <c r="F34" i="102"/>
  <c r="F30" i="102"/>
  <c r="F21" i="102"/>
  <c r="F84" i="102"/>
  <c r="F60" i="102"/>
  <c r="F59" i="102"/>
  <c r="F52" i="102"/>
  <c r="F51" i="102"/>
  <c r="F40" i="102"/>
  <c r="F36" i="102"/>
  <c r="F35" i="102"/>
  <c r="L12" i="102"/>
  <c r="N12" i="102" s="1"/>
  <c r="F71" i="102"/>
  <c r="F67" i="102"/>
  <c r="F62" i="102"/>
  <c r="F61" i="102"/>
  <c r="F54" i="102"/>
  <c r="F53" i="102"/>
  <c r="F42" i="102"/>
  <c r="F41" i="102"/>
  <c r="F25" i="102"/>
  <c r="F23" i="102"/>
  <c r="F73" i="102"/>
  <c r="F72" i="102"/>
  <c r="F37" i="102"/>
  <c r="D23" i="102"/>
  <c r="F68" i="102"/>
  <c r="F56" i="102"/>
  <c r="F55" i="102"/>
  <c r="F44" i="102"/>
  <c r="F43" i="102"/>
  <c r="F32" i="102"/>
  <c r="F28" i="102"/>
  <c r="F75" i="102"/>
  <c r="F74" i="102"/>
  <c r="F63" i="102"/>
  <c r="F48" i="102"/>
  <c r="F47" i="102"/>
  <c r="F20" i="102"/>
  <c r="F19" i="102"/>
  <c r="F80" i="102"/>
  <c r="F39" i="102"/>
  <c r="N45" i="102"/>
  <c r="N61" i="102"/>
  <c r="T12" i="102"/>
  <c r="V18" i="104"/>
  <c r="N25" i="104"/>
  <c r="L38" i="103"/>
  <c r="T22" i="104"/>
  <c r="V53" i="104"/>
  <c r="P79" i="102"/>
  <c r="X79" i="102" s="1"/>
  <c r="Z79" i="102" s="1"/>
  <c r="V74" i="104"/>
  <c r="V58" i="104"/>
  <c r="V46" i="104"/>
  <c r="V38" i="104"/>
  <c r="V73" i="104"/>
  <c r="V69" i="104"/>
  <c r="V57" i="104"/>
  <c r="V45" i="104"/>
  <c r="V33" i="104"/>
  <c r="V29" i="104"/>
  <c r="V86" i="104"/>
  <c r="V76" i="104"/>
  <c r="V64" i="104"/>
  <c r="V48" i="104"/>
  <c r="V24" i="104"/>
  <c r="V22" i="104"/>
  <c r="V20" i="104"/>
  <c r="V75" i="104"/>
  <c r="V59" i="104"/>
  <c r="V47" i="104"/>
  <c r="V39" i="104"/>
  <c r="V35" i="104"/>
  <c r="V78" i="104"/>
  <c r="V70" i="104"/>
  <c r="V66" i="104"/>
  <c r="V50" i="104"/>
  <c r="V34" i="104"/>
  <c r="V30" i="104"/>
  <c r="V26" i="104"/>
  <c r="V77" i="104"/>
  <c r="V65" i="104"/>
  <c r="V49" i="104"/>
  <c r="V60" i="104"/>
  <c r="V52" i="104"/>
  <c r="V40" i="104"/>
  <c r="V36" i="104"/>
  <c r="V79" i="104"/>
  <c r="V71" i="104"/>
  <c r="V67" i="104"/>
  <c r="V51" i="104"/>
  <c r="V31" i="104"/>
  <c r="V27" i="104"/>
  <c r="V82" i="104"/>
  <c r="V80" i="104"/>
  <c r="V72" i="104"/>
  <c r="V68" i="104"/>
  <c r="V56" i="104"/>
  <c r="V44" i="104"/>
  <c r="V32" i="104"/>
  <c r="V28" i="104"/>
  <c r="V63" i="104"/>
  <c r="V55" i="104"/>
  <c r="V43" i="104"/>
  <c r="V19" i="104"/>
  <c r="N24" i="104"/>
  <c r="Z42" i="104"/>
  <c r="N46" i="104"/>
  <c r="Z38" i="103"/>
  <c r="Z41" i="103"/>
  <c r="Z14" i="104"/>
  <c r="V42" i="104"/>
  <c r="L13" i="102"/>
  <c r="Z30" i="103"/>
  <c r="Z43" i="103"/>
  <c r="Z16" i="104"/>
  <c r="Z46" i="104"/>
  <c r="N14" i="105"/>
  <c r="Z18" i="103"/>
  <c r="X32" i="103"/>
  <c r="N34" i="103"/>
  <c r="X48" i="103"/>
  <c r="H12" i="104"/>
  <c r="L13" i="104"/>
  <c r="N13" i="104" s="1"/>
  <c r="Z24" i="104"/>
  <c r="X54" i="104"/>
  <c r="X62" i="104"/>
  <c r="Z32" i="103"/>
  <c r="H50" i="103"/>
  <c r="Z54" i="104"/>
  <c r="Z62" i="104"/>
  <c r="L76" i="104"/>
  <c r="N15" i="104"/>
  <c r="L18" i="104"/>
  <c r="N18" i="104" s="1"/>
  <c r="V41" i="104"/>
  <c r="V54" i="104"/>
  <c r="V62" i="104"/>
  <c r="N76" i="104"/>
  <c r="L41" i="102"/>
  <c r="N41" i="102" s="1"/>
  <c r="X47" i="102"/>
  <c r="L53" i="102"/>
  <c r="N53" i="102" s="1"/>
  <c r="L61" i="102"/>
  <c r="L14" i="103"/>
  <c r="T50" i="103"/>
  <c r="Z58" i="104"/>
  <c r="F29" i="103"/>
  <c r="F28" i="103"/>
  <c r="F57" i="103"/>
  <c r="F54" i="103"/>
  <c r="F31" i="103"/>
  <c r="F30" i="103"/>
  <c r="F33" i="103"/>
  <c r="F32" i="103"/>
  <c r="F25" i="103"/>
  <c r="F21" i="103"/>
  <c r="F44" i="103"/>
  <c r="F43" i="103"/>
  <c r="F35" i="103"/>
  <c r="F34" i="103"/>
  <c r="F46" i="103"/>
  <c r="F45" i="103"/>
  <c r="F26" i="103"/>
  <c r="F22" i="103"/>
  <c r="F50" i="103"/>
  <c r="F48" i="103"/>
  <c r="F39" i="103"/>
  <c r="F38" i="103"/>
  <c r="F27" i="103"/>
  <c r="F23" i="103"/>
  <c r="F52" i="103"/>
  <c r="F19" i="103"/>
  <c r="Z18" i="104"/>
  <c r="D12" i="105"/>
  <c r="L13" i="105"/>
  <c r="N13" i="105" s="1"/>
  <c r="V45" i="103"/>
  <c r="Z25" i="104"/>
  <c r="X58" i="104"/>
  <c r="X74" i="104"/>
  <c r="N17" i="105"/>
  <c r="X28" i="105"/>
  <c r="Z28" i="105" s="1"/>
  <c r="L45" i="106"/>
  <c r="N45" i="106" s="1"/>
  <c r="N47" i="106"/>
  <c r="D12" i="108"/>
  <c r="L13" i="108"/>
  <c r="J28" i="103"/>
  <c r="V34" i="103"/>
  <c r="V42" i="103"/>
  <c r="J52" i="103"/>
  <c r="J17" i="105"/>
  <c r="L24" i="105"/>
  <c r="N24" i="105" s="1"/>
  <c r="L24" i="106"/>
  <c r="N24" i="106" s="1"/>
  <c r="R26" i="106"/>
  <c r="Z78" i="106"/>
  <c r="J80" i="108"/>
  <c r="J72" i="108"/>
  <c r="J68" i="108"/>
  <c r="J52" i="108"/>
  <c r="J40" i="108"/>
  <c r="J36" i="108"/>
  <c r="J53" i="108"/>
  <c r="J41" i="108"/>
  <c r="J31" i="108"/>
  <c r="J27" i="108"/>
  <c r="J17" i="108"/>
  <c r="J62" i="108"/>
  <c r="J54" i="108"/>
  <c r="J42" i="108"/>
  <c r="J81" i="108"/>
  <c r="J73" i="108"/>
  <c r="J69" i="108"/>
  <c r="J63" i="108"/>
  <c r="J55" i="108"/>
  <c r="J43" i="108"/>
  <c r="J37" i="108"/>
  <c r="J83" i="108"/>
  <c r="J57" i="108"/>
  <c r="J45" i="108"/>
  <c r="J19" i="108"/>
  <c r="J74" i="108"/>
  <c r="J70" i="108"/>
  <c r="J58" i="108"/>
  <c r="J46" i="108"/>
  <c r="J38" i="108"/>
  <c r="J87" i="108"/>
  <c r="J75" i="108"/>
  <c r="J65" i="108"/>
  <c r="J59" i="108"/>
  <c r="J47" i="108"/>
  <c r="J33" i="108"/>
  <c r="J29" i="108"/>
  <c r="J25" i="108"/>
  <c r="J23" i="108"/>
  <c r="J76" i="108"/>
  <c r="J60" i="108"/>
  <c r="J48" i="108"/>
  <c r="J34" i="108"/>
  <c r="J78" i="108"/>
  <c r="J66" i="108"/>
  <c r="J79" i="108"/>
  <c r="J67" i="108"/>
  <c r="J61" i="108"/>
  <c r="J51" i="108"/>
  <c r="J71" i="108"/>
  <c r="J49" i="108"/>
  <c r="J39" i="108"/>
  <c r="J64" i="108"/>
  <c r="J28" i="108"/>
  <c r="J26" i="108"/>
  <c r="J24" i="108"/>
  <c r="J77" i="108"/>
  <c r="J30" i="108"/>
  <c r="J32" i="108"/>
  <c r="H21" i="108"/>
  <c r="J21" i="108" s="1"/>
  <c r="J56" i="108"/>
  <c r="J35" i="108"/>
  <c r="V29" i="103"/>
  <c r="J37" i="103"/>
  <c r="V41" i="103"/>
  <c r="J24" i="105"/>
  <c r="J31" i="105"/>
  <c r="N34" i="105"/>
  <c r="L34" i="105"/>
  <c r="Z17" i="106"/>
  <c r="Z51" i="106"/>
  <c r="R67" i="106"/>
  <c r="J44" i="108"/>
  <c r="V14" i="103"/>
  <c r="V16" i="103"/>
  <c r="V18" i="103"/>
  <c r="J22" i="103"/>
  <c r="J26" i="103"/>
  <c r="V30" i="103"/>
  <c r="J36" i="103"/>
  <c r="J46" i="103"/>
  <c r="V52" i="103"/>
  <c r="V54" i="103"/>
  <c r="V57" i="103"/>
  <c r="P12" i="105"/>
  <c r="Z17" i="105"/>
  <c r="N23" i="105"/>
  <c r="X34" i="105"/>
  <c r="Z34" i="105" s="1"/>
  <c r="V17" i="106"/>
  <c r="Z67" i="106"/>
  <c r="J45" i="103"/>
  <c r="T12" i="105"/>
  <c r="Z13" i="105"/>
  <c r="J23" i="105"/>
  <c r="V77" i="106"/>
  <c r="N14" i="107"/>
  <c r="L14" i="107"/>
  <c r="H16" i="107"/>
  <c r="Z12" i="103"/>
  <c r="V28" i="103"/>
  <c r="J34" i="103"/>
  <c r="J44" i="103"/>
  <c r="X24" i="105"/>
  <c r="Z24" i="105" s="1"/>
  <c r="J28" i="105"/>
  <c r="J36" i="105"/>
  <c r="L40" i="105"/>
  <c r="N23" i="106"/>
  <c r="R30" i="106"/>
  <c r="R39" i="106"/>
  <c r="Z41" i="106"/>
  <c r="N40" i="105"/>
  <c r="D12" i="106"/>
  <c r="L13" i="106"/>
  <c r="N13" i="106" s="1"/>
  <c r="V30" i="106"/>
  <c r="V41" i="106"/>
  <c r="L57" i="106"/>
  <c r="V38" i="103"/>
  <c r="J42" i="103"/>
  <c r="V46" i="103"/>
  <c r="V48" i="103"/>
  <c r="V50" i="103"/>
  <c r="J50" i="105"/>
  <c r="J32" i="105"/>
  <c r="J26" i="105"/>
  <c r="J33" i="105"/>
  <c r="J54" i="105"/>
  <c r="J44" i="105"/>
  <c r="J34" i="105"/>
  <c r="J45" i="105"/>
  <c r="J37" i="105"/>
  <c r="J29" i="105"/>
  <c r="J38" i="105"/>
  <c r="J39" i="105"/>
  <c r="J19" i="105"/>
  <c r="J48" i="105"/>
  <c r="J42" i="105"/>
  <c r="J43" i="105"/>
  <c r="J18" i="105"/>
  <c r="H21" i="105"/>
  <c r="J30" i="105"/>
  <c r="J40" i="105"/>
  <c r="X15" i="105"/>
  <c r="Z15" i="105" s="1"/>
  <c r="R87" i="106"/>
  <c r="R80" i="106"/>
  <c r="R79" i="106"/>
  <c r="R31" i="106"/>
  <c r="R27" i="106"/>
  <c r="R63" i="106"/>
  <c r="R62" i="106"/>
  <c r="R55" i="106"/>
  <c r="R54" i="106"/>
  <c r="R43" i="106"/>
  <c r="R42" i="106"/>
  <c r="R18" i="106"/>
  <c r="R81" i="106"/>
  <c r="R73" i="106"/>
  <c r="R69" i="106"/>
  <c r="R37" i="106"/>
  <c r="R83" i="106"/>
  <c r="R64" i="106"/>
  <c r="R57" i="106"/>
  <c r="R56" i="106"/>
  <c r="R45" i="106"/>
  <c r="R44" i="106"/>
  <c r="R32" i="106"/>
  <c r="R28" i="106"/>
  <c r="R24" i="106"/>
  <c r="R19" i="106"/>
  <c r="R74" i="106"/>
  <c r="R70" i="106"/>
  <c r="R59" i="106"/>
  <c r="R58" i="106"/>
  <c r="R47" i="106"/>
  <c r="R46" i="106"/>
  <c r="R38" i="106"/>
  <c r="R23" i="106"/>
  <c r="R65" i="106"/>
  <c r="R34" i="106"/>
  <c r="R33" i="106"/>
  <c r="R29" i="106"/>
  <c r="R25" i="106"/>
  <c r="P21" i="106"/>
  <c r="R60" i="106"/>
  <c r="R49" i="106"/>
  <c r="R48" i="106"/>
  <c r="R76" i="106"/>
  <c r="R75" i="106"/>
  <c r="R71" i="106"/>
  <c r="R78" i="106"/>
  <c r="R77" i="106"/>
  <c r="R61" i="106"/>
  <c r="R72" i="106"/>
  <c r="R68" i="106"/>
  <c r="R53" i="106"/>
  <c r="R52" i="106"/>
  <c r="R41" i="106"/>
  <c r="R40" i="106"/>
  <c r="R36" i="106"/>
  <c r="R17" i="106"/>
  <c r="X12" i="106"/>
  <c r="R35" i="106"/>
  <c r="N57" i="106"/>
  <c r="R66" i="106"/>
  <c r="V64" i="108"/>
  <c r="V56" i="108"/>
  <c r="V44" i="108"/>
  <c r="V32" i="108"/>
  <c r="V75" i="108"/>
  <c r="V59" i="108"/>
  <c r="V47" i="108"/>
  <c r="V23" i="108"/>
  <c r="V19" i="108"/>
  <c r="V74" i="108"/>
  <c r="V70" i="108"/>
  <c r="V58" i="108"/>
  <c r="V46" i="108"/>
  <c r="V38" i="108"/>
  <c r="V34" i="108"/>
  <c r="V87" i="108"/>
  <c r="V77" i="108"/>
  <c r="V65" i="108"/>
  <c r="V49" i="108"/>
  <c r="V33" i="108"/>
  <c r="V29" i="108"/>
  <c r="V79" i="108"/>
  <c r="V71" i="108"/>
  <c r="V67" i="108"/>
  <c r="V51" i="108"/>
  <c r="V39" i="108"/>
  <c r="V35" i="108"/>
  <c r="V78" i="108"/>
  <c r="V66" i="108"/>
  <c r="V50" i="108"/>
  <c r="V30" i="108"/>
  <c r="V61" i="108"/>
  <c r="V53" i="108"/>
  <c r="V41" i="108"/>
  <c r="V80" i="108"/>
  <c r="V72" i="108"/>
  <c r="V68" i="108"/>
  <c r="V52" i="108"/>
  <c r="V40" i="108"/>
  <c r="V36" i="108"/>
  <c r="V62" i="108"/>
  <c r="V54" i="108"/>
  <c r="V83" i="108"/>
  <c r="V81" i="108"/>
  <c r="V73" i="108"/>
  <c r="V69" i="108"/>
  <c r="V57" i="108"/>
  <c r="V45" i="108"/>
  <c r="V37" i="108"/>
  <c r="V55" i="108"/>
  <c r="V28" i="108"/>
  <c r="V26" i="108"/>
  <c r="V17" i="108"/>
  <c r="T21" i="108"/>
  <c r="V63" i="108"/>
  <c r="V25" i="108"/>
  <c r="V48" i="108"/>
  <c r="V42" i="108"/>
  <c r="V27" i="108"/>
  <c r="V18" i="108"/>
  <c r="V60" i="108"/>
  <c r="V76" i="108"/>
  <c r="V24" i="108"/>
  <c r="V43" i="108"/>
  <c r="J24" i="103"/>
  <c r="J30" i="103"/>
  <c r="V36" i="103"/>
  <c r="J40" i="103"/>
  <c r="J54" i="103"/>
  <c r="X23" i="105"/>
  <c r="Z23" i="105" s="1"/>
  <c r="J25" i="105"/>
  <c r="J27" i="105"/>
  <c r="J35" i="105"/>
  <c r="V62" i="106"/>
  <c r="V54" i="106"/>
  <c r="V42" i="106"/>
  <c r="V18" i="106"/>
  <c r="V83" i="106"/>
  <c r="V81" i="106"/>
  <c r="V73" i="106"/>
  <c r="V69" i="106"/>
  <c r="V57" i="106"/>
  <c r="V45" i="106"/>
  <c r="V37" i="106"/>
  <c r="V64" i="106"/>
  <c r="V56" i="106"/>
  <c r="V44" i="106"/>
  <c r="V32" i="106"/>
  <c r="V28" i="106"/>
  <c r="V24" i="106"/>
  <c r="V59" i="106"/>
  <c r="V47" i="106"/>
  <c r="V23" i="106"/>
  <c r="V19" i="106"/>
  <c r="V74" i="106"/>
  <c r="V70" i="106"/>
  <c r="V58" i="106"/>
  <c r="V46" i="106"/>
  <c r="V38" i="106"/>
  <c r="V34" i="106"/>
  <c r="T21" i="106"/>
  <c r="V21" i="106" s="1"/>
  <c r="V65" i="106"/>
  <c r="V49" i="106"/>
  <c r="V33" i="106"/>
  <c r="V29" i="106"/>
  <c r="V25" i="106"/>
  <c r="V76" i="106"/>
  <c r="V60" i="106"/>
  <c r="V48" i="106"/>
  <c r="V87" i="106"/>
  <c r="V75" i="106"/>
  <c r="V71" i="106"/>
  <c r="V67" i="106"/>
  <c r="V51" i="106"/>
  <c r="V39" i="106"/>
  <c r="V35" i="106"/>
  <c r="V78" i="106"/>
  <c r="V66" i="106"/>
  <c r="V80" i="106"/>
  <c r="V72" i="106"/>
  <c r="V68" i="106"/>
  <c r="V52" i="106"/>
  <c r="V40" i="106"/>
  <c r="V36" i="106"/>
  <c r="Z12" i="106"/>
  <c r="V79" i="106"/>
  <c r="V63" i="106"/>
  <c r="V55" i="106"/>
  <c r="V43" i="106"/>
  <c r="V31" i="106"/>
  <c r="V27" i="106"/>
  <c r="Z15" i="106"/>
  <c r="V61" i="106"/>
  <c r="J35" i="106"/>
  <c r="J39" i="106"/>
  <c r="J49" i="106"/>
  <c r="J71" i="106"/>
  <c r="J75" i="106"/>
  <c r="N23" i="108"/>
  <c r="H21" i="106"/>
  <c r="J34" i="106"/>
  <c r="J48" i="106"/>
  <c r="J60" i="106"/>
  <c r="J87" i="106"/>
  <c r="V20" i="107"/>
  <c r="V22" i="107"/>
  <c r="Z51" i="108"/>
  <c r="J70" i="106"/>
  <c r="J74" i="106"/>
  <c r="L45" i="110"/>
  <c r="N45" i="110" s="1"/>
  <c r="J19" i="106"/>
  <c r="J45" i="106"/>
  <c r="J57" i="106"/>
  <c r="J83" i="106"/>
  <c r="P16" i="107"/>
  <c r="R18" i="107"/>
  <c r="R19" i="107"/>
  <c r="V28" i="107"/>
  <c r="Z23" i="108"/>
  <c r="N63" i="108"/>
  <c r="Z33" i="109"/>
  <c r="X15" i="110"/>
  <c r="R15" i="110"/>
  <c r="J28" i="106"/>
  <c r="J32" i="106"/>
  <c r="J44" i="106"/>
  <c r="J56" i="106"/>
  <c r="J64" i="106"/>
  <c r="F26" i="107"/>
  <c r="D16" i="107"/>
  <c r="R16" i="107"/>
  <c r="Z19" i="107"/>
  <c r="F22" i="107"/>
  <c r="J24" i="107"/>
  <c r="R26" i="107"/>
  <c r="N13" i="108"/>
  <c r="Z14" i="108"/>
  <c r="N17" i="108"/>
  <c r="Z35" i="109"/>
  <c r="J43" i="110"/>
  <c r="J37" i="106"/>
  <c r="J43" i="106"/>
  <c r="J55" i="106"/>
  <c r="J63" i="106"/>
  <c r="J69" i="106"/>
  <c r="J73" i="106"/>
  <c r="J81" i="106"/>
  <c r="X14" i="107"/>
  <c r="T16" i="107"/>
  <c r="V18" i="107"/>
  <c r="V26" i="107"/>
  <c r="P12" i="108"/>
  <c r="L34" i="108"/>
  <c r="N34" i="108" s="1"/>
  <c r="J30" i="109"/>
  <c r="J34" i="109"/>
  <c r="H16" i="109"/>
  <c r="J37" i="109"/>
  <c r="J29" i="109"/>
  <c r="J25" i="109"/>
  <c r="J21" i="109"/>
  <c r="J39" i="109"/>
  <c r="J31" i="109"/>
  <c r="J26" i="109"/>
  <c r="J22" i="109"/>
  <c r="J27" i="109"/>
  <c r="N12" i="109"/>
  <c r="J41" i="109"/>
  <c r="J33" i="109"/>
  <c r="J28" i="109"/>
  <c r="J23" i="109"/>
  <c r="J35" i="109"/>
  <c r="J19" i="109"/>
  <c r="J44" i="109"/>
  <c r="J24" i="109"/>
  <c r="J20" i="109"/>
  <c r="J18" i="109"/>
  <c r="J16" i="109"/>
  <c r="J14" i="109"/>
  <c r="H17" i="110"/>
  <c r="J18" i="106"/>
  <c r="J42" i="106"/>
  <c r="J54" i="106"/>
  <c r="J62" i="106"/>
  <c r="J80" i="106"/>
  <c r="R14" i="107"/>
  <c r="V16" i="107"/>
  <c r="N77" i="108"/>
  <c r="D12" i="110"/>
  <c r="L13" i="110"/>
  <c r="N13" i="110" s="1"/>
  <c r="J17" i="106"/>
  <c r="J27" i="106"/>
  <c r="J31" i="106"/>
  <c r="J41" i="106"/>
  <c r="J53" i="106"/>
  <c r="J79" i="106"/>
  <c r="L43" i="108"/>
  <c r="N45" i="108"/>
  <c r="L49" i="108"/>
  <c r="N55" i="108"/>
  <c r="J72" i="110"/>
  <c r="J66" i="110"/>
  <c r="J58" i="110"/>
  <c r="J50" i="110"/>
  <c r="J40" i="110"/>
  <c r="J51" i="110"/>
  <c r="J41" i="110"/>
  <c r="J33" i="110"/>
  <c r="J52" i="110"/>
  <c r="J42" i="110"/>
  <c r="J28" i="110"/>
  <c r="J24" i="110"/>
  <c r="J54" i="110"/>
  <c r="J61" i="110"/>
  <c r="J55" i="110"/>
  <c r="J45" i="110"/>
  <c r="J35" i="110"/>
  <c r="J31" i="110"/>
  <c r="J62" i="110"/>
  <c r="J56" i="110"/>
  <c r="J63" i="110"/>
  <c r="J57" i="110"/>
  <c r="J47" i="110"/>
  <c r="J37" i="110"/>
  <c r="J68" i="110"/>
  <c r="J64" i="110"/>
  <c r="J67" i="110"/>
  <c r="J49" i="110"/>
  <c r="J39" i="110"/>
  <c r="J27" i="110"/>
  <c r="J23" i="110"/>
  <c r="J34" i="110"/>
  <c r="J15" i="110"/>
  <c r="J32" i="110"/>
  <c r="J30" i="110"/>
  <c r="J60" i="110"/>
  <c r="J17" i="110"/>
  <c r="J38" i="110"/>
  <c r="J26" i="110"/>
  <c r="J22" i="110"/>
  <c r="J19" i="110"/>
  <c r="J53" i="110"/>
  <c r="J48" i="110"/>
  <c r="J20" i="110"/>
  <c r="J59" i="110"/>
  <c r="J36" i="110"/>
  <c r="J29" i="110"/>
  <c r="J25" i="110"/>
  <c r="J44" i="110"/>
  <c r="J21" i="110"/>
  <c r="X47" i="105"/>
  <c r="Z47" i="105" s="1"/>
  <c r="X13" i="106"/>
  <c r="L17" i="106"/>
  <c r="N17" i="106" s="1"/>
  <c r="X23" i="106"/>
  <c r="Z23" i="106" s="1"/>
  <c r="J36" i="106"/>
  <c r="J40" i="106"/>
  <c r="J52" i="106"/>
  <c r="J68" i="106"/>
  <c r="J72" i="106"/>
  <c r="J78" i="106"/>
  <c r="R24" i="107"/>
  <c r="Z17" i="108"/>
  <c r="N43" i="108"/>
  <c r="X40" i="105"/>
  <c r="Z40" i="105" s="1"/>
  <c r="Z13" i="106"/>
  <c r="X24" i="106"/>
  <c r="Z24" i="106" s="1"/>
  <c r="J51" i="106"/>
  <c r="J61" i="106"/>
  <c r="J67" i="106"/>
  <c r="J77" i="106"/>
  <c r="N41" i="108"/>
  <c r="Z55" i="108"/>
  <c r="Z77" i="108"/>
  <c r="J26" i="106"/>
  <c r="J30" i="106"/>
  <c r="J50" i="106"/>
  <c r="J66" i="106"/>
  <c r="Z12" i="107"/>
  <c r="F16" i="107"/>
  <c r="R22" i="107"/>
  <c r="V24" i="107"/>
  <c r="Z43" i="108"/>
  <c r="X49" i="108"/>
  <c r="Z49" i="108" s="1"/>
  <c r="Z59" i="108"/>
  <c r="Z75" i="108"/>
  <c r="Z19" i="109"/>
  <c r="R21" i="109"/>
  <c r="R25" i="109"/>
  <c r="R30" i="109"/>
  <c r="L29" i="110"/>
  <c r="N29" i="110" s="1"/>
  <c r="V37" i="110"/>
  <c r="R47" i="110"/>
  <c r="X56" i="110"/>
  <c r="F29" i="109"/>
  <c r="F39" i="109"/>
  <c r="F34" i="109"/>
  <c r="R29" i="109"/>
  <c r="N34" i="109"/>
  <c r="H33" i="109"/>
  <c r="R37" i="109"/>
  <c r="F41" i="109"/>
  <c r="T17" i="110"/>
  <c r="V40" i="110"/>
  <c r="Z56" i="110"/>
  <c r="L12" i="109"/>
  <c r="P16" i="109"/>
  <c r="R20" i="109"/>
  <c r="R24" i="109"/>
  <c r="X30" i="109"/>
  <c r="Z30" i="109" s="1"/>
  <c r="V37" i="109"/>
  <c r="V44" i="109"/>
  <c r="N20" i="110"/>
  <c r="V21" i="110"/>
  <c r="R39" i="110"/>
  <c r="V42" i="110"/>
  <c r="R44" i="110"/>
  <c r="N51" i="110"/>
  <c r="V55" i="110"/>
  <c r="V66" i="110"/>
  <c r="R68" i="110"/>
  <c r="R34" i="109"/>
  <c r="R35" i="109"/>
  <c r="V49" i="110"/>
  <c r="Z68" i="110"/>
  <c r="T16" i="109"/>
  <c r="R19" i="109"/>
  <c r="F22" i="109"/>
  <c r="F26" i="109"/>
  <c r="F31" i="109"/>
  <c r="R41" i="109"/>
  <c r="R31" i="110"/>
  <c r="X36" i="110"/>
  <c r="Z36" i="110" s="1"/>
  <c r="Z51" i="110"/>
  <c r="V14" i="109"/>
  <c r="V16" i="109"/>
  <c r="V18" i="109"/>
  <c r="R23" i="109"/>
  <c r="R28" i="109"/>
  <c r="R33" i="109"/>
  <c r="V34" i="109"/>
  <c r="V35" i="109"/>
  <c r="V41" i="109"/>
  <c r="R59" i="110"/>
  <c r="R43" i="110"/>
  <c r="R20" i="110"/>
  <c r="R54" i="110"/>
  <c r="R34" i="110"/>
  <c r="R30" i="110"/>
  <c r="R25" i="110"/>
  <c r="R21" i="110"/>
  <c r="R56" i="110"/>
  <c r="R55" i="110"/>
  <c r="R63" i="110"/>
  <c r="R62" i="110"/>
  <c r="R67" i="110"/>
  <c r="R64" i="110"/>
  <c r="R49" i="110"/>
  <c r="R48" i="110"/>
  <c r="R32" i="110"/>
  <c r="X12" i="110"/>
  <c r="Z12" i="110" s="1"/>
  <c r="R72" i="110"/>
  <c r="R58" i="110"/>
  <c r="R51" i="110"/>
  <c r="R50" i="110"/>
  <c r="R53" i="110"/>
  <c r="R52" i="110"/>
  <c r="R29" i="110"/>
  <c r="R28" i="110"/>
  <c r="R24" i="110"/>
  <c r="X29" i="110"/>
  <c r="Z29" i="110" s="1"/>
  <c r="V31" i="110"/>
  <c r="R36" i="110"/>
  <c r="R41" i="110"/>
  <c r="Z53" i="110"/>
  <c r="X53" i="110"/>
  <c r="R57" i="110"/>
  <c r="Z63" i="110"/>
  <c r="X67" i="110"/>
  <c r="Z67" i="110" s="1"/>
  <c r="F21" i="109"/>
  <c r="F25" i="109"/>
  <c r="R26" i="109"/>
  <c r="R27" i="109"/>
  <c r="V33" i="109"/>
  <c r="V28" i="110"/>
  <c r="V35" i="110"/>
  <c r="D16" i="109"/>
  <c r="R22" i="109"/>
  <c r="V26" i="109"/>
  <c r="R31" i="109"/>
  <c r="F37" i="109"/>
  <c r="V39" i="109"/>
  <c r="R19" i="110"/>
  <c r="R22" i="110"/>
  <c r="R26" i="110"/>
  <c r="R38" i="110"/>
  <c r="L42" i="110"/>
  <c r="N42" i="110" s="1"/>
  <c r="V50" i="110"/>
  <c r="F14" i="109"/>
  <c r="F16" i="109"/>
  <c r="F18" i="109"/>
  <c r="V22" i="109"/>
  <c r="V27" i="109"/>
  <c r="V31" i="109"/>
  <c r="F44" i="109"/>
  <c r="Z19" i="110"/>
  <c r="V22" i="110"/>
  <c r="V26" i="110"/>
  <c r="Z38" i="110"/>
  <c r="L47" i="110"/>
  <c r="N47" i="110" s="1"/>
  <c r="F19" i="109"/>
  <c r="F20" i="109"/>
  <c r="F24" i="109"/>
  <c r="F35" i="109"/>
  <c r="V54" i="110"/>
  <c r="V34" i="110"/>
  <c r="V30" i="110"/>
  <c r="V61" i="110"/>
  <c r="V45" i="110"/>
  <c r="V25" i="110"/>
  <c r="V60" i="110"/>
  <c r="V56" i="110"/>
  <c r="V44" i="110"/>
  <c r="V36" i="110"/>
  <c r="V68" i="110"/>
  <c r="V62" i="110"/>
  <c r="V46" i="110"/>
  <c r="V67" i="110"/>
  <c r="V57" i="110"/>
  <c r="V51" i="110"/>
  <c r="V39" i="110"/>
  <c r="V27" i="110"/>
  <c r="V23" i="110"/>
  <c r="V72" i="110"/>
  <c r="V58" i="110"/>
  <c r="V53" i="110"/>
  <c r="V41" i="110"/>
  <c r="V33" i="110"/>
  <c r="V29" i="110"/>
  <c r="V59" i="110"/>
  <c r="V43" i="110"/>
  <c r="V19" i="110"/>
  <c r="V17" i="110"/>
  <c r="V15" i="110"/>
  <c r="P17" i="110"/>
  <c r="R37" i="110"/>
  <c r="V38" i="110"/>
  <c r="R40" i="110"/>
  <c r="R45" i="110"/>
  <c r="R60" i="110"/>
  <c r="V64" i="110"/>
  <c r="P66" i="110"/>
  <c r="X66" i="110" s="1"/>
  <c r="Z66" i="110" s="1"/>
  <c r="Z16" i="109" l="1"/>
  <c r="T37" i="109"/>
  <c r="J75" i="95"/>
  <c r="J67" i="95"/>
  <c r="J63" i="95"/>
  <c r="J53" i="95"/>
  <c r="J41" i="95"/>
  <c r="J54" i="95"/>
  <c r="J79" i="95"/>
  <c r="J55" i="95"/>
  <c r="J45" i="95"/>
  <c r="J31" i="95"/>
  <c r="J27" i="95"/>
  <c r="J56" i="95"/>
  <c r="J46" i="95"/>
  <c r="J69" i="95"/>
  <c r="J65" i="95"/>
  <c r="J57" i="95"/>
  <c r="J47" i="95"/>
  <c r="J70" i="95"/>
  <c r="J58" i="95"/>
  <c r="J73" i="95"/>
  <c r="J61" i="95"/>
  <c r="J62" i="95"/>
  <c r="J52" i="95"/>
  <c r="J42" i="95"/>
  <c r="J38" i="95"/>
  <c r="J35" i="95"/>
  <c r="J24" i="95"/>
  <c r="J22" i="95"/>
  <c r="J20" i="95"/>
  <c r="J49" i="95"/>
  <c r="H20" i="95"/>
  <c r="J71" i="95"/>
  <c r="J43" i="95"/>
  <c r="J39" i="95"/>
  <c r="J28" i="95"/>
  <c r="J32" i="95"/>
  <c r="J25" i="95"/>
  <c r="J36" i="95"/>
  <c r="J59" i="95"/>
  <c r="J40" i="95"/>
  <c r="J33" i="95"/>
  <c r="J50" i="95"/>
  <c r="J44" i="95"/>
  <c r="J29" i="95"/>
  <c r="J16" i="95"/>
  <c r="J37" i="95"/>
  <c r="J26" i="95"/>
  <c r="J17" i="95"/>
  <c r="J68" i="95"/>
  <c r="J66" i="95"/>
  <c r="J60" i="95"/>
  <c r="J51" i="95"/>
  <c r="J30" i="95"/>
  <c r="J18" i="95"/>
  <c r="J23" i="95"/>
  <c r="J34" i="95"/>
  <c r="J48" i="95"/>
  <c r="J72" i="95"/>
  <c r="J64" i="95"/>
  <c r="L12" i="95"/>
  <c r="N12" i="95" s="1"/>
  <c r="T77" i="93"/>
  <c r="X91" i="92"/>
  <c r="P95" i="92"/>
  <c r="D83" i="88"/>
  <c r="F20" i="88"/>
  <c r="T85" i="84"/>
  <c r="T29" i="83"/>
  <c r="H106" i="77"/>
  <c r="R58" i="79"/>
  <c r="P80" i="73"/>
  <c r="Z112" i="71"/>
  <c r="R103" i="69"/>
  <c r="R79" i="69"/>
  <c r="R75" i="69"/>
  <c r="R111" i="69"/>
  <c r="R110" i="69"/>
  <c r="R66" i="69"/>
  <c r="R62" i="69"/>
  <c r="R58" i="69"/>
  <c r="R54" i="69"/>
  <c r="R50" i="69"/>
  <c r="R94" i="69"/>
  <c r="R93" i="69"/>
  <c r="R85" i="69"/>
  <c r="R113" i="69"/>
  <c r="R112" i="69"/>
  <c r="R105" i="69"/>
  <c r="R104" i="69"/>
  <c r="R80" i="69"/>
  <c r="R76" i="69"/>
  <c r="R96" i="69"/>
  <c r="R95" i="69"/>
  <c r="R117" i="69"/>
  <c r="R114" i="69"/>
  <c r="R106" i="69"/>
  <c r="R87" i="69"/>
  <c r="R86" i="69"/>
  <c r="R116" i="69"/>
  <c r="R98" i="69"/>
  <c r="R97" i="69"/>
  <c r="R82" i="69"/>
  <c r="R81" i="69"/>
  <c r="R77" i="69"/>
  <c r="R89" i="69"/>
  <c r="R88" i="69"/>
  <c r="R73" i="69"/>
  <c r="R68" i="69"/>
  <c r="R64" i="69"/>
  <c r="R60" i="69"/>
  <c r="R56" i="69"/>
  <c r="R52" i="69"/>
  <c r="R121" i="69"/>
  <c r="R108" i="69"/>
  <c r="R107" i="69"/>
  <c r="R100" i="69"/>
  <c r="R99" i="69"/>
  <c r="R83" i="69"/>
  <c r="R72" i="69"/>
  <c r="R70" i="69"/>
  <c r="R48" i="69"/>
  <c r="R109" i="69"/>
  <c r="R102" i="69"/>
  <c r="R101" i="69"/>
  <c r="R65" i="69"/>
  <c r="R61" i="69"/>
  <c r="R57" i="69"/>
  <c r="R53" i="69"/>
  <c r="R49" i="69"/>
  <c r="R91" i="69"/>
  <c r="R63" i="69"/>
  <c r="R51" i="69"/>
  <c r="R74" i="69"/>
  <c r="R67" i="69"/>
  <c r="R55" i="69"/>
  <c r="R78" i="69"/>
  <c r="R92" i="69"/>
  <c r="P70" i="69"/>
  <c r="R90" i="69"/>
  <c r="R59" i="69"/>
  <c r="X12" i="69"/>
  <c r="R84" i="69"/>
  <c r="L16" i="59"/>
  <c r="D64" i="59"/>
  <c r="X16" i="64"/>
  <c r="P95" i="64"/>
  <c r="P37" i="55"/>
  <c r="J108" i="51"/>
  <c r="J102" i="51"/>
  <c r="J98" i="51"/>
  <c r="J88" i="51"/>
  <c r="J76" i="51"/>
  <c r="J50" i="51"/>
  <c r="J46" i="51"/>
  <c r="J42" i="51"/>
  <c r="J100" i="51"/>
  <c r="J90" i="51"/>
  <c r="J78" i="51"/>
  <c r="J64" i="51"/>
  <c r="J60" i="51"/>
  <c r="J38" i="51"/>
  <c r="J91" i="51"/>
  <c r="J79" i="51"/>
  <c r="J51" i="51"/>
  <c r="J47" i="51"/>
  <c r="J43" i="51"/>
  <c r="J39" i="51"/>
  <c r="J92" i="51"/>
  <c r="J82" i="51"/>
  <c r="J93" i="51"/>
  <c r="J83" i="51"/>
  <c r="J71" i="51"/>
  <c r="J57" i="51"/>
  <c r="J94" i="51"/>
  <c r="J84" i="51"/>
  <c r="J72" i="51"/>
  <c r="J66" i="51"/>
  <c r="J62" i="51"/>
  <c r="J58" i="51"/>
  <c r="J56" i="51"/>
  <c r="J104" i="51"/>
  <c r="J96" i="51"/>
  <c r="J86" i="51"/>
  <c r="J74" i="51"/>
  <c r="J68" i="51"/>
  <c r="J80" i="51"/>
  <c r="J75" i="51"/>
  <c r="J73" i="51"/>
  <c r="J45" i="51"/>
  <c r="J41" i="51"/>
  <c r="J95" i="51"/>
  <c r="J52" i="51"/>
  <c r="J69" i="51"/>
  <c r="J67" i="51"/>
  <c r="J101" i="51"/>
  <c r="J59" i="51"/>
  <c r="J48" i="51"/>
  <c r="J63" i="51"/>
  <c r="J89" i="51"/>
  <c r="J85" i="51"/>
  <c r="J61" i="51"/>
  <c r="J44" i="51"/>
  <c r="J40" i="51"/>
  <c r="J87" i="51"/>
  <c r="J81" i="51"/>
  <c r="J65" i="51"/>
  <c r="J103" i="51"/>
  <c r="J97" i="51"/>
  <c r="J77" i="51"/>
  <c r="J49" i="51"/>
  <c r="J70" i="51"/>
  <c r="H54" i="51"/>
  <c r="J54" i="51" s="1"/>
  <c r="N16" i="54"/>
  <c r="H22" i="54"/>
  <c r="L16" i="54"/>
  <c r="F115" i="42"/>
  <c r="R86" i="45"/>
  <c r="R85" i="45"/>
  <c r="R41" i="45"/>
  <c r="R26" i="45"/>
  <c r="R69" i="45"/>
  <c r="R68" i="45"/>
  <c r="R61" i="45"/>
  <c r="R60" i="45"/>
  <c r="R49" i="45"/>
  <c r="R48" i="45"/>
  <c r="R37" i="45"/>
  <c r="R36" i="45"/>
  <c r="R32" i="45"/>
  <c r="R28" i="45"/>
  <c r="P24" i="45"/>
  <c r="R24" i="45" s="1"/>
  <c r="R87" i="45"/>
  <c r="R79" i="45"/>
  <c r="R75" i="45"/>
  <c r="R70" i="45"/>
  <c r="R63" i="45"/>
  <c r="R62" i="45"/>
  <c r="R51" i="45"/>
  <c r="R50" i="45"/>
  <c r="R42" i="45"/>
  <c r="R38" i="45"/>
  <c r="R88" i="45"/>
  <c r="R80" i="45"/>
  <c r="R76" i="45"/>
  <c r="R65" i="45"/>
  <c r="R64" i="45"/>
  <c r="R53" i="45"/>
  <c r="R52" i="45"/>
  <c r="R90" i="45"/>
  <c r="R71" i="45"/>
  <c r="R66" i="45"/>
  <c r="R55" i="45"/>
  <c r="R54" i="45"/>
  <c r="R34" i="45"/>
  <c r="R30" i="45"/>
  <c r="R84" i="45"/>
  <c r="R83" i="45"/>
  <c r="R67" i="45"/>
  <c r="R35" i="45"/>
  <c r="R31" i="45"/>
  <c r="R78" i="45"/>
  <c r="R74" i="45"/>
  <c r="R59" i="45"/>
  <c r="R58" i="45"/>
  <c r="R47" i="45"/>
  <c r="R46" i="45"/>
  <c r="R27" i="45"/>
  <c r="R22" i="45"/>
  <c r="R81" i="45"/>
  <c r="R72" i="45"/>
  <c r="R45" i="45"/>
  <c r="R29" i="45"/>
  <c r="R94" i="45"/>
  <c r="R57" i="45"/>
  <c r="R43" i="45"/>
  <c r="R39" i="45"/>
  <c r="R33" i="45"/>
  <c r="R21" i="45"/>
  <c r="R73" i="45"/>
  <c r="R82" i="45"/>
  <c r="R77" i="45"/>
  <c r="R44" i="45"/>
  <c r="X12" i="45"/>
  <c r="R56" i="45"/>
  <c r="R40" i="45"/>
  <c r="R20" i="45"/>
  <c r="R123" i="30"/>
  <c r="R87" i="30"/>
  <c r="R83" i="30"/>
  <c r="R72" i="30"/>
  <c r="R143" i="30"/>
  <c r="R142" i="30"/>
  <c r="R134" i="30"/>
  <c r="R130" i="30"/>
  <c r="R107" i="30"/>
  <c r="R106" i="30"/>
  <c r="R78" i="30"/>
  <c r="R74" i="30"/>
  <c r="R117" i="30"/>
  <c r="R147" i="30"/>
  <c r="R144" i="30"/>
  <c r="R124" i="30"/>
  <c r="R109" i="30"/>
  <c r="R108" i="30"/>
  <c r="R89" i="30"/>
  <c r="R88" i="30"/>
  <c r="R84" i="30"/>
  <c r="R45" i="30"/>
  <c r="R146" i="30"/>
  <c r="R136" i="30"/>
  <c r="R135" i="30"/>
  <c r="R131" i="30"/>
  <c r="R100" i="30"/>
  <c r="R99" i="30"/>
  <c r="R79" i="30"/>
  <c r="R75" i="30"/>
  <c r="R119" i="30"/>
  <c r="R118" i="30"/>
  <c r="R111" i="30"/>
  <c r="R110" i="30"/>
  <c r="R91" i="30"/>
  <c r="R90" i="30"/>
  <c r="R151" i="30"/>
  <c r="R138" i="30"/>
  <c r="R137" i="30"/>
  <c r="R126" i="30"/>
  <c r="R125" i="30"/>
  <c r="R102" i="30"/>
  <c r="R101" i="30"/>
  <c r="R85" i="30"/>
  <c r="R115" i="30"/>
  <c r="R114" i="30"/>
  <c r="R95" i="30"/>
  <c r="R94" i="30"/>
  <c r="R86" i="30"/>
  <c r="R133" i="30"/>
  <c r="R92" i="30"/>
  <c r="R65" i="30"/>
  <c r="R52" i="30"/>
  <c r="R140" i="30"/>
  <c r="R129" i="30"/>
  <c r="R104" i="30"/>
  <c r="R73" i="30"/>
  <c r="R60" i="30"/>
  <c r="R82" i="30"/>
  <c r="R68" i="30"/>
  <c r="R58" i="30"/>
  <c r="R55" i="30"/>
  <c r="R116" i="30"/>
  <c r="R97" i="30"/>
  <c r="R93" i="30"/>
  <c r="R63" i="30"/>
  <c r="R50" i="30"/>
  <c r="R47" i="30"/>
  <c r="R127" i="30"/>
  <c r="R112" i="30"/>
  <c r="R105" i="30"/>
  <c r="R66" i="30"/>
  <c r="R53" i="30"/>
  <c r="R132" i="30"/>
  <c r="R121" i="30"/>
  <c r="R80" i="30"/>
  <c r="R61" i="30"/>
  <c r="R76" i="30"/>
  <c r="P70" i="30"/>
  <c r="R70" i="30" s="1"/>
  <c r="R98" i="30"/>
  <c r="R56" i="30"/>
  <c r="R51" i="30"/>
  <c r="R48" i="30"/>
  <c r="R141" i="30"/>
  <c r="R113" i="30"/>
  <c r="R103" i="30"/>
  <c r="R64" i="30"/>
  <c r="R59" i="30"/>
  <c r="R54" i="30"/>
  <c r="R96" i="30"/>
  <c r="R67" i="30"/>
  <c r="R62" i="30"/>
  <c r="X12" i="30"/>
  <c r="R139" i="30"/>
  <c r="R128" i="30"/>
  <c r="R122" i="30"/>
  <c r="R120" i="30"/>
  <c r="R81" i="30"/>
  <c r="R57" i="30"/>
  <c r="R77" i="30"/>
  <c r="R46" i="30"/>
  <c r="R49" i="30"/>
  <c r="R278" i="18"/>
  <c r="R251" i="18"/>
  <c r="R239" i="18"/>
  <c r="R220" i="18"/>
  <c r="R219" i="18"/>
  <c r="R212" i="18"/>
  <c r="R211" i="18"/>
  <c r="R203" i="18"/>
  <c r="R199" i="18"/>
  <c r="R277" i="18"/>
  <c r="R262" i="18"/>
  <c r="R246" i="18"/>
  <c r="R231" i="18"/>
  <c r="R230" i="18"/>
  <c r="R194" i="18"/>
  <c r="R190" i="18"/>
  <c r="R276" i="18"/>
  <c r="R270" i="18"/>
  <c r="R269" i="18"/>
  <c r="R257" i="18"/>
  <c r="R222" i="18"/>
  <c r="R221" i="18"/>
  <c r="R213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275" i="18"/>
  <c r="R253" i="18"/>
  <c r="R252" i="18"/>
  <c r="R241" i="18"/>
  <c r="R240" i="18"/>
  <c r="R233" i="18"/>
  <c r="R232" i="18"/>
  <c r="R205" i="18"/>
  <c r="R204" i="18"/>
  <c r="R200" i="18"/>
  <c r="R125" i="18"/>
  <c r="X12" i="18"/>
  <c r="R274" i="18"/>
  <c r="R271" i="18"/>
  <c r="R264" i="18"/>
  <c r="R263" i="18"/>
  <c r="R247" i="18"/>
  <c r="R224" i="18"/>
  <c r="R223" i="18"/>
  <c r="R285" i="18"/>
  <c r="R273" i="18"/>
  <c r="R258" i="18"/>
  <c r="R254" i="18"/>
  <c r="R242" i="18"/>
  <c r="R235" i="18"/>
  <c r="R234" i="18"/>
  <c r="R215" i="18"/>
  <c r="R214" i="18"/>
  <c r="R207" i="18"/>
  <c r="R206" i="18"/>
  <c r="R187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126" i="18"/>
  <c r="R284" i="18"/>
  <c r="R266" i="18"/>
  <c r="R265" i="18"/>
  <c r="R225" i="18"/>
  <c r="R201" i="18"/>
  <c r="R186" i="18"/>
  <c r="R283" i="18"/>
  <c r="R248" i="18"/>
  <c r="R237" i="18"/>
  <c r="R236" i="18"/>
  <c r="R216" i="18"/>
  <c r="R208" i="18"/>
  <c r="R197" i="18"/>
  <c r="R196" i="18"/>
  <c r="R192" i="18"/>
  <c r="R188" i="18"/>
  <c r="P184" i="18"/>
  <c r="R184" i="18" s="1"/>
  <c r="R280" i="18"/>
  <c r="R250" i="18"/>
  <c r="R249" i="18"/>
  <c r="R218" i="18"/>
  <c r="R217" i="18"/>
  <c r="R210" i="18"/>
  <c r="R209" i="18"/>
  <c r="R193" i="18"/>
  <c r="R189" i="18"/>
  <c r="R279" i="18"/>
  <c r="R268" i="18"/>
  <c r="R261" i="18"/>
  <c r="R260" i="18"/>
  <c r="R256" i="18"/>
  <c r="R245" i="18"/>
  <c r="R244" i="18"/>
  <c r="R229" i="18"/>
  <c r="R228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289" i="18"/>
  <c r="R259" i="18"/>
  <c r="R167" i="18"/>
  <c r="R227" i="18"/>
  <c r="R202" i="18"/>
  <c r="R191" i="18"/>
  <c r="R139" i="18"/>
  <c r="R267" i="18"/>
  <c r="R171" i="18"/>
  <c r="R155" i="18"/>
  <c r="R282" i="18"/>
  <c r="R195" i="18"/>
  <c r="R143" i="18"/>
  <c r="R255" i="18"/>
  <c r="R159" i="18"/>
  <c r="R127" i="18"/>
  <c r="R175" i="18"/>
  <c r="R226" i="18"/>
  <c r="R179" i="18"/>
  <c r="R147" i="18"/>
  <c r="R198" i="18"/>
  <c r="R135" i="18"/>
  <c r="R163" i="18"/>
  <c r="R243" i="18"/>
  <c r="R238" i="18"/>
  <c r="R281" i="18"/>
  <c r="R151" i="18"/>
  <c r="R131" i="18"/>
  <c r="N248" i="15"/>
  <c r="H27" i="113"/>
  <c r="N18" i="113"/>
  <c r="N18" i="44"/>
  <c r="H27" i="44"/>
  <c r="D27" i="47"/>
  <c r="L18" i="47"/>
  <c r="H27" i="43"/>
  <c r="N18" i="43"/>
  <c r="T27" i="38"/>
  <c r="Z18" i="38"/>
  <c r="H27" i="38"/>
  <c r="N18" i="38"/>
  <c r="X18" i="32"/>
  <c r="P27" i="32"/>
  <c r="H27" i="29"/>
  <c r="N18" i="29"/>
  <c r="T27" i="19"/>
  <c r="Z18" i="19"/>
  <c r="T27" i="11"/>
  <c r="Z18" i="11"/>
  <c r="X18" i="11"/>
  <c r="P27" i="11"/>
  <c r="D24" i="107"/>
  <c r="L16" i="107"/>
  <c r="H24" i="107"/>
  <c r="N16" i="107"/>
  <c r="V84" i="102"/>
  <c r="V73" i="102"/>
  <c r="V45" i="102"/>
  <c r="V37" i="102"/>
  <c r="V76" i="102"/>
  <c r="V68" i="102"/>
  <c r="V64" i="102"/>
  <c r="V56" i="102"/>
  <c r="V44" i="102"/>
  <c r="V32" i="102"/>
  <c r="V28" i="102"/>
  <c r="V75" i="102"/>
  <c r="V63" i="102"/>
  <c r="V47" i="102"/>
  <c r="V19" i="102"/>
  <c r="V80" i="102"/>
  <c r="V46" i="102"/>
  <c r="V38" i="102"/>
  <c r="V79" i="102"/>
  <c r="V77" i="102"/>
  <c r="V69" i="102"/>
  <c r="V65" i="102"/>
  <c r="V57" i="102"/>
  <c r="V49" i="102"/>
  <c r="V33" i="102"/>
  <c r="V29" i="102"/>
  <c r="V48" i="102"/>
  <c r="V20" i="102"/>
  <c r="V59" i="102"/>
  <c r="V51" i="102"/>
  <c r="V39" i="102"/>
  <c r="V35" i="102"/>
  <c r="V70" i="102"/>
  <c r="V66" i="102"/>
  <c r="V58" i="102"/>
  <c r="V50" i="102"/>
  <c r="V34" i="102"/>
  <c r="V30" i="102"/>
  <c r="V26" i="102"/>
  <c r="V71" i="102"/>
  <c r="V67" i="102"/>
  <c r="V55" i="102"/>
  <c r="V43" i="102"/>
  <c r="V31" i="102"/>
  <c r="V27" i="102"/>
  <c r="V74" i="102"/>
  <c r="V62" i="102"/>
  <c r="V54" i="102"/>
  <c r="V42" i="102"/>
  <c r="V72" i="102"/>
  <c r="V23" i="102"/>
  <c r="V60" i="102"/>
  <c r="V52" i="102"/>
  <c r="T23" i="102"/>
  <c r="V40" i="102"/>
  <c r="V41" i="102"/>
  <c r="V25" i="102"/>
  <c r="V36" i="102"/>
  <c r="V21" i="102"/>
  <c r="V53" i="102"/>
  <c r="V61" i="102"/>
  <c r="D62" i="101"/>
  <c r="L20" i="101"/>
  <c r="L50" i="103"/>
  <c r="D54" i="103"/>
  <c r="T66" i="101"/>
  <c r="T91" i="92"/>
  <c r="Z16" i="92"/>
  <c r="V67" i="89"/>
  <c r="V71" i="89"/>
  <c r="V69" i="89"/>
  <c r="V75" i="89"/>
  <c r="V63" i="89"/>
  <c r="V44" i="89"/>
  <c r="V68" i="89"/>
  <c r="V60" i="89"/>
  <c r="V43" i="89"/>
  <c r="V35" i="89"/>
  <c r="V54" i="89"/>
  <c r="V46" i="89"/>
  <c r="V30" i="89"/>
  <c r="V26" i="89"/>
  <c r="V45" i="89"/>
  <c r="V17" i="89"/>
  <c r="V56" i="89"/>
  <c r="V48" i="89"/>
  <c r="V36" i="89"/>
  <c r="V50" i="89"/>
  <c r="V38" i="89"/>
  <c r="V22" i="89"/>
  <c r="V18" i="89"/>
  <c r="V57" i="89"/>
  <c r="V49" i="89"/>
  <c r="V37" i="89"/>
  <c r="V33" i="89"/>
  <c r="T20" i="89"/>
  <c r="V66" i="89"/>
  <c r="V65" i="89"/>
  <c r="V62" i="89"/>
  <c r="V59" i="89"/>
  <c r="V51" i="89"/>
  <c r="V39" i="89"/>
  <c r="V58" i="89"/>
  <c r="V42" i="89"/>
  <c r="V34" i="89"/>
  <c r="V52" i="89"/>
  <c r="V40" i="89"/>
  <c r="V24" i="89"/>
  <c r="V32" i="89"/>
  <c r="V28" i="89"/>
  <c r="V25" i="89"/>
  <c r="V47" i="89"/>
  <c r="V41" i="89"/>
  <c r="V55" i="89"/>
  <c r="V31" i="89"/>
  <c r="V16" i="89"/>
  <c r="V64" i="89"/>
  <c r="V61" i="89"/>
  <c r="V23" i="89"/>
  <c r="X12" i="89"/>
  <c r="Z12" i="89" s="1"/>
  <c r="V53" i="89"/>
  <c r="V27" i="89"/>
  <c r="V29" i="89"/>
  <c r="H30" i="86"/>
  <c r="J18" i="86"/>
  <c r="X20" i="84"/>
  <c r="Z20" i="84" s="1"/>
  <c r="P85" i="84"/>
  <c r="J73" i="76"/>
  <c r="J65" i="76"/>
  <c r="J47" i="76"/>
  <c r="J41" i="76"/>
  <c r="J31" i="76"/>
  <c r="J78" i="76"/>
  <c r="J48" i="76"/>
  <c r="J36" i="76"/>
  <c r="J32" i="76"/>
  <c r="J30" i="76"/>
  <c r="J28" i="76"/>
  <c r="J26" i="76"/>
  <c r="J59" i="76"/>
  <c r="J49" i="76"/>
  <c r="H28" i="76"/>
  <c r="J66" i="76"/>
  <c r="J60" i="76"/>
  <c r="J50" i="76"/>
  <c r="J42" i="76"/>
  <c r="J61" i="76"/>
  <c r="J51" i="76"/>
  <c r="J37" i="76"/>
  <c r="J33" i="76"/>
  <c r="J62" i="76"/>
  <c r="J52" i="76"/>
  <c r="J67" i="76"/>
  <c r="J63" i="76"/>
  <c r="J53" i="76"/>
  <c r="J43" i="76"/>
  <c r="J68" i="76"/>
  <c r="J54" i="76"/>
  <c r="J38" i="76"/>
  <c r="J34" i="76"/>
  <c r="J69" i="76"/>
  <c r="J55" i="76"/>
  <c r="J70" i="76"/>
  <c r="J64" i="76"/>
  <c r="J56" i="76"/>
  <c r="J44" i="76"/>
  <c r="J71" i="76"/>
  <c r="J57" i="76"/>
  <c r="J45" i="76"/>
  <c r="J39" i="76"/>
  <c r="J35" i="76"/>
  <c r="J40" i="76"/>
  <c r="J58" i="76"/>
  <c r="J74" i="76"/>
  <c r="J46" i="76"/>
  <c r="V91" i="74"/>
  <c r="V81" i="74"/>
  <c r="V73" i="74"/>
  <c r="V83" i="74"/>
  <c r="V75" i="74"/>
  <c r="V74" i="74"/>
  <c r="V54" i="74"/>
  <c r="V50" i="74"/>
  <c r="V46" i="74"/>
  <c r="V42" i="74"/>
  <c r="V38" i="74"/>
  <c r="V85" i="74"/>
  <c r="V71" i="74"/>
  <c r="V60" i="74"/>
  <c r="V56" i="74"/>
  <c r="V82" i="74"/>
  <c r="V47" i="74"/>
  <c r="V43" i="74"/>
  <c r="V39" i="74"/>
  <c r="V35" i="74"/>
  <c r="V87" i="74"/>
  <c r="V66" i="74"/>
  <c r="V78" i="74"/>
  <c r="V61" i="74"/>
  <c r="V57" i="74"/>
  <c r="V68" i="74"/>
  <c r="V48" i="74"/>
  <c r="V44" i="74"/>
  <c r="V40" i="74"/>
  <c r="V36" i="74"/>
  <c r="V79" i="74"/>
  <c r="V67" i="74"/>
  <c r="V63" i="74"/>
  <c r="V76" i="74"/>
  <c r="V72" i="74"/>
  <c r="V70" i="74"/>
  <c r="V62" i="74"/>
  <c r="V58" i="74"/>
  <c r="V77" i="74"/>
  <c r="V64" i="74"/>
  <c r="V55" i="74"/>
  <c r="T52" i="74"/>
  <c r="V59" i="74"/>
  <c r="V37" i="74"/>
  <c r="V84" i="74"/>
  <c r="V69" i="74"/>
  <c r="V65" i="74"/>
  <c r="V41" i="74"/>
  <c r="V45" i="74"/>
  <c r="V80" i="74"/>
  <c r="V49" i="74"/>
  <c r="T65" i="68"/>
  <c r="L16" i="57"/>
  <c r="D68" i="57"/>
  <c r="L30" i="36"/>
  <c r="D123" i="36"/>
  <c r="V134" i="24"/>
  <c r="V104" i="24"/>
  <c r="V88" i="24"/>
  <c r="V84" i="24"/>
  <c r="V80" i="24"/>
  <c r="V106" i="24"/>
  <c r="V94" i="24"/>
  <c r="V90" i="24"/>
  <c r="T77" i="24"/>
  <c r="V117" i="24"/>
  <c r="V105" i="24"/>
  <c r="V97" i="24"/>
  <c r="V85" i="24"/>
  <c r="V81" i="24"/>
  <c r="V138" i="24"/>
  <c r="V124" i="24"/>
  <c r="V116" i="24"/>
  <c r="V108" i="24"/>
  <c r="V96" i="24"/>
  <c r="V72" i="24"/>
  <c r="V68" i="24"/>
  <c r="V64" i="24"/>
  <c r="V60" i="24"/>
  <c r="V56" i="24"/>
  <c r="V52" i="24"/>
  <c r="V107" i="24"/>
  <c r="V99" i="24"/>
  <c r="V91" i="24"/>
  <c r="V126" i="24"/>
  <c r="V118" i="24"/>
  <c r="V110" i="24"/>
  <c r="V98" i="24"/>
  <c r="V86" i="24"/>
  <c r="V82" i="24"/>
  <c r="V125" i="24"/>
  <c r="V109" i="24"/>
  <c r="V73" i="24"/>
  <c r="V69" i="24"/>
  <c r="V65" i="24"/>
  <c r="V61" i="24"/>
  <c r="V57" i="24"/>
  <c r="V128" i="24"/>
  <c r="V120" i="24"/>
  <c r="V112" i="24"/>
  <c r="V100" i="24"/>
  <c r="V92" i="24"/>
  <c r="Z12" i="24"/>
  <c r="V127" i="24"/>
  <c r="V119" i="24"/>
  <c r="V111" i="24"/>
  <c r="V87" i="24"/>
  <c r="V83" i="24"/>
  <c r="V130" i="24"/>
  <c r="V122" i="24"/>
  <c r="V114" i="24"/>
  <c r="V102" i="24"/>
  <c r="V74" i="24"/>
  <c r="V70" i="24"/>
  <c r="V66" i="24"/>
  <c r="V62" i="24"/>
  <c r="V58" i="24"/>
  <c r="V54" i="24"/>
  <c r="V63" i="24"/>
  <c r="V55" i="24"/>
  <c r="V95" i="24"/>
  <c r="V93" i="24"/>
  <c r="V77" i="24"/>
  <c r="V103" i="24"/>
  <c r="V101" i="24"/>
  <c r="V75" i="24"/>
  <c r="V67" i="24"/>
  <c r="V59" i="24"/>
  <c r="V133" i="24"/>
  <c r="V113" i="24"/>
  <c r="V79" i="24"/>
  <c r="V131" i="24"/>
  <c r="V129" i="24"/>
  <c r="V123" i="24"/>
  <c r="V71" i="24"/>
  <c r="V53" i="24"/>
  <c r="V115" i="24"/>
  <c r="V89" i="24"/>
  <c r="V121" i="24"/>
  <c r="F252" i="15"/>
  <c r="F227" i="15"/>
  <c r="F215" i="15"/>
  <c r="F207" i="15"/>
  <c r="F206" i="15"/>
  <c r="F179" i="15"/>
  <c r="F175" i="15"/>
  <c r="F250" i="15"/>
  <c r="F233" i="15"/>
  <c r="F229" i="15"/>
  <c r="F228" i="15"/>
  <c r="F217" i="15"/>
  <c r="F216" i="15"/>
  <c r="F209" i="15"/>
  <c r="F208" i="15"/>
  <c r="F189" i="15"/>
  <c r="F181" i="15"/>
  <c r="F180" i="15"/>
  <c r="F157" i="15"/>
  <c r="F153" i="15"/>
  <c r="F149" i="15"/>
  <c r="F145" i="15"/>
  <c r="F141" i="15"/>
  <c r="F137" i="15"/>
  <c r="F133" i="15"/>
  <c r="F129" i="15"/>
  <c r="F125" i="15"/>
  <c r="F121" i="15"/>
  <c r="F117" i="15"/>
  <c r="F113" i="15"/>
  <c r="F109" i="15"/>
  <c r="F249" i="15"/>
  <c r="F240" i="15"/>
  <c r="F239" i="15"/>
  <c r="F200" i="15"/>
  <c r="F199" i="15"/>
  <c r="F176" i="15"/>
  <c r="F242" i="15"/>
  <c r="F241" i="15"/>
  <c r="F213" i="15"/>
  <c r="F212" i="15"/>
  <c r="F201" i="15"/>
  <c r="F177" i="15"/>
  <c r="F173" i="15"/>
  <c r="F172" i="15"/>
  <c r="D159" i="15"/>
  <c r="F253" i="15"/>
  <c r="F244" i="15"/>
  <c r="F232" i="15"/>
  <c r="F196" i="15"/>
  <c r="F195" i="15"/>
  <c r="F188" i="15"/>
  <c r="F187" i="15"/>
  <c r="F156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107" i="15"/>
  <c r="F256" i="15"/>
  <c r="F237" i="15"/>
  <c r="F226" i="15"/>
  <c r="F204" i="15"/>
  <c r="F190" i="15"/>
  <c r="F170" i="15"/>
  <c r="F168" i="15"/>
  <c r="F122" i="15"/>
  <c r="F119" i="15"/>
  <c r="F234" i="15"/>
  <c r="F211" i="15"/>
  <c r="F166" i="15"/>
  <c r="F164" i="15"/>
  <c r="F131" i="15"/>
  <c r="F110" i="15"/>
  <c r="F261" i="15"/>
  <c r="F245" i="15"/>
  <c r="F224" i="15"/>
  <c r="F182" i="15"/>
  <c r="F161" i="15"/>
  <c r="F151" i="15"/>
  <c r="F134" i="15"/>
  <c r="F222" i="15"/>
  <c r="F205" i="15"/>
  <c r="F193" i="15"/>
  <c r="F191" i="15"/>
  <c r="F146" i="15"/>
  <c r="F143" i="15"/>
  <c r="F257" i="15"/>
  <c r="F219" i="15"/>
  <c r="F185" i="15"/>
  <c r="F162" i="15"/>
  <c r="F154" i="15"/>
  <c r="F126" i="15"/>
  <c r="F123" i="15"/>
  <c r="F114" i="15"/>
  <c r="F246" i="15"/>
  <c r="F238" i="15"/>
  <c r="F214" i="15"/>
  <c r="F202" i="15"/>
  <c r="F183" i="15"/>
  <c r="F171" i="15"/>
  <c r="F111" i="15"/>
  <c r="F243" i="15"/>
  <c r="F235" i="15"/>
  <c r="F254" i="15"/>
  <c r="F225" i="15"/>
  <c r="F223" i="15"/>
  <c r="F231" i="15"/>
  <c r="F192" i="15"/>
  <c r="F186" i="15"/>
  <c r="F184" i="15"/>
  <c r="F142" i="15"/>
  <c r="F194" i="15"/>
  <c r="F255" i="15"/>
  <c r="F163" i="15"/>
  <c r="F138" i="15"/>
  <c r="F130" i="15"/>
  <c r="F203" i="15"/>
  <c r="F197" i="15"/>
  <c r="F155" i="15"/>
  <c r="F147" i="15"/>
  <c r="F115" i="15"/>
  <c r="L12" i="15"/>
  <c r="F251" i="15"/>
  <c r="F230" i="15"/>
  <c r="F221" i="15"/>
  <c r="F210" i="15"/>
  <c r="F165" i="15"/>
  <c r="F174" i="15"/>
  <c r="F167" i="15"/>
  <c r="F139" i="15"/>
  <c r="F127" i="15"/>
  <c r="F198" i="15"/>
  <c r="F169" i="15"/>
  <c r="F135" i="15"/>
  <c r="F220" i="15"/>
  <c r="F218" i="15"/>
  <c r="F150" i="15"/>
  <c r="F118" i="15"/>
  <c r="F178" i="15"/>
  <c r="F248" i="15"/>
  <c r="F236" i="15"/>
  <c r="F260" i="12"/>
  <c r="F235" i="12"/>
  <c r="F166" i="12"/>
  <c r="F159" i="12"/>
  <c r="F155" i="12"/>
  <c r="F151" i="12"/>
  <c r="F147" i="12"/>
  <c r="F143" i="12"/>
  <c r="F139" i="12"/>
  <c r="F135" i="12"/>
  <c r="F131" i="12"/>
  <c r="F127" i="12"/>
  <c r="F123" i="12"/>
  <c r="F119" i="12"/>
  <c r="F115" i="12"/>
  <c r="F111" i="12"/>
  <c r="F110" i="12"/>
  <c r="F259" i="12"/>
  <c r="F254" i="12"/>
  <c r="F253" i="12"/>
  <c r="F246" i="12"/>
  <c r="F230" i="12"/>
  <c r="F218" i="12"/>
  <c r="F217" i="12"/>
  <c r="F206" i="12"/>
  <c r="F182" i="12"/>
  <c r="F178" i="12"/>
  <c r="F177" i="12"/>
  <c r="D164" i="12"/>
  <c r="F164" i="12" s="1"/>
  <c r="F258" i="12"/>
  <c r="F241" i="12"/>
  <c r="F237" i="12"/>
  <c r="F236" i="12"/>
  <c r="F225" i="12"/>
  <c r="F197" i="12"/>
  <c r="F189" i="12"/>
  <c r="F173" i="12"/>
  <c r="F169" i="12"/>
  <c r="F257" i="12"/>
  <c r="F248" i="12"/>
  <c r="F247" i="12"/>
  <c r="F220" i="12"/>
  <c r="F219" i="12"/>
  <c r="F208" i="12"/>
  <c r="F207" i="12"/>
  <c r="F160" i="12"/>
  <c r="F156" i="12"/>
  <c r="F152" i="12"/>
  <c r="F148" i="12"/>
  <c r="F144" i="12"/>
  <c r="F140" i="12"/>
  <c r="F136" i="12"/>
  <c r="F132" i="12"/>
  <c r="F128" i="12"/>
  <c r="F124" i="12"/>
  <c r="F120" i="12"/>
  <c r="F116" i="12"/>
  <c r="F112" i="12"/>
  <c r="F256" i="12"/>
  <c r="F231" i="12"/>
  <c r="F199" i="12"/>
  <c r="F198" i="12"/>
  <c r="F191" i="12"/>
  <c r="F190" i="12"/>
  <c r="F183" i="12"/>
  <c r="F179" i="12"/>
  <c r="F250" i="12"/>
  <c r="F249" i="12"/>
  <c r="F242" i="12"/>
  <c r="F238" i="12"/>
  <c r="F226" i="12"/>
  <c r="F210" i="12"/>
  <c r="F209" i="12"/>
  <c r="F174" i="12"/>
  <c r="F170" i="12"/>
  <c r="F221" i="12"/>
  <c r="F201" i="12"/>
  <c r="F200" i="12"/>
  <c r="F193" i="12"/>
  <c r="F192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113" i="12"/>
  <c r="F265" i="12"/>
  <c r="F232" i="12"/>
  <c r="F228" i="12"/>
  <c r="F227" i="12"/>
  <c r="F212" i="12"/>
  <c r="F211" i="12"/>
  <c r="F184" i="12"/>
  <c r="F180" i="12"/>
  <c r="F269" i="12"/>
  <c r="F264" i="12"/>
  <c r="F251" i="12"/>
  <c r="F243" i="12"/>
  <c r="F239" i="12"/>
  <c r="F203" i="12"/>
  <c r="F202" i="12"/>
  <c r="F175" i="12"/>
  <c r="F171" i="12"/>
  <c r="F262" i="12"/>
  <c r="F245" i="12"/>
  <c r="F244" i="12"/>
  <c r="F229" i="12"/>
  <c r="F205" i="12"/>
  <c r="F204" i="12"/>
  <c r="F181" i="12"/>
  <c r="F234" i="12"/>
  <c r="F216" i="12"/>
  <c r="F195" i="12"/>
  <c r="F122" i="12"/>
  <c r="F114" i="12"/>
  <c r="F214" i="12"/>
  <c r="F172" i="12"/>
  <c r="L12" i="12"/>
  <c r="F188" i="12"/>
  <c r="F130" i="12"/>
  <c r="F224" i="12"/>
  <c r="F186" i="12"/>
  <c r="F167" i="12"/>
  <c r="F154" i="12"/>
  <c r="F222" i="12"/>
  <c r="F196" i="12"/>
  <c r="F162" i="12"/>
  <c r="F138" i="12"/>
  <c r="F194" i="12"/>
  <c r="F146" i="12"/>
  <c r="F233" i="12"/>
  <c r="F118" i="12"/>
  <c r="F263" i="12"/>
  <c r="F252" i="12"/>
  <c r="F213" i="12"/>
  <c r="F176" i="12"/>
  <c r="F168" i="12"/>
  <c r="F126" i="12"/>
  <c r="F240" i="12"/>
  <c r="F215" i="12"/>
  <c r="F185" i="12"/>
  <c r="F134" i="12"/>
  <c r="F261" i="12"/>
  <c r="F187" i="12"/>
  <c r="F158" i="12"/>
  <c r="F223" i="12"/>
  <c r="F150" i="12"/>
  <c r="F142" i="12"/>
  <c r="T91" i="9"/>
  <c r="Z16" i="9"/>
  <c r="T27" i="113"/>
  <c r="Z18" i="113"/>
  <c r="H27" i="112"/>
  <c r="N18" i="112"/>
  <c r="T27" i="52"/>
  <c r="Z18" i="52"/>
  <c r="T27" i="49"/>
  <c r="Z18" i="49"/>
  <c r="P27" i="52"/>
  <c r="X18" i="52"/>
  <c r="L18" i="43"/>
  <c r="D27" i="43"/>
  <c r="H27" i="37"/>
  <c r="N18" i="37"/>
  <c r="L18" i="29"/>
  <c r="D27" i="29"/>
  <c r="H27" i="22"/>
  <c r="N18" i="22"/>
  <c r="T27" i="25"/>
  <c r="Z18" i="25"/>
  <c r="T27" i="20"/>
  <c r="Z18" i="20"/>
  <c r="T27" i="17"/>
  <c r="Z18" i="17"/>
  <c r="H27" i="17"/>
  <c r="N18" i="17"/>
  <c r="X18" i="13"/>
  <c r="P27" i="13"/>
  <c r="T27" i="5"/>
  <c r="Z18" i="5"/>
  <c r="D27" i="4"/>
  <c r="L18" i="4"/>
  <c r="P70" i="110"/>
  <c r="R17" i="110"/>
  <c r="X17" i="110"/>
  <c r="N33" i="109"/>
  <c r="L33" i="109"/>
  <c r="F68" i="110"/>
  <c r="F39" i="110"/>
  <c r="F38" i="110"/>
  <c r="F27" i="110"/>
  <c r="F23" i="110"/>
  <c r="F72" i="110"/>
  <c r="F67" i="110"/>
  <c r="F58" i="110"/>
  <c r="F50" i="110"/>
  <c r="F49" i="110"/>
  <c r="F66" i="110"/>
  <c r="F41" i="110"/>
  <c r="F40" i="110"/>
  <c r="F33" i="110"/>
  <c r="F59" i="110"/>
  <c r="F54" i="110"/>
  <c r="F53" i="110"/>
  <c r="F60" i="110"/>
  <c r="F44" i="110"/>
  <c r="F19" i="110"/>
  <c r="F15" i="110"/>
  <c r="F55" i="110"/>
  <c r="F62" i="110"/>
  <c r="F61" i="110"/>
  <c r="F46" i="110"/>
  <c r="F45" i="110"/>
  <c r="F26" i="110"/>
  <c r="F22" i="110"/>
  <c r="F64" i="110"/>
  <c r="F63" i="110"/>
  <c r="F48" i="110"/>
  <c r="F47" i="110"/>
  <c r="F32" i="110"/>
  <c r="L12" i="110"/>
  <c r="N12" i="110" s="1"/>
  <c r="F21" i="110"/>
  <c r="F42" i="110"/>
  <c r="F34" i="110"/>
  <c r="F37" i="110"/>
  <c r="F56" i="110"/>
  <c r="F52" i="110"/>
  <c r="F30" i="110"/>
  <c r="F43" i="110"/>
  <c r="F28" i="110"/>
  <c r="F24" i="110"/>
  <c r="D17" i="110"/>
  <c r="F35" i="110"/>
  <c r="F57" i="110"/>
  <c r="F36" i="110"/>
  <c r="F29" i="110"/>
  <c r="F25" i="110"/>
  <c r="F31" i="110"/>
  <c r="F20" i="110"/>
  <c r="F51" i="110"/>
  <c r="H52" i="105"/>
  <c r="T54" i="103"/>
  <c r="D47" i="99"/>
  <c r="L19" i="99"/>
  <c r="F19" i="99"/>
  <c r="X19" i="99"/>
  <c r="P47" i="99"/>
  <c r="P67" i="94"/>
  <c r="X20" i="94"/>
  <c r="Z20" i="94" s="1"/>
  <c r="D77" i="93"/>
  <c r="R73" i="93"/>
  <c r="R62" i="93"/>
  <c r="R61" i="93"/>
  <c r="R75" i="93"/>
  <c r="R47" i="93"/>
  <c r="R46" i="93"/>
  <c r="R59" i="93"/>
  <c r="R51" i="93"/>
  <c r="R50" i="93"/>
  <c r="R39" i="93"/>
  <c r="R38" i="93"/>
  <c r="R52" i="93"/>
  <c r="R37" i="93"/>
  <c r="R33" i="93"/>
  <c r="R22" i="93"/>
  <c r="R20" i="93"/>
  <c r="R67" i="93"/>
  <c r="R55" i="93"/>
  <c r="R48" i="93"/>
  <c r="R44" i="93"/>
  <c r="R28" i="93"/>
  <c r="R24" i="93"/>
  <c r="P20" i="93"/>
  <c r="R79" i="93"/>
  <c r="R71" i="93"/>
  <c r="R65" i="93"/>
  <c r="R56" i="93"/>
  <c r="R53" i="93"/>
  <c r="R49" i="93"/>
  <c r="R45" i="93"/>
  <c r="R34" i="93"/>
  <c r="R68" i="93"/>
  <c r="R72" i="93"/>
  <c r="R57" i="93"/>
  <c r="R35" i="93"/>
  <c r="R63" i="93"/>
  <c r="R60" i="93"/>
  <c r="R41" i="93"/>
  <c r="R40" i="93"/>
  <c r="R30" i="93"/>
  <c r="R26" i="93"/>
  <c r="R70" i="93"/>
  <c r="R64" i="93"/>
  <c r="R43" i="93"/>
  <c r="R42" i="93"/>
  <c r="R32" i="93"/>
  <c r="R31" i="93"/>
  <c r="R27" i="93"/>
  <c r="R23" i="93"/>
  <c r="R18" i="93"/>
  <c r="R69" i="93"/>
  <c r="R66" i="93"/>
  <c r="R29" i="93"/>
  <c r="R36" i="93"/>
  <c r="X12" i="93"/>
  <c r="Z12" i="93" s="1"/>
  <c r="R17" i="93"/>
  <c r="R58" i="93"/>
  <c r="R25" i="93"/>
  <c r="R54" i="93"/>
  <c r="L100" i="77"/>
  <c r="V50" i="73"/>
  <c r="V22" i="73"/>
  <c r="V72" i="73"/>
  <c r="V68" i="73"/>
  <c r="V60" i="73"/>
  <c r="V52" i="73"/>
  <c r="V36" i="73"/>
  <c r="V32" i="73"/>
  <c r="V28" i="73"/>
  <c r="V75" i="73"/>
  <c r="V63" i="73"/>
  <c r="V55" i="73"/>
  <c r="V43" i="73"/>
  <c r="V27" i="73"/>
  <c r="V25" i="73"/>
  <c r="V23" i="73"/>
  <c r="V74" i="73"/>
  <c r="V62" i="73"/>
  <c r="V54" i="73"/>
  <c r="V42" i="73"/>
  <c r="V38" i="73"/>
  <c r="T25" i="73"/>
  <c r="X25" i="73" s="1"/>
  <c r="V69" i="73"/>
  <c r="V57" i="73"/>
  <c r="V45" i="73"/>
  <c r="V33" i="73"/>
  <c r="V29" i="73"/>
  <c r="V78" i="73"/>
  <c r="V76" i="73"/>
  <c r="V64" i="73"/>
  <c r="V56" i="73"/>
  <c r="V44" i="73"/>
  <c r="V47" i="73"/>
  <c r="V39" i="73"/>
  <c r="V70" i="73"/>
  <c r="V66" i="73"/>
  <c r="V58" i="73"/>
  <c r="V46" i="73"/>
  <c r="V34" i="73"/>
  <c r="V30" i="73"/>
  <c r="V82" i="73"/>
  <c r="V48" i="73"/>
  <c r="V40" i="73"/>
  <c r="Z12" i="73"/>
  <c r="V59" i="73"/>
  <c r="V41" i="73"/>
  <c r="V71" i="73"/>
  <c r="V53" i="73"/>
  <c r="V51" i="73"/>
  <c r="V49" i="73"/>
  <c r="V31" i="73"/>
  <c r="V37" i="73"/>
  <c r="V61" i="73"/>
  <c r="V35" i="73"/>
  <c r="V73" i="73"/>
  <c r="V21" i="73"/>
  <c r="V67" i="73"/>
  <c r="V65" i="73"/>
  <c r="L20" i="70"/>
  <c r="D73" i="70"/>
  <c r="N100" i="51"/>
  <c r="F104" i="51"/>
  <c r="F87" i="51"/>
  <c r="F86" i="51"/>
  <c r="F75" i="51"/>
  <c r="F74" i="51"/>
  <c r="F63" i="51"/>
  <c r="F59" i="51"/>
  <c r="F102" i="51"/>
  <c r="F89" i="51"/>
  <c r="F88" i="51"/>
  <c r="F77" i="51"/>
  <c r="F76" i="51"/>
  <c r="F69" i="51"/>
  <c r="F101" i="51"/>
  <c r="F64" i="51"/>
  <c r="F60" i="51"/>
  <c r="F100" i="51"/>
  <c r="F91" i="51"/>
  <c r="F90" i="51"/>
  <c r="F81" i="51"/>
  <c r="F80" i="51"/>
  <c r="F65" i="51"/>
  <c r="F61" i="51"/>
  <c r="F92" i="51"/>
  <c r="F52" i="51"/>
  <c r="F48" i="51"/>
  <c r="F44" i="51"/>
  <c r="F40" i="51"/>
  <c r="F83" i="51"/>
  <c r="F82" i="51"/>
  <c r="F71" i="51"/>
  <c r="F85" i="51"/>
  <c r="F84" i="51"/>
  <c r="F73" i="51"/>
  <c r="F72" i="51"/>
  <c r="F56" i="51"/>
  <c r="F54" i="51"/>
  <c r="F49" i="51"/>
  <c r="F45" i="51"/>
  <c r="F41" i="51"/>
  <c r="F103" i="51"/>
  <c r="F97" i="51"/>
  <c r="F62" i="51"/>
  <c r="F66" i="51"/>
  <c r="F43" i="51"/>
  <c r="F39" i="51"/>
  <c r="L12" i="51"/>
  <c r="N12" i="51" s="1"/>
  <c r="F78" i="51"/>
  <c r="F50" i="51"/>
  <c r="F98" i="51"/>
  <c r="F95" i="51"/>
  <c r="F67" i="51"/>
  <c r="F46" i="51"/>
  <c r="F96" i="51"/>
  <c r="F93" i="51"/>
  <c r="F42" i="51"/>
  <c r="F94" i="51"/>
  <c r="D54" i="51"/>
  <c r="F58" i="51"/>
  <c r="F47" i="51"/>
  <c r="F38" i="51"/>
  <c r="F68" i="51"/>
  <c r="F51" i="51"/>
  <c r="F108" i="51"/>
  <c r="F70" i="51"/>
  <c r="F57" i="51"/>
  <c r="F79" i="51"/>
  <c r="F30" i="36"/>
  <c r="V96" i="21"/>
  <c r="V84" i="21"/>
  <c r="V72" i="21"/>
  <c r="V60" i="21"/>
  <c r="V48" i="21"/>
  <c r="V98" i="21"/>
  <c r="V90" i="21"/>
  <c r="V86" i="21"/>
  <c r="V62" i="21"/>
  <c r="V50" i="21"/>
  <c r="V97" i="21"/>
  <c r="V85" i="21"/>
  <c r="V73" i="21"/>
  <c r="V61" i="21"/>
  <c r="V53" i="21"/>
  <c r="V101" i="21"/>
  <c r="V99" i="21"/>
  <c r="V91" i="21"/>
  <c r="V87" i="21"/>
  <c r="V63" i="21"/>
  <c r="V39" i="21"/>
  <c r="V35" i="21"/>
  <c r="V31" i="21"/>
  <c r="V74" i="21"/>
  <c r="V66" i="21"/>
  <c r="V54" i="21"/>
  <c r="V30" i="21"/>
  <c r="V28" i="21"/>
  <c r="V26" i="21"/>
  <c r="V92" i="21"/>
  <c r="V105" i="21"/>
  <c r="V83" i="21"/>
  <c r="V75" i="21"/>
  <c r="V67" i="21"/>
  <c r="V55" i="21"/>
  <c r="V47" i="21"/>
  <c r="V94" i="21"/>
  <c r="V82" i="21"/>
  <c r="V78" i="21"/>
  <c r="V70" i="21"/>
  <c r="V58" i="21"/>
  <c r="V46" i="21"/>
  <c r="V42" i="21"/>
  <c r="V52" i="21"/>
  <c r="V45" i="21"/>
  <c r="V93" i="21"/>
  <c r="V81" i="21"/>
  <c r="V77" i="21"/>
  <c r="V43" i="21"/>
  <c r="V41" i="21"/>
  <c r="V37" i="21"/>
  <c r="V88" i="21"/>
  <c r="V79" i="21"/>
  <c r="V95" i="21"/>
  <c r="V68" i="21"/>
  <c r="V65" i="21"/>
  <c r="V56" i="21"/>
  <c r="V24" i="21"/>
  <c r="V51" i="21"/>
  <c r="V49" i="21"/>
  <c r="V34" i="21"/>
  <c r="V32" i="21"/>
  <c r="T28" i="21"/>
  <c r="V69" i="21"/>
  <c r="V57" i="21"/>
  <c r="V71" i="21"/>
  <c r="V59" i="21"/>
  <c r="V33" i="21"/>
  <c r="V80" i="21"/>
  <c r="V64" i="21"/>
  <c r="V89" i="21"/>
  <c r="V44" i="21"/>
  <c r="V36" i="21"/>
  <c r="V25" i="21"/>
  <c r="V76" i="21"/>
  <c r="V38" i="21"/>
  <c r="V40" i="21"/>
  <c r="V99" i="27"/>
  <c r="V91" i="27"/>
  <c r="V75" i="27"/>
  <c r="V101" i="27"/>
  <c r="V93" i="27"/>
  <c r="V57" i="27"/>
  <c r="V53" i="27"/>
  <c r="V49" i="27"/>
  <c r="V45" i="27"/>
  <c r="V108" i="27"/>
  <c r="V92" i="27"/>
  <c r="V84" i="27"/>
  <c r="V76" i="27"/>
  <c r="V107" i="27"/>
  <c r="V95" i="27"/>
  <c r="V83" i="27"/>
  <c r="V71" i="27"/>
  <c r="V67" i="27"/>
  <c r="V63" i="27"/>
  <c r="V116" i="27"/>
  <c r="V110" i="27"/>
  <c r="V102" i="27"/>
  <c r="V94" i="27"/>
  <c r="V86" i="27"/>
  <c r="V62" i="27"/>
  <c r="V58" i="27"/>
  <c r="V54" i="27"/>
  <c r="V50" i="27"/>
  <c r="V46" i="27"/>
  <c r="V42" i="27"/>
  <c r="V115" i="27"/>
  <c r="V109" i="27"/>
  <c r="V85" i="27"/>
  <c r="V77" i="27"/>
  <c r="V73" i="27"/>
  <c r="T60" i="27"/>
  <c r="V114" i="27"/>
  <c r="V96" i="27"/>
  <c r="V88" i="27"/>
  <c r="V72" i="27"/>
  <c r="V68" i="27"/>
  <c r="V64" i="27"/>
  <c r="V113" i="27"/>
  <c r="V111" i="27"/>
  <c r="V103" i="27"/>
  <c r="V87" i="27"/>
  <c r="V79" i="27"/>
  <c r="V55" i="27"/>
  <c r="V51" i="27"/>
  <c r="V47" i="27"/>
  <c r="V43" i="27"/>
  <c r="V120" i="27"/>
  <c r="V98" i="27"/>
  <c r="V78" i="27"/>
  <c r="V74" i="27"/>
  <c r="V105" i="27"/>
  <c r="V97" i="27"/>
  <c r="V89" i="27"/>
  <c r="V81" i="27"/>
  <c r="V69" i="27"/>
  <c r="V65" i="27"/>
  <c r="V82" i="27"/>
  <c r="V104" i="27"/>
  <c r="V90" i="27"/>
  <c r="V70" i="27"/>
  <c r="V106" i="27"/>
  <c r="V52" i="27"/>
  <c r="V44" i="27"/>
  <c r="V100" i="27"/>
  <c r="V80" i="27"/>
  <c r="V56" i="27"/>
  <c r="V48" i="27"/>
  <c r="V66" i="27"/>
  <c r="F81" i="21"/>
  <c r="F65" i="21"/>
  <c r="F64" i="21"/>
  <c r="F45" i="21"/>
  <c r="F41" i="21"/>
  <c r="F40" i="21"/>
  <c r="F105" i="21"/>
  <c r="F75" i="21"/>
  <c r="F67" i="21"/>
  <c r="F66" i="21"/>
  <c r="F55" i="21"/>
  <c r="F82" i="21"/>
  <c r="F46" i="21"/>
  <c r="F42" i="21"/>
  <c r="F84" i="21"/>
  <c r="F83" i="21"/>
  <c r="F48" i="21"/>
  <c r="F47" i="21"/>
  <c r="F95" i="21"/>
  <c r="F94" i="21"/>
  <c r="F79" i="21"/>
  <c r="F78" i="21"/>
  <c r="F71" i="21"/>
  <c r="F70" i="21"/>
  <c r="F59" i="21"/>
  <c r="F58" i="21"/>
  <c r="F43" i="21"/>
  <c r="F97" i="21"/>
  <c r="F96" i="21"/>
  <c r="F80" i="21"/>
  <c r="F52" i="21"/>
  <c r="F51" i="21"/>
  <c r="F44" i="21"/>
  <c r="L12" i="21"/>
  <c r="F99" i="21"/>
  <c r="F98" i="21"/>
  <c r="F91" i="21"/>
  <c r="F87" i="21"/>
  <c r="F86" i="21"/>
  <c r="F63" i="21"/>
  <c r="F62" i="21"/>
  <c r="F39" i="21"/>
  <c r="F35" i="21"/>
  <c r="F89" i="21"/>
  <c r="F76" i="21"/>
  <c r="F69" i="21"/>
  <c r="F57" i="21"/>
  <c r="F25" i="21"/>
  <c r="F85" i="21"/>
  <c r="F33" i="21"/>
  <c r="F30" i="21"/>
  <c r="F74" i="21"/>
  <c r="F50" i="21"/>
  <c r="F31" i="21"/>
  <c r="F93" i="21"/>
  <c r="F88" i="21"/>
  <c r="F77" i="21"/>
  <c r="F37" i="21"/>
  <c r="F26" i="21"/>
  <c r="F90" i="21"/>
  <c r="F72" i="21"/>
  <c r="F60" i="21"/>
  <c r="F53" i="21"/>
  <c r="F36" i="21"/>
  <c r="F28" i="21"/>
  <c r="F24" i="21"/>
  <c r="F101" i="21"/>
  <c r="F73" i="21"/>
  <c r="F61" i="21"/>
  <c r="F54" i="21"/>
  <c r="F49" i="21"/>
  <c r="F38" i="21"/>
  <c r="D28" i="21"/>
  <c r="F56" i="21"/>
  <c r="F34" i="21"/>
  <c r="F92" i="21"/>
  <c r="F68" i="21"/>
  <c r="F32" i="21"/>
  <c r="R94" i="21"/>
  <c r="R93" i="21"/>
  <c r="R89" i="21"/>
  <c r="R78" i="21"/>
  <c r="R77" i="21"/>
  <c r="R70" i="21"/>
  <c r="R69" i="21"/>
  <c r="R58" i="21"/>
  <c r="R57" i="21"/>
  <c r="R37" i="21"/>
  <c r="R33" i="21"/>
  <c r="R96" i="21"/>
  <c r="R95" i="21"/>
  <c r="R79" i="21"/>
  <c r="R72" i="21"/>
  <c r="R71" i="21"/>
  <c r="R60" i="21"/>
  <c r="R59" i="21"/>
  <c r="R90" i="21"/>
  <c r="R51" i="21"/>
  <c r="R50" i="21"/>
  <c r="R38" i="21"/>
  <c r="R34" i="21"/>
  <c r="R80" i="21"/>
  <c r="R53" i="21"/>
  <c r="R52" i="21"/>
  <c r="R44" i="21"/>
  <c r="X12" i="21"/>
  <c r="Z12" i="21" s="1"/>
  <c r="R99" i="21"/>
  <c r="R91" i="21"/>
  <c r="R87" i="21"/>
  <c r="R64" i="21"/>
  <c r="R63" i="21"/>
  <c r="R40" i="21"/>
  <c r="R39" i="21"/>
  <c r="R35" i="21"/>
  <c r="R92" i="21"/>
  <c r="R88" i="21"/>
  <c r="R36" i="21"/>
  <c r="R32" i="21"/>
  <c r="P28" i="21"/>
  <c r="R105" i="21"/>
  <c r="R76" i="21"/>
  <c r="R75" i="21"/>
  <c r="R68" i="21"/>
  <c r="R67" i="21"/>
  <c r="R56" i="21"/>
  <c r="R55" i="21"/>
  <c r="R74" i="21"/>
  <c r="R31" i="21"/>
  <c r="R86" i="21"/>
  <c r="R83" i="21"/>
  <c r="R45" i="21"/>
  <c r="R26" i="21"/>
  <c r="R97" i="21"/>
  <c r="R81" i="21"/>
  <c r="R48" i="21"/>
  <c r="R43" i="21"/>
  <c r="R41" i="21"/>
  <c r="R84" i="21"/>
  <c r="R65" i="21"/>
  <c r="R28" i="21"/>
  <c r="R24" i="21"/>
  <c r="R101" i="21"/>
  <c r="R98" i="21"/>
  <c r="R73" i="21"/>
  <c r="R61" i="21"/>
  <c r="R49" i="21"/>
  <c r="R85" i="21"/>
  <c r="R62" i="21"/>
  <c r="R25" i="21"/>
  <c r="R47" i="21"/>
  <c r="R42" i="21"/>
  <c r="R82" i="21"/>
  <c r="R66" i="21"/>
  <c r="R30" i="21"/>
  <c r="R46" i="21"/>
  <c r="R54" i="21"/>
  <c r="Z248" i="15"/>
  <c r="P310" i="3"/>
  <c r="X198" i="3"/>
  <c r="Z198" i="3" s="1"/>
  <c r="R198" i="3"/>
  <c r="T310" i="3"/>
  <c r="X18" i="113"/>
  <c r="P27" i="113"/>
  <c r="L18" i="113"/>
  <c r="D27" i="113"/>
  <c r="X18" i="49"/>
  <c r="P27" i="49"/>
  <c r="T27" i="44"/>
  <c r="Z18" i="44"/>
  <c r="H27" i="41"/>
  <c r="N18" i="41"/>
  <c r="X18" i="38"/>
  <c r="P27" i="38"/>
  <c r="T27" i="35"/>
  <c r="Z18" i="35"/>
  <c r="X18" i="35"/>
  <c r="P27" i="35"/>
  <c r="H27" i="31"/>
  <c r="N18" i="31"/>
  <c r="X18" i="20"/>
  <c r="P27" i="20"/>
  <c r="X18" i="16"/>
  <c r="P27" i="16"/>
  <c r="X18" i="8"/>
  <c r="P27" i="8"/>
  <c r="X18" i="10"/>
  <c r="P27" i="10"/>
  <c r="X18" i="7"/>
  <c r="P27" i="7"/>
  <c r="H27" i="10"/>
  <c r="N18" i="10"/>
  <c r="X18" i="4"/>
  <c r="P27" i="4"/>
  <c r="H27" i="4"/>
  <c r="N18" i="4"/>
  <c r="R81" i="108"/>
  <c r="R73" i="108"/>
  <c r="R69" i="108"/>
  <c r="R37" i="108"/>
  <c r="R83" i="108"/>
  <c r="R64" i="108"/>
  <c r="R57" i="108"/>
  <c r="R56" i="108"/>
  <c r="R45" i="108"/>
  <c r="R44" i="108"/>
  <c r="R32" i="108"/>
  <c r="R28" i="108"/>
  <c r="R24" i="108"/>
  <c r="R75" i="108"/>
  <c r="R74" i="108"/>
  <c r="R70" i="108"/>
  <c r="R59" i="108"/>
  <c r="R58" i="108"/>
  <c r="R47" i="108"/>
  <c r="R46" i="108"/>
  <c r="R38" i="108"/>
  <c r="R77" i="108"/>
  <c r="R76" i="108"/>
  <c r="R60" i="108"/>
  <c r="R49" i="108"/>
  <c r="R48" i="108"/>
  <c r="R71" i="108"/>
  <c r="R39" i="108"/>
  <c r="R35" i="108"/>
  <c r="R79" i="108"/>
  <c r="R78" i="108"/>
  <c r="R67" i="108"/>
  <c r="R66" i="108"/>
  <c r="R51" i="108"/>
  <c r="R50" i="108"/>
  <c r="R30" i="108"/>
  <c r="R26" i="108"/>
  <c r="R61" i="108"/>
  <c r="R63" i="108"/>
  <c r="R62" i="108"/>
  <c r="R55" i="108"/>
  <c r="R54" i="108"/>
  <c r="R43" i="108"/>
  <c r="R42" i="108"/>
  <c r="R18" i="108"/>
  <c r="X12" i="108"/>
  <c r="Z12" i="108" s="1"/>
  <c r="R87" i="108"/>
  <c r="R68" i="108"/>
  <c r="R34" i="108"/>
  <c r="R17" i="108"/>
  <c r="R36" i="108"/>
  <c r="R52" i="108"/>
  <c r="P21" i="108"/>
  <c r="R72" i="108"/>
  <c r="R40" i="108"/>
  <c r="R25" i="108"/>
  <c r="R65" i="108"/>
  <c r="R29" i="108"/>
  <c r="R27" i="108"/>
  <c r="R23" i="108"/>
  <c r="R33" i="108"/>
  <c r="R31" i="108"/>
  <c r="R53" i="108"/>
  <c r="R41" i="108"/>
  <c r="R19" i="108"/>
  <c r="R80" i="108"/>
  <c r="P85" i="106"/>
  <c r="X21" i="106"/>
  <c r="J52" i="104"/>
  <c r="J61" i="104"/>
  <c r="J53" i="104"/>
  <c r="J41" i="104"/>
  <c r="J37" i="104"/>
  <c r="J80" i="104"/>
  <c r="J72" i="104"/>
  <c r="J68" i="104"/>
  <c r="J62" i="104"/>
  <c r="J54" i="104"/>
  <c r="J42" i="104"/>
  <c r="J32" i="104"/>
  <c r="J28" i="104"/>
  <c r="J18" i="104"/>
  <c r="J63" i="104"/>
  <c r="J55" i="104"/>
  <c r="J43" i="104"/>
  <c r="J82" i="104"/>
  <c r="J56" i="104"/>
  <c r="J44" i="104"/>
  <c r="J38" i="104"/>
  <c r="J73" i="104"/>
  <c r="J69" i="104"/>
  <c r="J57" i="104"/>
  <c r="J45" i="104"/>
  <c r="J33" i="104"/>
  <c r="J29" i="104"/>
  <c r="J86" i="104"/>
  <c r="J74" i="104"/>
  <c r="J64" i="104"/>
  <c r="J58" i="104"/>
  <c r="J46" i="104"/>
  <c r="J20" i="104"/>
  <c r="J75" i="104"/>
  <c r="J59" i="104"/>
  <c r="J47" i="104"/>
  <c r="J39" i="104"/>
  <c r="J25" i="104"/>
  <c r="J78" i="104"/>
  <c r="J66" i="104"/>
  <c r="J60" i="104"/>
  <c r="J50" i="104"/>
  <c r="J40" i="104"/>
  <c r="J36" i="104"/>
  <c r="J79" i="104"/>
  <c r="J71" i="104"/>
  <c r="J67" i="104"/>
  <c r="J51" i="104"/>
  <c r="J31" i="104"/>
  <c r="J27" i="104"/>
  <c r="H22" i="104"/>
  <c r="J76" i="104"/>
  <c r="J49" i="104"/>
  <c r="J65" i="104"/>
  <c r="J34" i="104"/>
  <c r="J26" i="104"/>
  <c r="J24" i="104"/>
  <c r="J48" i="104"/>
  <c r="J70" i="104"/>
  <c r="J30" i="104"/>
  <c r="J22" i="104"/>
  <c r="J19" i="104"/>
  <c r="J35" i="104"/>
  <c r="J77" i="104"/>
  <c r="V55" i="95"/>
  <c r="V47" i="95"/>
  <c r="V70" i="95"/>
  <c r="V58" i="95"/>
  <c r="V46" i="95"/>
  <c r="V71" i="95"/>
  <c r="V59" i="95"/>
  <c r="V51" i="95"/>
  <c r="V39" i="95"/>
  <c r="V66" i="95"/>
  <c r="V62" i="95"/>
  <c r="V50" i="95"/>
  <c r="V75" i="95"/>
  <c r="V73" i="95"/>
  <c r="V61" i="95"/>
  <c r="V53" i="95"/>
  <c r="V41" i="95"/>
  <c r="V79" i="95"/>
  <c r="V68" i="95"/>
  <c r="V64" i="95"/>
  <c r="V56" i="95"/>
  <c r="V36" i="95"/>
  <c r="V16" i="95"/>
  <c r="V69" i="95"/>
  <c r="V65" i="95"/>
  <c r="V63" i="95"/>
  <c r="V40" i="95"/>
  <c r="V67" i="95"/>
  <c r="V33" i="95"/>
  <c r="V29" i="95"/>
  <c r="V72" i="95"/>
  <c r="V44" i="95"/>
  <c r="V26" i="95"/>
  <c r="V17" i="95"/>
  <c r="V57" i="95"/>
  <c r="V37" i="95"/>
  <c r="Z12" i="95"/>
  <c r="V45" i="95"/>
  <c r="V34" i="95"/>
  <c r="V23" i="95"/>
  <c r="V60" i="95"/>
  <c r="V30" i="95"/>
  <c r="V22" i="95"/>
  <c r="V20" i="95"/>
  <c r="V18" i="95"/>
  <c r="V48" i="95"/>
  <c r="V27" i="95"/>
  <c r="T20" i="95"/>
  <c r="V32" i="95"/>
  <c r="V31" i="95"/>
  <c r="V52" i="95"/>
  <c r="V28" i="95"/>
  <c r="V25" i="95"/>
  <c r="V38" i="95"/>
  <c r="V24" i="95"/>
  <c r="V42" i="95"/>
  <c r="V35" i="95"/>
  <c r="V54" i="95"/>
  <c r="V43" i="95"/>
  <c r="V49" i="95"/>
  <c r="H89" i="96"/>
  <c r="H120" i="85"/>
  <c r="P28" i="87"/>
  <c r="F25" i="83"/>
  <c r="F24" i="83"/>
  <c r="F23" i="83"/>
  <c r="F21" i="83"/>
  <c r="D21" i="83"/>
  <c r="F27" i="83"/>
  <c r="F31" i="83"/>
  <c r="L12" i="83"/>
  <c r="F18" i="83"/>
  <c r="F17" i="83"/>
  <c r="F19" i="83"/>
  <c r="F72" i="84"/>
  <c r="F60" i="84"/>
  <c r="F40" i="84"/>
  <c r="F39" i="84"/>
  <c r="F79" i="84"/>
  <c r="F78" i="84"/>
  <c r="F51" i="84"/>
  <c r="F50" i="84"/>
  <c r="F35" i="84"/>
  <c r="F66" i="84"/>
  <c r="F42" i="84"/>
  <c r="F41" i="84"/>
  <c r="F30" i="84"/>
  <c r="F26" i="84"/>
  <c r="F81" i="84"/>
  <c r="F80" i="84"/>
  <c r="F73" i="84"/>
  <c r="F61" i="84"/>
  <c r="F53" i="84"/>
  <c r="F52" i="84"/>
  <c r="F17" i="84"/>
  <c r="F16" i="84"/>
  <c r="F68" i="84"/>
  <c r="F67" i="84"/>
  <c r="F44" i="84"/>
  <c r="F43" i="84"/>
  <c r="F36" i="84"/>
  <c r="L12" i="84"/>
  <c r="N12" i="84" s="1"/>
  <c r="F63" i="84"/>
  <c r="F62" i="84"/>
  <c r="F55" i="84"/>
  <c r="F54" i="84"/>
  <c r="F31" i="84"/>
  <c r="F27" i="84"/>
  <c r="F83" i="84"/>
  <c r="F74" i="84"/>
  <c r="F70" i="84"/>
  <c r="F69" i="84"/>
  <c r="F46" i="84"/>
  <c r="F45" i="84"/>
  <c r="F18" i="84"/>
  <c r="F87" i="84"/>
  <c r="F57" i="84"/>
  <c r="F56" i="84"/>
  <c r="F37" i="84"/>
  <c r="F33" i="84"/>
  <c r="F32" i="84"/>
  <c r="F64" i="84"/>
  <c r="F28" i="84"/>
  <c r="F24" i="84"/>
  <c r="F23" i="84"/>
  <c r="F77" i="84"/>
  <c r="F76" i="84"/>
  <c r="F65" i="84"/>
  <c r="F49" i="84"/>
  <c r="F48" i="84"/>
  <c r="F29" i="84"/>
  <c r="F25" i="84"/>
  <c r="F71" i="84"/>
  <c r="F38" i="84"/>
  <c r="F22" i="84"/>
  <c r="F59" i="84"/>
  <c r="D20" i="84"/>
  <c r="F58" i="84"/>
  <c r="F75" i="84"/>
  <c r="F47" i="84"/>
  <c r="F34" i="84"/>
  <c r="L57" i="85"/>
  <c r="N57" i="85" s="1"/>
  <c r="D120" i="85"/>
  <c r="D37" i="86"/>
  <c r="Z58" i="79"/>
  <c r="D70" i="80"/>
  <c r="L20" i="80"/>
  <c r="F58" i="79"/>
  <c r="D65" i="79"/>
  <c r="L25" i="79"/>
  <c r="X54" i="77"/>
  <c r="P106" i="77"/>
  <c r="R104" i="75"/>
  <c r="R96" i="75"/>
  <c r="R48" i="75"/>
  <c r="R44" i="75"/>
  <c r="R40" i="75"/>
  <c r="R36" i="75"/>
  <c r="R91" i="75"/>
  <c r="R84" i="75"/>
  <c r="R83" i="75"/>
  <c r="R67" i="75"/>
  <c r="R75" i="75"/>
  <c r="R74" i="75"/>
  <c r="R63" i="75"/>
  <c r="R62" i="75"/>
  <c r="R58" i="75"/>
  <c r="R108" i="75"/>
  <c r="R105" i="75"/>
  <c r="R97" i="75"/>
  <c r="R85" i="75"/>
  <c r="R54" i="75"/>
  <c r="R49" i="75"/>
  <c r="R45" i="75"/>
  <c r="R41" i="75"/>
  <c r="R37" i="75"/>
  <c r="R107" i="75"/>
  <c r="R93" i="75"/>
  <c r="R92" i="75"/>
  <c r="R77" i="75"/>
  <c r="R59" i="75"/>
  <c r="R55" i="75"/>
  <c r="R70" i="75"/>
  <c r="R69" i="75"/>
  <c r="R65" i="75"/>
  <c r="R34" i="75"/>
  <c r="R101" i="75"/>
  <c r="R100" i="75"/>
  <c r="R88" i="75"/>
  <c r="R60" i="75"/>
  <c r="R95" i="75"/>
  <c r="R80" i="75"/>
  <c r="R79" i="75"/>
  <c r="R72" i="75"/>
  <c r="R71" i="75"/>
  <c r="R47" i="75"/>
  <c r="R43" i="75"/>
  <c r="R39" i="75"/>
  <c r="R35" i="75"/>
  <c r="R103" i="75"/>
  <c r="R102" i="75"/>
  <c r="R66" i="75"/>
  <c r="R76" i="75"/>
  <c r="R98" i="75"/>
  <c r="R89" i="75"/>
  <c r="R82" i="75"/>
  <c r="R78" i="75"/>
  <c r="R68" i="75"/>
  <c r="R57" i="75"/>
  <c r="R53" i="75"/>
  <c r="R112" i="75"/>
  <c r="R86" i="75"/>
  <c r="R61" i="75"/>
  <c r="R90" i="75"/>
  <c r="X12" i="75"/>
  <c r="R99" i="75"/>
  <c r="R73" i="75"/>
  <c r="R56" i="75"/>
  <c r="R38" i="75"/>
  <c r="R81" i="75"/>
  <c r="R87" i="75"/>
  <c r="R64" i="75"/>
  <c r="P51" i="75"/>
  <c r="R46" i="75"/>
  <c r="R94" i="75"/>
  <c r="R51" i="75"/>
  <c r="R42" i="75"/>
  <c r="V91" i="75"/>
  <c r="V83" i="75"/>
  <c r="V75" i="75"/>
  <c r="V67" i="75"/>
  <c r="V63" i="75"/>
  <c r="V108" i="75"/>
  <c r="V74" i="75"/>
  <c r="V62" i="75"/>
  <c r="V58" i="75"/>
  <c r="V54" i="75"/>
  <c r="V107" i="75"/>
  <c r="V105" i="75"/>
  <c r="V97" i="75"/>
  <c r="V93" i="75"/>
  <c r="V85" i="75"/>
  <c r="V77" i="75"/>
  <c r="V53" i="75"/>
  <c r="V49" i="75"/>
  <c r="V45" i="75"/>
  <c r="V41" i="75"/>
  <c r="V37" i="75"/>
  <c r="V92" i="75"/>
  <c r="V76" i="75"/>
  <c r="V68" i="75"/>
  <c r="V64" i="75"/>
  <c r="T51" i="75"/>
  <c r="V51" i="75" s="1"/>
  <c r="Z12" i="75"/>
  <c r="V99" i="75"/>
  <c r="V87" i="75"/>
  <c r="V112" i="75"/>
  <c r="V98" i="75"/>
  <c r="V94" i="75"/>
  <c r="V86" i="75"/>
  <c r="V78" i="75"/>
  <c r="V70" i="75"/>
  <c r="V100" i="75"/>
  <c r="V88" i="75"/>
  <c r="V80" i="75"/>
  <c r="V72" i="75"/>
  <c r="V60" i="75"/>
  <c r="V56" i="75"/>
  <c r="V103" i="75"/>
  <c r="V95" i="75"/>
  <c r="V79" i="75"/>
  <c r="V71" i="75"/>
  <c r="V102" i="75"/>
  <c r="V90" i="75"/>
  <c r="V82" i="75"/>
  <c r="V66" i="75"/>
  <c r="V89" i="75"/>
  <c r="V81" i="75"/>
  <c r="V73" i="75"/>
  <c r="V61" i="75"/>
  <c r="V57" i="75"/>
  <c r="V104" i="75"/>
  <c r="V96" i="75"/>
  <c r="V35" i="75"/>
  <c r="V84" i="75"/>
  <c r="V55" i="75"/>
  <c r="V39" i="75"/>
  <c r="V65" i="75"/>
  <c r="V59" i="75"/>
  <c r="V43" i="75"/>
  <c r="V47" i="75"/>
  <c r="V34" i="75"/>
  <c r="V36" i="75"/>
  <c r="V101" i="75"/>
  <c r="V69" i="75"/>
  <c r="V38" i="75"/>
  <c r="V40" i="75"/>
  <c r="V44" i="75"/>
  <c r="V42" i="75"/>
  <c r="V48" i="75"/>
  <c r="V46" i="75"/>
  <c r="R107" i="71"/>
  <c r="R106" i="71"/>
  <c r="R83" i="71"/>
  <c r="R82" i="71"/>
  <c r="R115" i="71"/>
  <c r="R109" i="71"/>
  <c r="R108" i="71"/>
  <c r="R85" i="71"/>
  <c r="R84" i="71"/>
  <c r="R76" i="71"/>
  <c r="R61" i="71"/>
  <c r="R59" i="71"/>
  <c r="R41" i="71"/>
  <c r="R114" i="71"/>
  <c r="R95" i="71"/>
  <c r="R72" i="71"/>
  <c r="R71" i="71"/>
  <c r="R67" i="71"/>
  <c r="R63" i="71"/>
  <c r="P59" i="71"/>
  <c r="R113" i="71"/>
  <c r="R110" i="71"/>
  <c r="R102" i="71"/>
  <c r="R119" i="71"/>
  <c r="R112" i="71"/>
  <c r="R78" i="71"/>
  <c r="R77" i="71"/>
  <c r="R73" i="71"/>
  <c r="R97" i="71"/>
  <c r="R96" i="71"/>
  <c r="R88" i="71"/>
  <c r="R104" i="71"/>
  <c r="R103" i="71"/>
  <c r="R80" i="71"/>
  <c r="R79" i="71"/>
  <c r="R55" i="71"/>
  <c r="R99" i="71"/>
  <c r="R98" i="71"/>
  <c r="R74" i="71"/>
  <c r="R100" i="71"/>
  <c r="R56" i="71"/>
  <c r="R52" i="71"/>
  <c r="R48" i="71"/>
  <c r="R44" i="71"/>
  <c r="R89" i="71"/>
  <c r="R65" i="71"/>
  <c r="R94" i="71"/>
  <c r="R51" i="71"/>
  <c r="R49" i="71"/>
  <c r="R70" i="71"/>
  <c r="R42" i="71"/>
  <c r="R92" i="71"/>
  <c r="R90" i="71"/>
  <c r="R81" i="71"/>
  <c r="R68" i="71"/>
  <c r="R54" i="71"/>
  <c r="R47" i="71"/>
  <c r="R66" i="71"/>
  <c r="R45" i="71"/>
  <c r="R86" i="71"/>
  <c r="R64" i="71"/>
  <c r="R75" i="71"/>
  <c r="R57" i="71"/>
  <c r="R50" i="71"/>
  <c r="R105" i="71"/>
  <c r="R93" i="71"/>
  <c r="R62" i="71"/>
  <c r="R43" i="71"/>
  <c r="X12" i="71"/>
  <c r="Z12" i="71" s="1"/>
  <c r="R91" i="71"/>
  <c r="R53" i="71"/>
  <c r="R69" i="71"/>
  <c r="R46" i="71"/>
  <c r="R87" i="71"/>
  <c r="R101" i="71"/>
  <c r="F58" i="76"/>
  <c r="F57" i="76"/>
  <c r="F46" i="76"/>
  <c r="F45" i="76"/>
  <c r="F74" i="76"/>
  <c r="F65" i="76"/>
  <c r="F41" i="76"/>
  <c r="F40" i="76"/>
  <c r="F78" i="76"/>
  <c r="F73" i="76"/>
  <c r="F48" i="76"/>
  <c r="F47" i="76"/>
  <c r="F36" i="76"/>
  <c r="F32" i="76"/>
  <c r="F31" i="76"/>
  <c r="F59" i="76"/>
  <c r="F30" i="76"/>
  <c r="F28" i="76"/>
  <c r="F26" i="76"/>
  <c r="F66" i="76"/>
  <c r="F50" i="76"/>
  <c r="F49" i="76"/>
  <c r="F42" i="76"/>
  <c r="D28" i="76"/>
  <c r="F61" i="76"/>
  <c r="F60" i="76"/>
  <c r="F37" i="76"/>
  <c r="F33" i="76"/>
  <c r="F52" i="76"/>
  <c r="F51" i="76"/>
  <c r="F67" i="76"/>
  <c r="F63" i="76"/>
  <c r="F62" i="76"/>
  <c r="F43" i="76"/>
  <c r="F54" i="76"/>
  <c r="F53" i="76"/>
  <c r="F38" i="76"/>
  <c r="F34" i="76"/>
  <c r="F69" i="76"/>
  <c r="F68" i="76"/>
  <c r="F64" i="76"/>
  <c r="F56" i="76"/>
  <c r="F55" i="76"/>
  <c r="F44" i="76"/>
  <c r="L12" i="76"/>
  <c r="N12" i="76" s="1"/>
  <c r="F35" i="76"/>
  <c r="F71" i="76"/>
  <c r="F39" i="76"/>
  <c r="F70" i="76"/>
  <c r="T49" i="60"/>
  <c r="Z16" i="60"/>
  <c r="H51" i="61"/>
  <c r="N16" i="61"/>
  <c r="P64" i="59"/>
  <c r="X16" i="59"/>
  <c r="H130" i="39"/>
  <c r="N36" i="39"/>
  <c r="T130" i="39"/>
  <c r="X146" i="30"/>
  <c r="Z146" i="30" s="1"/>
  <c r="L85" i="33"/>
  <c r="N85" i="33" s="1"/>
  <c r="J92" i="21"/>
  <c r="J88" i="21"/>
  <c r="J66" i="21"/>
  <c r="J36" i="21"/>
  <c r="J82" i="21"/>
  <c r="J76" i="21"/>
  <c r="J68" i="21"/>
  <c r="J56" i="21"/>
  <c r="J93" i="21"/>
  <c r="J89" i="21"/>
  <c r="J83" i="21"/>
  <c r="J77" i="21"/>
  <c r="J69" i="21"/>
  <c r="J57" i="21"/>
  <c r="J47" i="21"/>
  <c r="J37" i="21"/>
  <c r="J33" i="21"/>
  <c r="J95" i="21"/>
  <c r="J79" i="21"/>
  <c r="J71" i="21"/>
  <c r="J59" i="21"/>
  <c r="J49" i="21"/>
  <c r="J43" i="21"/>
  <c r="J96" i="21"/>
  <c r="J90" i="21"/>
  <c r="J72" i="21"/>
  <c r="J60" i="21"/>
  <c r="J50" i="21"/>
  <c r="J38" i="21"/>
  <c r="J34" i="21"/>
  <c r="J24" i="21"/>
  <c r="J98" i="21"/>
  <c r="J99" i="21"/>
  <c r="J91" i="21"/>
  <c r="J87" i="21"/>
  <c r="J63" i="21"/>
  <c r="J53" i="21"/>
  <c r="J39" i="21"/>
  <c r="J35" i="21"/>
  <c r="J74" i="21"/>
  <c r="J64" i="21"/>
  <c r="J54" i="21"/>
  <c r="J40" i="21"/>
  <c r="J26" i="21"/>
  <c r="J30" i="21"/>
  <c r="J25" i="21"/>
  <c r="J85" i="21"/>
  <c r="J62" i="21"/>
  <c r="J52" i="21"/>
  <c r="J31" i="21"/>
  <c r="J86" i="21"/>
  <c r="J67" i="21"/>
  <c r="J55" i="21"/>
  <c r="J45" i="21"/>
  <c r="J97" i="21"/>
  <c r="J81" i="21"/>
  <c r="J70" i="21"/>
  <c r="J58" i="21"/>
  <c r="J41" i="21"/>
  <c r="J48" i="21"/>
  <c r="J65" i="21"/>
  <c r="J32" i="21"/>
  <c r="J73" i="21"/>
  <c r="J61" i="21"/>
  <c r="J46" i="21"/>
  <c r="J44" i="21"/>
  <c r="J105" i="21"/>
  <c r="J80" i="21"/>
  <c r="J42" i="21"/>
  <c r="J101" i="21"/>
  <c r="N12" i="21"/>
  <c r="J51" i="21"/>
  <c r="J84" i="21"/>
  <c r="J75" i="21"/>
  <c r="J94" i="21"/>
  <c r="J28" i="21"/>
  <c r="H28" i="21"/>
  <c r="J78" i="21"/>
  <c r="N16" i="6"/>
  <c r="H22" i="6"/>
  <c r="N198" i="3"/>
  <c r="H310" i="3"/>
  <c r="L198" i="3"/>
  <c r="D310" i="3"/>
  <c r="V198" i="3"/>
  <c r="P27" i="53"/>
  <c r="X18" i="53"/>
  <c r="N18" i="53"/>
  <c r="H27" i="53"/>
  <c r="D27" i="25"/>
  <c r="L18" i="25"/>
  <c r="X18" i="17"/>
  <c r="P27" i="17"/>
  <c r="T27" i="28"/>
  <c r="Z18" i="28"/>
  <c r="H27" i="16"/>
  <c r="N18" i="16"/>
  <c r="H27" i="14"/>
  <c r="N18" i="14"/>
  <c r="T27" i="4"/>
  <c r="Z18" i="4"/>
  <c r="D27" i="5"/>
  <c r="L18" i="5"/>
  <c r="X16" i="107"/>
  <c r="P24" i="107"/>
  <c r="Z21" i="106"/>
  <c r="T85" i="106"/>
  <c r="T67" i="94"/>
  <c r="H95" i="92"/>
  <c r="R79" i="88"/>
  <c r="R71" i="88"/>
  <c r="R67" i="88"/>
  <c r="R52" i="88"/>
  <c r="R51" i="88"/>
  <c r="R81" i="88"/>
  <c r="R43" i="88"/>
  <c r="R42" i="88"/>
  <c r="R34" i="88"/>
  <c r="R61" i="88"/>
  <c r="R54" i="88"/>
  <c r="R53" i="88"/>
  <c r="R29" i="88"/>
  <c r="R25" i="88"/>
  <c r="R63" i="88"/>
  <c r="R62" i="88"/>
  <c r="R30" i="88"/>
  <c r="R26" i="88"/>
  <c r="R74" i="88"/>
  <c r="R73" i="88"/>
  <c r="R69" i="88"/>
  <c r="R46" i="88"/>
  <c r="R45" i="88"/>
  <c r="R70" i="88"/>
  <c r="R59" i="88"/>
  <c r="R58" i="88"/>
  <c r="R39" i="88"/>
  <c r="R38" i="88"/>
  <c r="R23" i="88"/>
  <c r="R35" i="88"/>
  <c r="R24" i="88"/>
  <c r="R60" i="88"/>
  <c r="R44" i="88"/>
  <c r="R16" i="88"/>
  <c r="R85" i="88"/>
  <c r="R77" i="88"/>
  <c r="R72" i="88"/>
  <c r="R65" i="88"/>
  <c r="R55" i="88"/>
  <c r="R47" i="88"/>
  <c r="R36" i="88"/>
  <c r="R50" i="88"/>
  <c r="R31" i="88"/>
  <c r="R22" i="88"/>
  <c r="R68" i="88"/>
  <c r="R27" i="88"/>
  <c r="R75" i="88"/>
  <c r="R48" i="88"/>
  <c r="R37" i="88"/>
  <c r="R32" i="88"/>
  <c r="R76" i="88"/>
  <c r="R64" i="88"/>
  <c r="R40" i="88"/>
  <c r="R18" i="88"/>
  <c r="R57" i="88"/>
  <c r="R28" i="88"/>
  <c r="R33" i="88"/>
  <c r="R41" i="88"/>
  <c r="R56" i="88"/>
  <c r="R49" i="88"/>
  <c r="X12" i="88"/>
  <c r="Z12" i="88" s="1"/>
  <c r="R17" i="88"/>
  <c r="R78" i="88"/>
  <c r="P20" i="88"/>
  <c r="R20" i="88" s="1"/>
  <c r="R66" i="88"/>
  <c r="T30" i="86"/>
  <c r="V69" i="81"/>
  <c r="V57" i="81"/>
  <c r="V49" i="81"/>
  <c r="V37" i="81"/>
  <c r="V33" i="81"/>
  <c r="T20" i="81"/>
  <c r="V20" i="81" s="1"/>
  <c r="V64" i="81"/>
  <c r="V52" i="81"/>
  <c r="V40" i="81"/>
  <c r="V73" i="81"/>
  <c r="V71" i="81"/>
  <c r="V59" i="81"/>
  <c r="V51" i="81"/>
  <c r="V39" i="81"/>
  <c r="V58" i="81"/>
  <c r="V42" i="81"/>
  <c r="V34" i="81"/>
  <c r="V65" i="81"/>
  <c r="V61" i="81"/>
  <c r="V60" i="81"/>
  <c r="V44" i="81"/>
  <c r="V16" i="81"/>
  <c r="V77" i="81"/>
  <c r="V55" i="81"/>
  <c r="V43" i="81"/>
  <c r="V35" i="81"/>
  <c r="V66" i="81"/>
  <c r="V62" i="81"/>
  <c r="V54" i="81"/>
  <c r="V46" i="81"/>
  <c r="V30" i="81"/>
  <c r="V26" i="81"/>
  <c r="V70" i="81"/>
  <c r="V50" i="81"/>
  <c r="V38" i="81"/>
  <c r="V22" i="81"/>
  <c r="V18" i="81"/>
  <c r="V56" i="81"/>
  <c r="V28" i="81"/>
  <c r="V17" i="81"/>
  <c r="V67" i="81"/>
  <c r="V48" i="81"/>
  <c r="V41" i="81"/>
  <c r="V25" i="81"/>
  <c r="V29" i="81"/>
  <c r="V27" i="81"/>
  <c r="V23" i="81"/>
  <c r="X12" i="81"/>
  <c r="Z12" i="81" s="1"/>
  <c r="V68" i="81"/>
  <c r="V31" i="81"/>
  <c r="V53" i="81"/>
  <c r="V63" i="81"/>
  <c r="V36" i="81"/>
  <c r="V47" i="81"/>
  <c r="V45" i="81"/>
  <c r="V32" i="81"/>
  <c r="V24" i="81"/>
  <c r="J51" i="79"/>
  <c r="J41" i="79"/>
  <c r="J35" i="79"/>
  <c r="J31" i="79"/>
  <c r="J52" i="79"/>
  <c r="J42" i="79"/>
  <c r="J53" i="79"/>
  <c r="J43" i="79"/>
  <c r="J44" i="79"/>
  <c r="J36" i="79"/>
  <c r="J32" i="79"/>
  <c r="J18" i="79"/>
  <c r="J63" i="79"/>
  <c r="J45" i="79"/>
  <c r="J37" i="79"/>
  <c r="J23" i="79"/>
  <c r="J62" i="79"/>
  <c r="J54" i="79"/>
  <c r="J46" i="79"/>
  <c r="J67" i="79"/>
  <c r="J61" i="79"/>
  <c r="J55" i="79"/>
  <c r="J33" i="79"/>
  <c r="J29" i="79"/>
  <c r="J27" i="79"/>
  <c r="J60" i="79"/>
  <c r="J56" i="79"/>
  <c r="J59" i="79"/>
  <c r="J58" i="79"/>
  <c r="J48" i="79"/>
  <c r="J34" i="79"/>
  <c r="J30" i="79"/>
  <c r="J40" i="79"/>
  <c r="J38" i="79"/>
  <c r="J21" i="79"/>
  <c r="J49" i="79"/>
  <c r="J47" i="79"/>
  <c r="H25" i="79"/>
  <c r="J25" i="79" s="1"/>
  <c r="J22" i="79"/>
  <c r="J19" i="79"/>
  <c r="J39" i="79"/>
  <c r="J50" i="79"/>
  <c r="J28" i="79"/>
  <c r="J20" i="79"/>
  <c r="N12" i="79"/>
  <c r="R25" i="73"/>
  <c r="F74" i="74"/>
  <c r="F73" i="74"/>
  <c r="F87" i="74"/>
  <c r="F78" i="74"/>
  <c r="F77" i="74"/>
  <c r="F80" i="74"/>
  <c r="F79" i="74"/>
  <c r="F71" i="74"/>
  <c r="F67" i="74"/>
  <c r="F69" i="74"/>
  <c r="F68" i="74"/>
  <c r="F49" i="74"/>
  <c r="F45" i="74"/>
  <c r="F41" i="74"/>
  <c r="F37" i="74"/>
  <c r="F64" i="74"/>
  <c r="F63" i="74"/>
  <c r="L12" i="74"/>
  <c r="F84" i="74"/>
  <c r="F70" i="74"/>
  <c r="F59" i="74"/>
  <c r="F50" i="74"/>
  <c r="F46" i="74"/>
  <c r="F42" i="74"/>
  <c r="F38" i="74"/>
  <c r="F85" i="74"/>
  <c r="F65" i="74"/>
  <c r="F91" i="74"/>
  <c r="F81" i="74"/>
  <c r="F60" i="74"/>
  <c r="F56" i="74"/>
  <c r="F55" i="74"/>
  <c r="F54" i="74"/>
  <c r="F47" i="74"/>
  <c r="F43" i="74"/>
  <c r="F39" i="74"/>
  <c r="F82" i="74"/>
  <c r="F75" i="74"/>
  <c r="F61" i="74"/>
  <c r="F57" i="74"/>
  <c r="F58" i="74"/>
  <c r="F36" i="74"/>
  <c r="D52" i="74"/>
  <c r="F66" i="74"/>
  <c r="F62" i="74"/>
  <c r="F40" i="74"/>
  <c r="F83" i="74"/>
  <c r="F44" i="74"/>
  <c r="F72" i="74"/>
  <c r="F48" i="74"/>
  <c r="F76" i="74"/>
  <c r="F35" i="74"/>
  <c r="H61" i="68"/>
  <c r="N16" i="68"/>
  <c r="P61" i="68"/>
  <c r="X16" i="68"/>
  <c r="D49" i="60"/>
  <c r="L16" i="60"/>
  <c r="L33" i="55"/>
  <c r="N33" i="55" s="1"/>
  <c r="D37" i="55"/>
  <c r="H73" i="56"/>
  <c r="N16" i="56"/>
  <c r="T71" i="58"/>
  <c r="Z16" i="58"/>
  <c r="T51" i="61"/>
  <c r="Z16" i="61"/>
  <c r="D73" i="56"/>
  <c r="L16" i="56"/>
  <c r="D92" i="45"/>
  <c r="J108" i="42"/>
  <c r="J90" i="42"/>
  <c r="J78" i="42"/>
  <c r="J68" i="42"/>
  <c r="J58" i="42"/>
  <c r="J26" i="42"/>
  <c r="J109" i="42"/>
  <c r="J101" i="42"/>
  <c r="J97" i="42"/>
  <c r="J85" i="42"/>
  <c r="J79" i="42"/>
  <c r="J69" i="42"/>
  <c r="J49" i="42"/>
  <c r="J45" i="42"/>
  <c r="J86" i="42"/>
  <c r="J80" i="42"/>
  <c r="J50" i="42"/>
  <c r="J40" i="42"/>
  <c r="J36" i="42"/>
  <c r="J122" i="42"/>
  <c r="J91" i="42"/>
  <c r="J87" i="42"/>
  <c r="J59" i="42"/>
  <c r="J51" i="42"/>
  <c r="J27" i="42"/>
  <c r="J110" i="42"/>
  <c r="J102" i="42"/>
  <c r="J98" i="42"/>
  <c r="J92" i="42"/>
  <c r="J70" i="42"/>
  <c r="J60" i="42"/>
  <c r="J52" i="42"/>
  <c r="J46" i="42"/>
  <c r="J32" i="42"/>
  <c r="J93" i="42"/>
  <c r="J81" i="42"/>
  <c r="J71" i="42"/>
  <c r="J61" i="42"/>
  <c r="J53" i="42"/>
  <c r="J41" i="42"/>
  <c r="J37" i="42"/>
  <c r="J33" i="42"/>
  <c r="J88" i="42"/>
  <c r="J72" i="42"/>
  <c r="J62" i="42"/>
  <c r="J54" i="42"/>
  <c r="J111" i="42"/>
  <c r="J103" i="42"/>
  <c r="J99" i="42"/>
  <c r="J73" i="42"/>
  <c r="J63" i="42"/>
  <c r="J55" i="42"/>
  <c r="J47" i="42"/>
  <c r="J43" i="42"/>
  <c r="J118" i="42"/>
  <c r="J112" i="42"/>
  <c r="J104" i="42"/>
  <c r="J94" i="42"/>
  <c r="J82" i="42"/>
  <c r="J74" i="42"/>
  <c r="J64" i="42"/>
  <c r="J56" i="42"/>
  <c r="J38" i="42"/>
  <c r="J34" i="42"/>
  <c r="J116" i="42"/>
  <c r="J106" i="42"/>
  <c r="J100" i="42"/>
  <c r="J96" i="42"/>
  <c r="J84" i="42"/>
  <c r="J76" i="42"/>
  <c r="J66" i="42"/>
  <c r="J48" i="42"/>
  <c r="J44" i="42"/>
  <c r="N12" i="42"/>
  <c r="J57" i="42"/>
  <c r="J117" i="42"/>
  <c r="J107" i="42"/>
  <c r="J105" i="42"/>
  <c r="J83" i="42"/>
  <c r="H29" i="42"/>
  <c r="J115" i="42"/>
  <c r="J77" i="42"/>
  <c r="J42" i="42"/>
  <c r="J75" i="42"/>
  <c r="J67" i="42"/>
  <c r="J65" i="42"/>
  <c r="J35" i="42"/>
  <c r="J31" i="42"/>
  <c r="J25" i="42"/>
  <c r="J113" i="42"/>
  <c r="J95" i="42"/>
  <c r="J89" i="42"/>
  <c r="J39" i="42"/>
  <c r="P130" i="39"/>
  <c r="X36" i="39"/>
  <c r="Z36" i="39" s="1"/>
  <c r="D130" i="39"/>
  <c r="L36" i="39"/>
  <c r="L133" i="24"/>
  <c r="R223" i="15"/>
  <c r="R212" i="15"/>
  <c r="R211" i="15"/>
  <c r="R191" i="15"/>
  <c r="R183" i="15"/>
  <c r="R172" i="15"/>
  <c r="R171" i="15"/>
  <c r="R167" i="15"/>
  <c r="R163" i="15"/>
  <c r="P159" i="15"/>
  <c r="R256" i="15"/>
  <c r="R213" i="15"/>
  <c r="R202" i="15"/>
  <c r="R201" i="15"/>
  <c r="R177" i="15"/>
  <c r="R173" i="15"/>
  <c r="R255" i="15"/>
  <c r="R225" i="15"/>
  <c r="R224" i="15"/>
  <c r="R193" i="15"/>
  <c r="R192" i="15"/>
  <c r="R185" i="15"/>
  <c r="R184" i="15"/>
  <c r="R168" i="15"/>
  <c r="R164" i="15"/>
  <c r="R253" i="15"/>
  <c r="R252" i="15"/>
  <c r="R237" i="15"/>
  <c r="R221" i="15"/>
  <c r="R206" i="15"/>
  <c r="R205" i="15"/>
  <c r="R169" i="15"/>
  <c r="R165" i="15"/>
  <c r="R241" i="15"/>
  <c r="R240" i="15"/>
  <c r="R200" i="15"/>
  <c r="R176" i="15"/>
  <c r="R161" i="15"/>
  <c r="R159" i="15"/>
  <c r="R257" i="15"/>
  <c r="R249" i="15"/>
  <c r="R232" i="15"/>
  <c r="R222" i="15"/>
  <c r="R219" i="15"/>
  <c r="R208" i="15"/>
  <c r="R188" i="15"/>
  <c r="R179" i="15"/>
  <c r="R175" i="15"/>
  <c r="R162" i="15"/>
  <c r="R154" i="15"/>
  <c r="R137" i="15"/>
  <c r="R123" i="15"/>
  <c r="R120" i="15"/>
  <c r="R197" i="15"/>
  <c r="R126" i="15"/>
  <c r="R117" i="15"/>
  <c r="R114" i="15"/>
  <c r="R111" i="15"/>
  <c r="R108" i="15"/>
  <c r="R254" i="15"/>
  <c r="R246" i="15"/>
  <c r="R243" i="15"/>
  <c r="R238" i="15"/>
  <c r="R235" i="15"/>
  <c r="R220" i="15"/>
  <c r="R214" i="15"/>
  <c r="R157" i="15"/>
  <c r="R149" i="15"/>
  <c r="R135" i="15"/>
  <c r="R132" i="15"/>
  <c r="R129" i="15"/>
  <c r="R230" i="15"/>
  <c r="R227" i="15"/>
  <c r="R180" i="15"/>
  <c r="R152" i="15"/>
  <c r="R147" i="15"/>
  <c r="R138" i="15"/>
  <c r="R250" i="15"/>
  <c r="R236" i="15"/>
  <c r="R217" i="15"/>
  <c r="R209" i="15"/>
  <c r="R194" i="15"/>
  <c r="R155" i="15"/>
  <c r="R144" i="15"/>
  <c r="R141" i="15"/>
  <c r="R127" i="15"/>
  <c r="R124" i="15"/>
  <c r="R115" i="15"/>
  <c r="R203" i="15"/>
  <c r="R198" i="15"/>
  <c r="R186" i="15"/>
  <c r="R121" i="15"/>
  <c r="R118" i="15"/>
  <c r="R112" i="15"/>
  <c r="R251" i="15"/>
  <c r="R239" i="15"/>
  <c r="R244" i="15"/>
  <c r="R218" i="15"/>
  <c r="R215" i="15"/>
  <c r="R226" i="15"/>
  <c r="R207" i="15"/>
  <c r="R170" i="15"/>
  <c r="R136" i="15"/>
  <c r="X12" i="15"/>
  <c r="R228" i="15"/>
  <c r="R210" i="15"/>
  <c r="R187" i="15"/>
  <c r="R151" i="15"/>
  <c r="R134" i="15"/>
  <c r="R119" i="15"/>
  <c r="R113" i="15"/>
  <c r="R195" i="15"/>
  <c r="R153" i="15"/>
  <c r="R145" i="15"/>
  <c r="R143" i="15"/>
  <c r="R245" i="15"/>
  <c r="R174" i="15"/>
  <c r="R139" i="15"/>
  <c r="R204" i="15"/>
  <c r="R189" i="15"/>
  <c r="R125" i="15"/>
  <c r="R261" i="15"/>
  <c r="R181" i="15"/>
  <c r="R131" i="15"/>
  <c r="R216" i="15"/>
  <c r="R148" i="15"/>
  <c r="R116" i="15"/>
  <c r="R248" i="15"/>
  <c r="R234" i="15"/>
  <c r="R156" i="15"/>
  <c r="R150" i="15"/>
  <c r="R133" i="15"/>
  <c r="R110" i="15"/>
  <c r="R231" i="15"/>
  <c r="R178" i="15"/>
  <c r="R146" i="15"/>
  <c r="R122" i="15"/>
  <c r="R242" i="15"/>
  <c r="R166" i="15"/>
  <c r="R233" i="15"/>
  <c r="R199" i="15"/>
  <c r="R130" i="15"/>
  <c r="R128" i="15"/>
  <c r="R109" i="15"/>
  <c r="R107" i="15"/>
  <c r="R142" i="15"/>
  <c r="R196" i="15"/>
  <c r="R229" i="15"/>
  <c r="R190" i="15"/>
  <c r="R182" i="15"/>
  <c r="R140" i="15"/>
  <c r="J258" i="12"/>
  <c r="J254" i="12"/>
  <c r="J246" i="12"/>
  <c r="J236" i="12"/>
  <c r="J230" i="12"/>
  <c r="J218" i="12"/>
  <c r="J206" i="12"/>
  <c r="J182" i="12"/>
  <c r="J178" i="12"/>
  <c r="J257" i="12"/>
  <c r="J247" i="12"/>
  <c r="J241" i="12"/>
  <c r="J237" i="12"/>
  <c r="J225" i="12"/>
  <c r="J219" i="12"/>
  <c r="J207" i="12"/>
  <c r="J197" i="12"/>
  <c r="J189" i="12"/>
  <c r="J173" i="12"/>
  <c r="J169" i="12"/>
  <c r="J256" i="12"/>
  <c r="J248" i="12"/>
  <c r="J220" i="12"/>
  <c r="J208" i="12"/>
  <c r="J198" i="12"/>
  <c r="J190" i="12"/>
  <c r="J160" i="12"/>
  <c r="J156" i="12"/>
  <c r="J152" i="12"/>
  <c r="J148" i="12"/>
  <c r="J144" i="12"/>
  <c r="J140" i="12"/>
  <c r="J136" i="12"/>
  <c r="J132" i="12"/>
  <c r="J128" i="12"/>
  <c r="J124" i="12"/>
  <c r="J120" i="12"/>
  <c r="J116" i="12"/>
  <c r="J112" i="12"/>
  <c r="J249" i="12"/>
  <c r="J231" i="12"/>
  <c r="J209" i="12"/>
  <c r="J199" i="12"/>
  <c r="J191" i="12"/>
  <c r="J183" i="12"/>
  <c r="J179" i="12"/>
  <c r="J250" i="12"/>
  <c r="J242" i="12"/>
  <c r="J238" i="12"/>
  <c r="J226" i="12"/>
  <c r="J210" i="12"/>
  <c r="J200" i="12"/>
  <c r="J192" i="12"/>
  <c r="J174" i="12"/>
  <c r="J170" i="12"/>
  <c r="J265" i="12"/>
  <c r="J227" i="12"/>
  <c r="J221" i="12"/>
  <c r="J211" i="12"/>
  <c r="J201" i="12"/>
  <c r="J193" i="12"/>
  <c r="J161" i="12"/>
  <c r="J157" i="12"/>
  <c r="J153" i="12"/>
  <c r="J149" i="12"/>
  <c r="J145" i="12"/>
  <c r="J141" i="12"/>
  <c r="J137" i="12"/>
  <c r="J133" i="12"/>
  <c r="J129" i="12"/>
  <c r="J125" i="12"/>
  <c r="J121" i="12"/>
  <c r="J117" i="12"/>
  <c r="J113" i="12"/>
  <c r="J264" i="12"/>
  <c r="J232" i="12"/>
  <c r="J228" i="12"/>
  <c r="J212" i="12"/>
  <c r="J202" i="12"/>
  <c r="J184" i="12"/>
  <c r="J180" i="12"/>
  <c r="N12" i="12"/>
  <c r="J269" i="12"/>
  <c r="J263" i="12"/>
  <c r="J251" i="12"/>
  <c r="J243" i="12"/>
  <c r="J239" i="12"/>
  <c r="J233" i="12"/>
  <c r="J213" i="12"/>
  <c r="J203" i="12"/>
  <c r="J185" i="12"/>
  <c r="J175" i="12"/>
  <c r="J171" i="12"/>
  <c r="J262" i="12"/>
  <c r="J244" i="12"/>
  <c r="J234" i="12"/>
  <c r="J222" i="12"/>
  <c r="J214" i="12"/>
  <c r="J204" i="12"/>
  <c r="J194" i="12"/>
  <c r="J186" i="12"/>
  <c r="J162" i="12"/>
  <c r="J158" i="12"/>
  <c r="J154" i="12"/>
  <c r="J150" i="12"/>
  <c r="J146" i="12"/>
  <c r="J142" i="12"/>
  <c r="J138" i="12"/>
  <c r="J134" i="12"/>
  <c r="J130" i="12"/>
  <c r="J126" i="12"/>
  <c r="J122" i="12"/>
  <c r="J118" i="12"/>
  <c r="J114" i="12"/>
  <c r="J260" i="12"/>
  <c r="J252" i="12"/>
  <c r="J240" i="12"/>
  <c r="J224" i="12"/>
  <c r="J216" i="12"/>
  <c r="J196" i="12"/>
  <c r="J188" i="12"/>
  <c r="J176" i="12"/>
  <c r="J172" i="12"/>
  <c r="J168" i="12"/>
  <c r="J166" i="12"/>
  <c r="J110" i="12"/>
  <c r="J253" i="12"/>
  <c r="J177" i="12"/>
  <c r="H164" i="12"/>
  <c r="J164" i="12" s="1"/>
  <c r="J139" i="12"/>
  <c r="J167" i="12"/>
  <c r="J147" i="12"/>
  <c r="J119" i="12"/>
  <c r="J111" i="12"/>
  <c r="J229" i="12"/>
  <c r="J205" i="12"/>
  <c r="J127" i="12"/>
  <c r="J217" i="12"/>
  <c r="J181" i="12"/>
  <c r="J135" i="12"/>
  <c r="J215" i="12"/>
  <c r="J159" i="12"/>
  <c r="J151" i="12"/>
  <c r="J245" i="12"/>
  <c r="J143" i="12"/>
  <c r="J261" i="12"/>
  <c r="J235" i="12"/>
  <c r="J187" i="12"/>
  <c r="J123" i="12"/>
  <c r="J115" i="12"/>
  <c r="J223" i="12"/>
  <c r="J259" i="12"/>
  <c r="J195" i="12"/>
  <c r="J131" i="12"/>
  <c r="J155" i="12"/>
  <c r="L18" i="53"/>
  <c r="D27" i="53"/>
  <c r="L18" i="52"/>
  <c r="D27" i="52"/>
  <c r="P27" i="50"/>
  <c r="X18" i="50"/>
  <c r="P27" i="44"/>
  <c r="X18" i="44"/>
  <c r="L18" i="50"/>
  <c r="D27" i="50"/>
  <c r="X18" i="26"/>
  <c r="P27" i="26"/>
  <c r="H27" i="32"/>
  <c r="N18" i="32"/>
  <c r="H27" i="19"/>
  <c r="N18" i="19"/>
  <c r="T27" i="16"/>
  <c r="Z18" i="16"/>
  <c r="H27" i="5"/>
  <c r="N18" i="5"/>
  <c r="D37" i="109"/>
  <c r="L16" i="109"/>
  <c r="R36" i="105"/>
  <c r="R35" i="105"/>
  <c r="R28" i="105"/>
  <c r="R27" i="105"/>
  <c r="R18" i="105"/>
  <c r="R45" i="105"/>
  <c r="R38" i="105"/>
  <c r="R37" i="105"/>
  <c r="R29" i="105"/>
  <c r="R47" i="105"/>
  <c r="R46" i="105"/>
  <c r="R30" i="105"/>
  <c r="R23" i="105"/>
  <c r="R42" i="105"/>
  <c r="R41" i="105"/>
  <c r="R25" i="105"/>
  <c r="P21" i="105"/>
  <c r="R48" i="105"/>
  <c r="R54" i="105"/>
  <c r="R44" i="105"/>
  <c r="R40" i="105"/>
  <c r="R33" i="105"/>
  <c r="R31" i="105"/>
  <c r="R34" i="105"/>
  <c r="R26" i="105"/>
  <c r="R24" i="105"/>
  <c r="R43" i="105"/>
  <c r="R19" i="105"/>
  <c r="R50" i="105"/>
  <c r="R39" i="105"/>
  <c r="R32" i="105"/>
  <c r="R17" i="105"/>
  <c r="X12" i="105"/>
  <c r="H82" i="102"/>
  <c r="V62" i="101"/>
  <c r="H21" i="83"/>
  <c r="J21" i="83" s="1"/>
  <c r="J27" i="83"/>
  <c r="J31" i="83"/>
  <c r="N12" i="83"/>
  <c r="J17" i="83"/>
  <c r="J18" i="83"/>
  <c r="J25" i="83"/>
  <c r="J23" i="83"/>
  <c r="J24" i="83"/>
  <c r="J19" i="83"/>
  <c r="H75" i="81"/>
  <c r="P120" i="85"/>
  <c r="X57" i="85"/>
  <c r="R57" i="85"/>
  <c r="L107" i="75"/>
  <c r="P65" i="79"/>
  <c r="X25" i="79"/>
  <c r="L16" i="64"/>
  <c r="D95" i="64"/>
  <c r="F121" i="69"/>
  <c r="F116" i="69"/>
  <c r="F107" i="69"/>
  <c r="F99" i="69"/>
  <c r="F98" i="69"/>
  <c r="F83" i="69"/>
  <c r="F82" i="69"/>
  <c r="F90" i="69"/>
  <c r="F89" i="69"/>
  <c r="F78" i="69"/>
  <c r="F74" i="69"/>
  <c r="F73" i="69"/>
  <c r="F109" i="69"/>
  <c r="F108" i="69"/>
  <c r="F101" i="69"/>
  <c r="F100" i="69"/>
  <c r="F72" i="69"/>
  <c r="F65" i="69"/>
  <c r="F61" i="69"/>
  <c r="F57" i="69"/>
  <c r="F53" i="69"/>
  <c r="F49" i="69"/>
  <c r="F48" i="69"/>
  <c r="F92" i="69"/>
  <c r="F91" i="69"/>
  <c r="F84" i="69"/>
  <c r="D70" i="69"/>
  <c r="L12" i="69"/>
  <c r="N12" i="69" s="1"/>
  <c r="F103" i="69"/>
  <c r="F102" i="69"/>
  <c r="F79" i="69"/>
  <c r="F75" i="69"/>
  <c r="F110" i="69"/>
  <c r="F66" i="69"/>
  <c r="F62" i="69"/>
  <c r="F58" i="69"/>
  <c r="F54" i="69"/>
  <c r="F50" i="69"/>
  <c r="F93" i="69"/>
  <c r="F85" i="69"/>
  <c r="F112" i="69"/>
  <c r="F111" i="69"/>
  <c r="F104" i="69"/>
  <c r="F80" i="69"/>
  <c r="F76" i="69"/>
  <c r="F95" i="69"/>
  <c r="F94" i="69"/>
  <c r="F67" i="69"/>
  <c r="F63" i="69"/>
  <c r="F59" i="69"/>
  <c r="F55" i="69"/>
  <c r="F51" i="69"/>
  <c r="F97" i="69"/>
  <c r="F96" i="69"/>
  <c r="F81" i="69"/>
  <c r="F77" i="69"/>
  <c r="F86" i="69"/>
  <c r="F56" i="69"/>
  <c r="F114" i="69"/>
  <c r="F106" i="69"/>
  <c r="F117" i="69"/>
  <c r="F60" i="69"/>
  <c r="F87" i="69"/>
  <c r="F52" i="69"/>
  <c r="F105" i="69"/>
  <c r="F68" i="69"/>
  <c r="F113" i="69"/>
  <c r="F88" i="69"/>
  <c r="F64" i="69"/>
  <c r="T70" i="80"/>
  <c r="T99" i="64"/>
  <c r="X16" i="58"/>
  <c r="X16" i="56"/>
  <c r="P73" i="56"/>
  <c r="H40" i="55"/>
  <c r="R91" i="51"/>
  <c r="R80" i="51"/>
  <c r="R79" i="51"/>
  <c r="R51" i="51"/>
  <c r="R47" i="51"/>
  <c r="R43" i="51"/>
  <c r="R39" i="51"/>
  <c r="R82" i="51"/>
  <c r="R81" i="51"/>
  <c r="R65" i="51"/>
  <c r="R61" i="51"/>
  <c r="R93" i="51"/>
  <c r="R92" i="51"/>
  <c r="R57" i="51"/>
  <c r="R52" i="51"/>
  <c r="R48" i="51"/>
  <c r="R44" i="51"/>
  <c r="R40" i="51"/>
  <c r="R84" i="51"/>
  <c r="R83" i="51"/>
  <c r="R95" i="51"/>
  <c r="R94" i="51"/>
  <c r="R104" i="51"/>
  <c r="R86" i="51"/>
  <c r="R85" i="51"/>
  <c r="R74" i="51"/>
  <c r="R73" i="51"/>
  <c r="R103" i="51"/>
  <c r="R97" i="51"/>
  <c r="R96" i="51"/>
  <c r="R68" i="51"/>
  <c r="X12" i="51"/>
  <c r="Z12" i="51" s="1"/>
  <c r="R102" i="51"/>
  <c r="R88" i="51"/>
  <c r="R87" i="51"/>
  <c r="R76" i="51"/>
  <c r="R75" i="51"/>
  <c r="R63" i="51"/>
  <c r="R59" i="51"/>
  <c r="R100" i="51"/>
  <c r="R90" i="51"/>
  <c r="R89" i="51"/>
  <c r="R78" i="51"/>
  <c r="R77" i="51"/>
  <c r="R69" i="51"/>
  <c r="R38" i="51"/>
  <c r="R67" i="51"/>
  <c r="R101" i="51"/>
  <c r="R98" i="51"/>
  <c r="R56" i="51"/>
  <c r="R50" i="51"/>
  <c r="R46" i="51"/>
  <c r="R72" i="51"/>
  <c r="R70" i="51"/>
  <c r="R42" i="51"/>
  <c r="R108" i="51"/>
  <c r="R54" i="51"/>
  <c r="P54" i="51"/>
  <c r="R66" i="51"/>
  <c r="R64" i="51"/>
  <c r="R45" i="51"/>
  <c r="R71" i="51"/>
  <c r="R41" i="51"/>
  <c r="R58" i="51"/>
  <c r="R60" i="51"/>
  <c r="R62" i="51"/>
  <c r="R49" i="51"/>
  <c r="L12" i="42"/>
  <c r="V110" i="42"/>
  <c r="V102" i="42"/>
  <c r="V98" i="42"/>
  <c r="V70" i="42"/>
  <c r="V62" i="42"/>
  <c r="V54" i="42"/>
  <c r="V46" i="42"/>
  <c r="V42" i="42"/>
  <c r="T29" i="42"/>
  <c r="V93" i="42"/>
  <c r="V81" i="42"/>
  <c r="V73" i="42"/>
  <c r="V61" i="42"/>
  <c r="V53" i="42"/>
  <c r="V41" i="42"/>
  <c r="V37" i="42"/>
  <c r="V33" i="42"/>
  <c r="V118" i="42"/>
  <c r="V112" i="42"/>
  <c r="V104" i="42"/>
  <c r="V88" i="42"/>
  <c r="V72" i="42"/>
  <c r="V64" i="42"/>
  <c r="V56" i="42"/>
  <c r="V117" i="42"/>
  <c r="V111" i="42"/>
  <c r="V103" i="42"/>
  <c r="V99" i="42"/>
  <c r="V95" i="42"/>
  <c r="V83" i="42"/>
  <c r="V75" i="42"/>
  <c r="V63" i="42"/>
  <c r="V55" i="42"/>
  <c r="V47" i="42"/>
  <c r="V43" i="42"/>
  <c r="V116" i="42"/>
  <c r="V106" i="42"/>
  <c r="V94" i="42"/>
  <c r="V82" i="42"/>
  <c r="V74" i="42"/>
  <c r="V66" i="42"/>
  <c r="V38" i="42"/>
  <c r="V34" i="42"/>
  <c r="V115" i="42"/>
  <c r="V113" i="42"/>
  <c r="V105" i="42"/>
  <c r="V89" i="42"/>
  <c r="V77" i="42"/>
  <c r="V65" i="42"/>
  <c r="V57" i="42"/>
  <c r="V108" i="42"/>
  <c r="V100" i="42"/>
  <c r="V96" i="42"/>
  <c r="V84" i="42"/>
  <c r="V76" i="42"/>
  <c r="V68" i="42"/>
  <c r="V107" i="42"/>
  <c r="V79" i="42"/>
  <c r="V67" i="42"/>
  <c r="V39" i="42"/>
  <c r="V35" i="42"/>
  <c r="V90" i="42"/>
  <c r="V86" i="42"/>
  <c r="V78" i="42"/>
  <c r="V58" i="42"/>
  <c r="V50" i="42"/>
  <c r="V26" i="42"/>
  <c r="V92" i="42"/>
  <c r="V80" i="42"/>
  <c r="V60" i="42"/>
  <c r="V52" i="42"/>
  <c r="V40" i="42"/>
  <c r="V36" i="42"/>
  <c r="V32" i="42"/>
  <c r="V97" i="42"/>
  <c r="V59" i="42"/>
  <c r="V45" i="42"/>
  <c r="V29" i="42"/>
  <c r="V122" i="42"/>
  <c r="V109" i="42"/>
  <c r="V31" i="42"/>
  <c r="V25" i="42"/>
  <c r="V85" i="42"/>
  <c r="V69" i="42"/>
  <c r="V44" i="42"/>
  <c r="V87" i="42"/>
  <c r="V71" i="42"/>
  <c r="V49" i="42"/>
  <c r="V27" i="42"/>
  <c r="V101" i="42"/>
  <c r="V51" i="42"/>
  <c r="V91" i="42"/>
  <c r="V48" i="42"/>
  <c r="Z12" i="42"/>
  <c r="X113" i="27"/>
  <c r="Z113" i="27" s="1"/>
  <c r="L273" i="18"/>
  <c r="X12" i="27"/>
  <c r="Z12" i="27" s="1"/>
  <c r="J250" i="15"/>
  <c r="J246" i="15"/>
  <c r="J238" i="15"/>
  <c r="J228" i="15"/>
  <c r="J222" i="15"/>
  <c r="J216" i="15"/>
  <c r="J208" i="15"/>
  <c r="J198" i="15"/>
  <c r="J180" i="15"/>
  <c r="J170" i="15"/>
  <c r="J166" i="15"/>
  <c r="J248" i="15"/>
  <c r="J240" i="15"/>
  <c r="J210" i="15"/>
  <c r="J200" i="15"/>
  <c r="J190" i="15"/>
  <c r="J182" i="15"/>
  <c r="J176" i="15"/>
  <c r="J162" i="15"/>
  <c r="J241" i="15"/>
  <c r="J223" i="15"/>
  <c r="J211" i="15"/>
  <c r="J191" i="15"/>
  <c r="J183" i="15"/>
  <c r="J171" i="15"/>
  <c r="J167" i="15"/>
  <c r="J163" i="15"/>
  <c r="J161" i="15"/>
  <c r="J257" i="15"/>
  <c r="J256" i="15"/>
  <c r="J224" i="15"/>
  <c r="J202" i="15"/>
  <c r="J192" i="15"/>
  <c r="J184" i="15"/>
  <c r="J168" i="15"/>
  <c r="J164" i="15"/>
  <c r="J251" i="15"/>
  <c r="J245" i="15"/>
  <c r="J227" i="15"/>
  <c r="J215" i="15"/>
  <c r="J207" i="15"/>
  <c r="J197" i="15"/>
  <c r="J179" i="15"/>
  <c r="J175" i="15"/>
  <c r="J252" i="15"/>
  <c r="J242" i="15"/>
  <c r="J234" i="15"/>
  <c r="J156" i="15"/>
  <c r="J131" i="15"/>
  <c r="J128" i="15"/>
  <c r="J113" i="15"/>
  <c r="J110" i="15"/>
  <c r="J261" i="15"/>
  <c r="J229" i="15"/>
  <c r="J193" i="15"/>
  <c r="J151" i="15"/>
  <c r="J134" i="15"/>
  <c r="J107" i="15"/>
  <c r="J249" i="15"/>
  <c r="J205" i="15"/>
  <c r="J196" i="15"/>
  <c r="J185" i="15"/>
  <c r="J177" i="15"/>
  <c r="J173" i="15"/>
  <c r="J146" i="15"/>
  <c r="J143" i="15"/>
  <c r="J140" i="15"/>
  <c r="J137" i="15"/>
  <c r="J253" i="15"/>
  <c r="J232" i="15"/>
  <c r="J219" i="15"/>
  <c r="J188" i="15"/>
  <c r="J154" i="15"/>
  <c r="J126" i="15"/>
  <c r="J123" i="15"/>
  <c r="J120" i="15"/>
  <c r="J117" i="15"/>
  <c r="J114" i="15"/>
  <c r="J214" i="15"/>
  <c r="J149" i="15"/>
  <c r="J129" i="15"/>
  <c r="J111" i="15"/>
  <c r="J108" i="15"/>
  <c r="J254" i="15"/>
  <c r="J243" i="15"/>
  <c r="J235" i="15"/>
  <c r="J230" i="15"/>
  <c r="J220" i="15"/>
  <c r="J212" i="15"/>
  <c r="J157" i="15"/>
  <c r="J135" i="15"/>
  <c r="J132" i="15"/>
  <c r="J255" i="15"/>
  <c r="J239" i="15"/>
  <c r="J233" i="15"/>
  <c r="J194" i="15"/>
  <c r="J244" i="15"/>
  <c r="J237" i="15"/>
  <c r="J199" i="15"/>
  <c r="J138" i="15"/>
  <c r="J130" i="15"/>
  <c r="J109" i="15"/>
  <c r="J226" i="15"/>
  <c r="J217" i="15"/>
  <c r="J172" i="15"/>
  <c r="J203" i="15"/>
  <c r="J201" i="15"/>
  <c r="J155" i="15"/>
  <c r="J147" i="15"/>
  <c r="J136" i="15"/>
  <c r="J121" i="15"/>
  <c r="J115" i="15"/>
  <c r="N12" i="15"/>
  <c r="J221" i="15"/>
  <c r="J165" i="15"/>
  <c r="J153" i="15"/>
  <c r="J141" i="15"/>
  <c r="J119" i="15"/>
  <c r="J187" i="15"/>
  <c r="J174" i="15"/>
  <c r="J145" i="15"/>
  <c r="J225" i="15"/>
  <c r="J206" i="15"/>
  <c r="J195" i="15"/>
  <c r="J189" i="15"/>
  <c r="J139" i="15"/>
  <c r="J127" i="15"/>
  <c r="J125" i="15"/>
  <c r="J236" i="15"/>
  <c r="J204" i="15"/>
  <c r="J181" i="15"/>
  <c r="J169" i="15"/>
  <c r="J178" i="15"/>
  <c r="H159" i="15"/>
  <c r="J144" i="15"/>
  <c r="J124" i="15"/>
  <c r="J122" i="15"/>
  <c r="J231" i="15"/>
  <c r="J213" i="15"/>
  <c r="J209" i="15"/>
  <c r="J186" i="15"/>
  <c r="J142" i="15"/>
  <c r="J152" i="15"/>
  <c r="J118" i="15"/>
  <c r="J218" i="15"/>
  <c r="J133" i="15"/>
  <c r="J112" i="15"/>
  <c r="J148" i="15"/>
  <c r="J150" i="15"/>
  <c r="J116" i="15"/>
  <c r="F198" i="3"/>
  <c r="L18" i="49"/>
  <c r="D27" i="49"/>
  <c r="H27" i="49"/>
  <c r="N18" i="49"/>
  <c r="N18" i="46"/>
  <c r="H27" i="46"/>
  <c r="T27" i="43"/>
  <c r="Z18" i="43"/>
  <c r="L18" i="40"/>
  <c r="D27" i="40"/>
  <c r="X18" i="34"/>
  <c r="P27" i="34"/>
  <c r="H27" i="35"/>
  <c r="N18" i="35"/>
  <c r="H27" i="34"/>
  <c r="N18" i="34"/>
  <c r="T27" i="32"/>
  <c r="Z18" i="32"/>
  <c r="X18" i="25"/>
  <c r="P27" i="25"/>
  <c r="L18" i="16"/>
  <c r="D27" i="16"/>
  <c r="Z18" i="14"/>
  <c r="T27" i="14"/>
  <c r="T27" i="13"/>
  <c r="Z18" i="13"/>
  <c r="H27" i="11"/>
  <c r="N18" i="11"/>
  <c r="T24" i="107"/>
  <c r="Z16" i="107"/>
  <c r="P84" i="104"/>
  <c r="X22" i="104"/>
  <c r="R19" i="99"/>
  <c r="V78" i="96"/>
  <c r="V74" i="96"/>
  <c r="V58" i="96"/>
  <c r="V46" i="96"/>
  <c r="V22" i="96"/>
  <c r="V18" i="96"/>
  <c r="V81" i="96"/>
  <c r="V69" i="96"/>
  <c r="V57" i="96"/>
  <c r="V37" i="96"/>
  <c r="V33" i="96"/>
  <c r="T20" i="96"/>
  <c r="V80" i="96"/>
  <c r="V64" i="96"/>
  <c r="V48" i="96"/>
  <c r="V28" i="96"/>
  <c r="V24" i="96"/>
  <c r="V83" i="96"/>
  <c r="V75" i="96"/>
  <c r="V71" i="96"/>
  <c r="V82" i="96"/>
  <c r="V70" i="96"/>
  <c r="V50" i="96"/>
  <c r="V38" i="96"/>
  <c r="V34" i="96"/>
  <c r="V87" i="96"/>
  <c r="V65" i="96"/>
  <c r="V49" i="96"/>
  <c r="V41" i="96"/>
  <c r="V29" i="96"/>
  <c r="V25" i="96"/>
  <c r="V86" i="96"/>
  <c r="V84" i="96"/>
  <c r="V76" i="96"/>
  <c r="V72" i="96"/>
  <c r="V60" i="96"/>
  <c r="V52" i="96"/>
  <c r="V40" i="96"/>
  <c r="V16" i="96"/>
  <c r="V51" i="96"/>
  <c r="V43" i="96"/>
  <c r="V35" i="96"/>
  <c r="V68" i="96"/>
  <c r="V56" i="96"/>
  <c r="V44" i="96"/>
  <c r="V36" i="96"/>
  <c r="V32" i="96"/>
  <c r="Z12" i="96"/>
  <c r="V79" i="96"/>
  <c r="V67" i="96"/>
  <c r="V63" i="96"/>
  <c r="V55" i="96"/>
  <c r="V31" i="96"/>
  <c r="V27" i="96"/>
  <c r="V23" i="96"/>
  <c r="V47" i="96"/>
  <c r="V59" i="96"/>
  <c r="V53" i="96"/>
  <c r="V66" i="96"/>
  <c r="V17" i="96"/>
  <c r="V77" i="96"/>
  <c r="V61" i="96"/>
  <c r="V26" i="96"/>
  <c r="V54" i="96"/>
  <c r="V42" i="96"/>
  <c r="V30" i="96"/>
  <c r="V91" i="96"/>
  <c r="V39" i="96"/>
  <c r="V73" i="96"/>
  <c r="V62" i="96"/>
  <c r="V45" i="96"/>
  <c r="P89" i="96"/>
  <c r="J70" i="93"/>
  <c r="J60" i="93"/>
  <c r="J52" i="93"/>
  <c r="J71" i="93"/>
  <c r="J73" i="93"/>
  <c r="J61" i="93"/>
  <c r="J56" i="93"/>
  <c r="J46" i="93"/>
  <c r="J79" i="93"/>
  <c r="J57" i="93"/>
  <c r="J47" i="93"/>
  <c r="J36" i="93"/>
  <c r="N12" i="93"/>
  <c r="J64" i="93"/>
  <c r="J42" i="93"/>
  <c r="J31" i="93"/>
  <c r="J27" i="93"/>
  <c r="J17" i="93"/>
  <c r="J43" i="93"/>
  <c r="J32" i="93"/>
  <c r="J18" i="93"/>
  <c r="J67" i="93"/>
  <c r="J59" i="93"/>
  <c r="J55" i="93"/>
  <c r="J37" i="93"/>
  <c r="J33" i="93"/>
  <c r="J23" i="93"/>
  <c r="J65" i="93"/>
  <c r="J62" i="93"/>
  <c r="J53" i="93"/>
  <c r="J49" i="93"/>
  <c r="H20" i="93"/>
  <c r="J75" i="93"/>
  <c r="J45" i="93"/>
  <c r="J38" i="93"/>
  <c r="J34" i="93"/>
  <c r="J68" i="93"/>
  <c r="J29" i="93"/>
  <c r="J25" i="93"/>
  <c r="J66" i="93"/>
  <c r="J54" i="93"/>
  <c r="J40" i="93"/>
  <c r="J30" i="93"/>
  <c r="J26" i="93"/>
  <c r="J69" i="93"/>
  <c r="J58" i="93"/>
  <c r="J51" i="93"/>
  <c r="J41" i="93"/>
  <c r="J48" i="93"/>
  <c r="J39" i="93"/>
  <c r="J24" i="93"/>
  <c r="J22" i="93"/>
  <c r="J72" i="93"/>
  <c r="J50" i="93"/>
  <c r="J44" i="93"/>
  <c r="J28" i="93"/>
  <c r="J35" i="93"/>
  <c r="J20" i="93"/>
  <c r="J63" i="93"/>
  <c r="V20" i="93"/>
  <c r="D91" i="92"/>
  <c r="L16" i="92"/>
  <c r="L18" i="86"/>
  <c r="N18" i="86" s="1"/>
  <c r="H85" i="84"/>
  <c r="F64" i="89"/>
  <c r="F57" i="89"/>
  <c r="F56" i="89"/>
  <c r="F49" i="89"/>
  <c r="F48" i="89"/>
  <c r="F37" i="89"/>
  <c r="F33" i="89"/>
  <c r="F32" i="89"/>
  <c r="F65" i="89"/>
  <c r="F62" i="89"/>
  <c r="F28" i="89"/>
  <c r="F24" i="89"/>
  <c r="F23" i="89"/>
  <c r="F71" i="89"/>
  <c r="F51" i="89"/>
  <c r="F50" i="89"/>
  <c r="F39" i="89"/>
  <c r="F38" i="89"/>
  <c r="F22" i="89"/>
  <c r="F20" i="89"/>
  <c r="F58" i="89"/>
  <c r="F34" i="89"/>
  <c r="D20" i="89"/>
  <c r="F66" i="89"/>
  <c r="F53" i="89"/>
  <c r="F52" i="89"/>
  <c r="F41" i="89"/>
  <c r="F40" i="89"/>
  <c r="F60" i="89"/>
  <c r="F43" i="89"/>
  <c r="F42" i="89"/>
  <c r="F35" i="89"/>
  <c r="F54" i="89"/>
  <c r="F30" i="89"/>
  <c r="F26" i="89"/>
  <c r="F75" i="89"/>
  <c r="F69" i="89"/>
  <c r="F68" i="89"/>
  <c r="F61" i="89"/>
  <c r="F36" i="89"/>
  <c r="F55" i="89"/>
  <c r="F47" i="89"/>
  <c r="F46" i="89"/>
  <c r="F31" i="89"/>
  <c r="F27" i="89"/>
  <c r="F59" i="89"/>
  <c r="F63" i="89"/>
  <c r="F16" i="89"/>
  <c r="F67" i="89"/>
  <c r="F44" i="89"/>
  <c r="F17" i="89"/>
  <c r="L12" i="89"/>
  <c r="F45" i="89"/>
  <c r="F25" i="89"/>
  <c r="F18" i="89"/>
  <c r="F29" i="89"/>
  <c r="Z54" i="77"/>
  <c r="T106" i="77"/>
  <c r="V61" i="79"/>
  <c r="V55" i="79"/>
  <c r="V27" i="79"/>
  <c r="V23" i="79"/>
  <c r="V60" i="79"/>
  <c r="V54" i="79"/>
  <c r="V46" i="79"/>
  <c r="V67" i="79"/>
  <c r="V59" i="79"/>
  <c r="V33" i="79"/>
  <c r="V29" i="79"/>
  <c r="V58" i="79"/>
  <c r="V56" i="79"/>
  <c r="V48" i="79"/>
  <c r="V20" i="79"/>
  <c r="V47" i="79"/>
  <c r="V39" i="79"/>
  <c r="V50" i="79"/>
  <c r="V49" i="79"/>
  <c r="V41" i="79"/>
  <c r="V21" i="79"/>
  <c r="V52" i="79"/>
  <c r="V40" i="79"/>
  <c r="V51" i="79"/>
  <c r="V42" i="79"/>
  <c r="V22" i="79"/>
  <c r="V18" i="79"/>
  <c r="V63" i="79"/>
  <c r="V31" i="79"/>
  <c r="T25" i="79"/>
  <c r="V25" i="79" s="1"/>
  <c r="V19" i="79"/>
  <c r="V53" i="79"/>
  <c r="V37" i="79"/>
  <c r="V35" i="79"/>
  <c r="V62" i="79"/>
  <c r="V28" i="79"/>
  <c r="V44" i="79"/>
  <c r="Z12" i="79"/>
  <c r="V30" i="79"/>
  <c r="V32" i="79"/>
  <c r="V43" i="79"/>
  <c r="V34" i="79"/>
  <c r="V36" i="79"/>
  <c r="V45" i="79"/>
  <c r="V38" i="79"/>
  <c r="X71" i="58"/>
  <c r="P75" i="58"/>
  <c r="Z66" i="48"/>
  <c r="V66" i="48"/>
  <c r="R122" i="42"/>
  <c r="R92" i="42"/>
  <c r="R91" i="42"/>
  <c r="R87" i="42"/>
  <c r="R60" i="42"/>
  <c r="R59" i="42"/>
  <c r="R52" i="42"/>
  <c r="R51" i="42"/>
  <c r="R32" i="42"/>
  <c r="R27" i="42"/>
  <c r="R110" i="42"/>
  <c r="R102" i="42"/>
  <c r="R98" i="42"/>
  <c r="R71" i="42"/>
  <c r="R70" i="42"/>
  <c r="R46" i="42"/>
  <c r="R93" i="42"/>
  <c r="R81" i="42"/>
  <c r="R62" i="42"/>
  <c r="R61" i="42"/>
  <c r="R54" i="42"/>
  <c r="R53" i="42"/>
  <c r="R42" i="42"/>
  <c r="R41" i="42"/>
  <c r="R37" i="42"/>
  <c r="R33" i="42"/>
  <c r="P29" i="42"/>
  <c r="R88" i="42"/>
  <c r="R73" i="42"/>
  <c r="R72" i="42"/>
  <c r="R118" i="42"/>
  <c r="R112" i="42"/>
  <c r="R111" i="42"/>
  <c r="R104" i="42"/>
  <c r="R103" i="42"/>
  <c r="R99" i="42"/>
  <c r="R64" i="42"/>
  <c r="R63" i="42"/>
  <c r="R56" i="42"/>
  <c r="R55" i="42"/>
  <c r="R47" i="42"/>
  <c r="R43" i="42"/>
  <c r="R117" i="42"/>
  <c r="R95" i="42"/>
  <c r="R94" i="42"/>
  <c r="R83" i="42"/>
  <c r="R82" i="42"/>
  <c r="R75" i="42"/>
  <c r="R74" i="42"/>
  <c r="R38" i="42"/>
  <c r="R34" i="42"/>
  <c r="R116" i="42"/>
  <c r="R113" i="42"/>
  <c r="R106" i="42"/>
  <c r="R105" i="42"/>
  <c r="R89" i="42"/>
  <c r="R66" i="42"/>
  <c r="R65" i="42"/>
  <c r="R57" i="42"/>
  <c r="R115" i="42"/>
  <c r="R100" i="42"/>
  <c r="R96" i="42"/>
  <c r="R84" i="42"/>
  <c r="R77" i="42"/>
  <c r="R76" i="42"/>
  <c r="R48" i="42"/>
  <c r="R44" i="42"/>
  <c r="R25" i="42"/>
  <c r="X12" i="42"/>
  <c r="R108" i="42"/>
  <c r="R107" i="42"/>
  <c r="R68" i="42"/>
  <c r="R67" i="42"/>
  <c r="R39" i="42"/>
  <c r="R35" i="42"/>
  <c r="R109" i="42"/>
  <c r="R101" i="42"/>
  <c r="R97" i="42"/>
  <c r="R86" i="42"/>
  <c r="R85" i="42"/>
  <c r="R69" i="42"/>
  <c r="R50" i="42"/>
  <c r="R49" i="42"/>
  <c r="R45" i="42"/>
  <c r="R36" i="42"/>
  <c r="R26" i="42"/>
  <c r="R79" i="42"/>
  <c r="R29" i="42"/>
  <c r="R90" i="42"/>
  <c r="R40" i="42"/>
  <c r="R58" i="42"/>
  <c r="R31" i="42"/>
  <c r="R80" i="42"/>
  <c r="R78" i="42"/>
  <c r="N118" i="36"/>
  <c r="R36" i="39"/>
  <c r="F36" i="39"/>
  <c r="X85" i="33"/>
  <c r="Z85" i="33" s="1"/>
  <c r="H118" i="27"/>
  <c r="D149" i="30"/>
  <c r="N273" i="18"/>
  <c r="H91" i="9"/>
  <c r="N16" i="9"/>
  <c r="T27" i="111"/>
  <c r="Z18" i="111"/>
  <c r="H27" i="50"/>
  <c r="N18" i="50"/>
  <c r="P27" i="41"/>
  <c r="X18" i="41"/>
  <c r="L18" i="26"/>
  <c r="D27" i="26"/>
  <c r="L18" i="7"/>
  <c r="D27" i="7"/>
  <c r="D27" i="8"/>
  <c r="L18" i="8"/>
  <c r="P27" i="5"/>
  <c r="X18" i="5"/>
  <c r="P37" i="109"/>
  <c r="X16" i="109"/>
  <c r="T85" i="108"/>
  <c r="H85" i="108"/>
  <c r="T47" i="99"/>
  <c r="Z19" i="99"/>
  <c r="P50" i="100"/>
  <c r="H84" i="98"/>
  <c r="H67" i="94"/>
  <c r="J20" i="94"/>
  <c r="F51" i="96"/>
  <c r="F50" i="96"/>
  <c r="F35" i="96"/>
  <c r="F87" i="96"/>
  <c r="F66" i="96"/>
  <c r="F42" i="96"/>
  <c r="F41" i="96"/>
  <c r="F30" i="96"/>
  <c r="F26" i="96"/>
  <c r="F91" i="96"/>
  <c r="F86" i="96"/>
  <c r="F77" i="96"/>
  <c r="F73" i="96"/>
  <c r="F61" i="96"/>
  <c r="F53" i="96"/>
  <c r="F52" i="96"/>
  <c r="F17" i="96"/>
  <c r="F16" i="96"/>
  <c r="F67" i="96"/>
  <c r="F63" i="96"/>
  <c r="F62" i="96"/>
  <c r="F55" i="96"/>
  <c r="F54" i="96"/>
  <c r="F31" i="96"/>
  <c r="F27" i="96"/>
  <c r="F78" i="96"/>
  <c r="F74" i="96"/>
  <c r="F46" i="96"/>
  <c r="F45" i="96"/>
  <c r="F18" i="96"/>
  <c r="F69" i="96"/>
  <c r="F68" i="96"/>
  <c r="F57" i="96"/>
  <c r="F56" i="96"/>
  <c r="F37" i="96"/>
  <c r="F33" i="96"/>
  <c r="F32" i="96"/>
  <c r="F80" i="96"/>
  <c r="F79" i="96"/>
  <c r="F64" i="96"/>
  <c r="F28" i="96"/>
  <c r="F24" i="96"/>
  <c r="F23" i="96"/>
  <c r="F65" i="96"/>
  <c r="F49" i="96"/>
  <c r="F48" i="96"/>
  <c r="F29" i="96"/>
  <c r="F25" i="96"/>
  <c r="F84" i="96"/>
  <c r="F83" i="96"/>
  <c r="F76" i="96"/>
  <c r="F72" i="96"/>
  <c r="F71" i="96"/>
  <c r="F60" i="96"/>
  <c r="F40" i="96"/>
  <c r="F39" i="96"/>
  <c r="L12" i="96"/>
  <c r="N12" i="96" s="1"/>
  <c r="F75" i="96"/>
  <c r="F47" i="96"/>
  <c r="F43" i="96"/>
  <c r="F59" i="96"/>
  <c r="F82" i="96"/>
  <c r="F70" i="96"/>
  <c r="F22" i="96"/>
  <c r="F81" i="96"/>
  <c r="F36" i="96"/>
  <c r="D20" i="96"/>
  <c r="F38" i="96"/>
  <c r="F44" i="96"/>
  <c r="F58" i="96"/>
  <c r="F20" i="96"/>
  <c r="F34" i="96"/>
  <c r="P73" i="89"/>
  <c r="R20" i="89"/>
  <c r="X21" i="83"/>
  <c r="Z21" i="83" s="1"/>
  <c r="P29" i="83"/>
  <c r="R20" i="84"/>
  <c r="N100" i="77"/>
  <c r="L12" i="79"/>
  <c r="X73" i="76"/>
  <c r="Z73" i="76" s="1"/>
  <c r="N16" i="64"/>
  <c r="H95" i="64"/>
  <c r="N16" i="60"/>
  <c r="H49" i="60"/>
  <c r="V112" i="71"/>
  <c r="D31" i="54"/>
  <c r="R54" i="48"/>
  <c r="R61" i="48"/>
  <c r="R60" i="48"/>
  <c r="R45" i="48"/>
  <c r="R44" i="48"/>
  <c r="R56" i="48"/>
  <c r="R55" i="48"/>
  <c r="R66" i="48"/>
  <c r="R40" i="48"/>
  <c r="R39" i="48"/>
  <c r="R27" i="48"/>
  <c r="R23" i="48"/>
  <c r="R53" i="48"/>
  <c r="R52" i="48"/>
  <c r="R29" i="48"/>
  <c r="R28" i="48"/>
  <c r="R24" i="48"/>
  <c r="R62" i="48"/>
  <c r="R34" i="48"/>
  <c r="R59" i="48"/>
  <c r="R31" i="48"/>
  <c r="R22" i="48"/>
  <c r="R51" i="48"/>
  <c r="R25" i="48"/>
  <c r="R15" i="48"/>
  <c r="R67" i="48"/>
  <c r="R48" i="48"/>
  <c r="R35" i="48"/>
  <c r="R72" i="48"/>
  <c r="R42" i="48"/>
  <c r="R41" i="48"/>
  <c r="R36" i="48"/>
  <c r="R20" i="48"/>
  <c r="R19" i="48"/>
  <c r="P17" i="48"/>
  <c r="R17" i="48" s="1"/>
  <c r="R68" i="48"/>
  <c r="R49" i="48"/>
  <c r="R32" i="48"/>
  <c r="R43" i="48"/>
  <c r="R33" i="48"/>
  <c r="R30" i="48"/>
  <c r="R50" i="48"/>
  <c r="R47" i="48"/>
  <c r="R37" i="48"/>
  <c r="R58" i="48"/>
  <c r="R46" i="48"/>
  <c r="R64" i="48"/>
  <c r="R38" i="48"/>
  <c r="R26" i="48"/>
  <c r="X12" i="48"/>
  <c r="Z12" i="48" s="1"/>
  <c r="R21" i="48"/>
  <c r="R63" i="48"/>
  <c r="R57" i="48"/>
  <c r="X22" i="54"/>
  <c r="P26" i="54"/>
  <c r="D120" i="42"/>
  <c r="L29" i="42"/>
  <c r="Z125" i="39"/>
  <c r="F96" i="27"/>
  <c r="F95" i="27"/>
  <c r="F72" i="27"/>
  <c r="F68" i="27"/>
  <c r="F64" i="27"/>
  <c r="F63" i="27"/>
  <c r="F120" i="27"/>
  <c r="F115" i="27"/>
  <c r="F78" i="27"/>
  <c r="F74" i="27"/>
  <c r="F73" i="27"/>
  <c r="D60" i="27"/>
  <c r="F60" i="27" s="1"/>
  <c r="F114" i="27"/>
  <c r="F97" i="27"/>
  <c r="F89" i="27"/>
  <c r="F88" i="27"/>
  <c r="F69" i="27"/>
  <c r="F65" i="27"/>
  <c r="F113" i="27"/>
  <c r="F104" i="27"/>
  <c r="F80" i="27"/>
  <c r="F79" i="27"/>
  <c r="F56" i="27"/>
  <c r="F52" i="27"/>
  <c r="F48" i="27"/>
  <c r="F44" i="27"/>
  <c r="F99" i="27"/>
  <c r="F98" i="27"/>
  <c r="F75" i="27"/>
  <c r="F106" i="27"/>
  <c r="F105" i="27"/>
  <c r="F90" i="27"/>
  <c r="F82" i="27"/>
  <c r="F81" i="27"/>
  <c r="F70" i="27"/>
  <c r="F66" i="27"/>
  <c r="F101" i="27"/>
  <c r="F100" i="27"/>
  <c r="F57" i="27"/>
  <c r="F53" i="27"/>
  <c r="F49" i="27"/>
  <c r="F45" i="27"/>
  <c r="F92" i="27"/>
  <c r="F91" i="27"/>
  <c r="F76" i="27"/>
  <c r="L12" i="27"/>
  <c r="N12" i="27" s="1"/>
  <c r="F107" i="27"/>
  <c r="F83" i="27"/>
  <c r="F71" i="27"/>
  <c r="F67" i="27"/>
  <c r="F102" i="27"/>
  <c r="F94" i="27"/>
  <c r="F93" i="27"/>
  <c r="F58" i="27"/>
  <c r="F54" i="27"/>
  <c r="F50" i="27"/>
  <c r="F46" i="27"/>
  <c r="F111" i="27"/>
  <c r="F116" i="27"/>
  <c r="F109" i="27"/>
  <c r="F86" i="27"/>
  <c r="F84" i="27"/>
  <c r="F55" i="27"/>
  <c r="F47" i="27"/>
  <c r="F42" i="27"/>
  <c r="F110" i="27"/>
  <c r="F77" i="27"/>
  <c r="F85" i="27"/>
  <c r="F51" i="27"/>
  <c r="F43" i="27"/>
  <c r="F103" i="27"/>
  <c r="F108" i="27"/>
  <c r="F62" i="27"/>
  <c r="F87" i="27"/>
  <c r="X133" i="24"/>
  <c r="V276" i="18"/>
  <c r="V270" i="18"/>
  <c r="V262" i="18"/>
  <c r="V246" i="18"/>
  <c r="V230" i="18"/>
  <c r="V222" i="18"/>
  <c r="V194" i="18"/>
  <c r="V190" i="18"/>
  <c r="V275" i="18"/>
  <c r="V269" i="18"/>
  <c r="V257" i="18"/>
  <c r="V253" i="18"/>
  <c r="V241" i="18"/>
  <c r="V233" i="18"/>
  <c r="V221" i="18"/>
  <c r="V213" i="18"/>
  <c r="V205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125" i="18"/>
  <c r="V274" i="18"/>
  <c r="V264" i="18"/>
  <c r="V252" i="18"/>
  <c r="V240" i="18"/>
  <c r="V232" i="18"/>
  <c r="V224" i="18"/>
  <c r="V204" i="18"/>
  <c r="V200" i="18"/>
  <c r="Z12" i="18"/>
  <c r="V285" i="18"/>
  <c r="V273" i="18"/>
  <c r="V271" i="18"/>
  <c r="V263" i="18"/>
  <c r="V247" i="18"/>
  <c r="V235" i="18"/>
  <c r="V223" i="18"/>
  <c r="V215" i="18"/>
  <c r="V207" i="18"/>
  <c r="V195" i="18"/>
  <c r="V191" i="18"/>
  <c r="V187" i="18"/>
  <c r="V284" i="18"/>
  <c r="V266" i="18"/>
  <c r="V258" i="18"/>
  <c r="V254" i="18"/>
  <c r="V242" i="18"/>
  <c r="V234" i="18"/>
  <c r="V214" i="18"/>
  <c r="V283" i="18"/>
  <c r="V265" i="18"/>
  <c r="V237" i="18"/>
  <c r="V225" i="18"/>
  <c r="V201" i="18"/>
  <c r="V197" i="18"/>
  <c r="T184" i="18"/>
  <c r="V282" i="18"/>
  <c r="V248" i="18"/>
  <c r="V236" i="18"/>
  <c r="V216" i="18"/>
  <c r="V208" i="18"/>
  <c r="V196" i="18"/>
  <c r="V192" i="18"/>
  <c r="V188" i="18"/>
  <c r="V289" i="18"/>
  <c r="V281" i="18"/>
  <c r="V267" i="18"/>
  <c r="V259" i="18"/>
  <c r="V255" i="18"/>
  <c r="V243" i="18"/>
  <c r="V227" i="18"/>
  <c r="V179" i="18"/>
  <c r="V175" i="18"/>
  <c r="V171" i="18"/>
  <c r="V167" i="18"/>
  <c r="V163" i="18"/>
  <c r="V159" i="18"/>
  <c r="V155" i="18"/>
  <c r="V151" i="18"/>
  <c r="V278" i="18"/>
  <c r="V268" i="18"/>
  <c r="V260" i="18"/>
  <c r="V256" i="18"/>
  <c r="V244" i="18"/>
  <c r="V228" i="18"/>
  <c r="V220" i="18"/>
  <c r="V212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128" i="18"/>
  <c r="V277" i="18"/>
  <c r="V251" i="18"/>
  <c r="V239" i="18"/>
  <c r="V231" i="18"/>
  <c r="V219" i="18"/>
  <c r="V211" i="18"/>
  <c r="V203" i="18"/>
  <c r="V199" i="18"/>
  <c r="V279" i="18"/>
  <c r="V202" i="18"/>
  <c r="V189" i="18"/>
  <c r="V174" i="18"/>
  <c r="V146" i="18"/>
  <c r="V139" i="18"/>
  <c r="V249" i="18"/>
  <c r="V229" i="18"/>
  <c r="V218" i="18"/>
  <c r="V206" i="18"/>
  <c r="V182" i="18"/>
  <c r="V178" i="18"/>
  <c r="V130" i="18"/>
  <c r="V193" i="18"/>
  <c r="V186" i="18"/>
  <c r="V162" i="18"/>
  <c r="V280" i="18"/>
  <c r="V150" i="18"/>
  <c r="V143" i="18"/>
  <c r="V134" i="18"/>
  <c r="V166" i="18"/>
  <c r="V127" i="18"/>
  <c r="V250" i="18"/>
  <c r="V226" i="18"/>
  <c r="V147" i="18"/>
  <c r="V138" i="18"/>
  <c r="V198" i="18"/>
  <c r="V170" i="18"/>
  <c r="V154" i="18"/>
  <c r="V131" i="18"/>
  <c r="V210" i="18"/>
  <c r="V184" i="18"/>
  <c r="V217" i="18"/>
  <c r="V158" i="18"/>
  <c r="V135" i="18"/>
  <c r="V238" i="18"/>
  <c r="V126" i="18"/>
  <c r="V245" i="18"/>
  <c r="V261" i="18"/>
  <c r="V142" i="18"/>
  <c r="V209" i="18"/>
  <c r="P91" i="9"/>
  <c r="X16" i="9"/>
  <c r="V256" i="15"/>
  <c r="V242" i="15"/>
  <c r="V234" i="15"/>
  <c r="V230" i="15"/>
  <c r="V218" i="15"/>
  <c r="V202" i="15"/>
  <c r="V154" i="15"/>
  <c r="V150" i="15"/>
  <c r="V146" i="15"/>
  <c r="V254" i="15"/>
  <c r="V236" i="15"/>
  <c r="V224" i="15"/>
  <c r="V220" i="15"/>
  <c r="V204" i="15"/>
  <c r="V192" i="15"/>
  <c r="V184" i="15"/>
  <c r="V168" i="15"/>
  <c r="V164" i="15"/>
  <c r="V261" i="15"/>
  <c r="V253" i="15"/>
  <c r="V243" i="15"/>
  <c r="V235" i="15"/>
  <c r="V231" i="15"/>
  <c r="V219" i="15"/>
  <c r="V203" i="15"/>
  <c r="V195" i="15"/>
  <c r="V187" i="15"/>
  <c r="V155" i="15"/>
  <c r="V151" i="15"/>
  <c r="V147" i="15"/>
  <c r="V143" i="15"/>
  <c r="V139" i="15"/>
  <c r="V135" i="15"/>
  <c r="V131" i="15"/>
  <c r="V127" i="15"/>
  <c r="V251" i="15"/>
  <c r="V245" i="15"/>
  <c r="V250" i="15"/>
  <c r="V244" i="15"/>
  <c r="V232" i="15"/>
  <c r="V228" i="15"/>
  <c r="V216" i="15"/>
  <c r="V208" i="15"/>
  <c r="V196" i="15"/>
  <c r="V188" i="15"/>
  <c r="V180" i="15"/>
  <c r="V156" i="15"/>
  <c r="V152" i="15"/>
  <c r="V148" i="15"/>
  <c r="V257" i="15"/>
  <c r="V223" i="15"/>
  <c r="V211" i="15"/>
  <c r="V191" i="15"/>
  <c r="V183" i="15"/>
  <c r="V171" i="15"/>
  <c r="V167" i="15"/>
  <c r="V163" i="15"/>
  <c r="V177" i="15"/>
  <c r="V173" i="15"/>
  <c r="V126" i="15"/>
  <c r="V117" i="15"/>
  <c r="V114" i="15"/>
  <c r="V111" i="15"/>
  <c r="V108" i="15"/>
  <c r="V246" i="15"/>
  <c r="V240" i="15"/>
  <c r="V238" i="15"/>
  <c r="V214" i="15"/>
  <c r="V206" i="15"/>
  <c r="V157" i="15"/>
  <c r="V149" i="15"/>
  <c r="V132" i="15"/>
  <c r="V129" i="15"/>
  <c r="V227" i="15"/>
  <c r="V225" i="15"/>
  <c r="V212" i="15"/>
  <c r="V138" i="15"/>
  <c r="V217" i="15"/>
  <c r="V209" i="15"/>
  <c r="V200" i="15"/>
  <c r="V194" i="15"/>
  <c r="V169" i="15"/>
  <c r="V144" i="15"/>
  <c r="V141" i="15"/>
  <c r="V124" i="15"/>
  <c r="V115" i="15"/>
  <c r="V255" i="15"/>
  <c r="V241" i="15"/>
  <c r="V239" i="15"/>
  <c r="V210" i="15"/>
  <c r="V198" i="15"/>
  <c r="V186" i="15"/>
  <c r="V165" i="15"/>
  <c r="V121" i="15"/>
  <c r="V118" i="15"/>
  <c r="V112" i="15"/>
  <c r="V233" i="15"/>
  <c r="V189" i="15"/>
  <c r="V178" i="15"/>
  <c r="V174" i="15"/>
  <c r="V130" i="15"/>
  <c r="V109" i="15"/>
  <c r="V252" i="15"/>
  <c r="V248" i="15"/>
  <c r="V237" i="15"/>
  <c r="V226" i="15"/>
  <c r="V134" i="15"/>
  <c r="V119" i="15"/>
  <c r="V113" i="15"/>
  <c r="V249" i="15"/>
  <c r="V221" i="15"/>
  <c r="V215" i="15"/>
  <c r="V201" i="15"/>
  <c r="V153" i="15"/>
  <c r="V145" i="15"/>
  <c r="V185" i="15"/>
  <c r="V161" i="15"/>
  <c r="V123" i="15"/>
  <c r="V193" i="15"/>
  <c r="V125" i="15"/>
  <c r="V181" i="15"/>
  <c r="V179" i="15"/>
  <c r="V162" i="15"/>
  <c r="V116" i="15"/>
  <c r="V176" i="15"/>
  <c r="V137" i="15"/>
  <c r="V133" i="15"/>
  <c r="V110" i="15"/>
  <c r="V190" i="15"/>
  <c r="V182" i="15"/>
  <c r="V159" i="15"/>
  <c r="V122" i="15"/>
  <c r="V120" i="15"/>
  <c r="V229" i="15"/>
  <c r="V222" i="15"/>
  <c r="T159" i="15"/>
  <c r="V142" i="15"/>
  <c r="V140" i="15"/>
  <c r="V128" i="15"/>
  <c r="V207" i="15"/>
  <c r="V205" i="15"/>
  <c r="V197" i="15"/>
  <c r="V175" i="15"/>
  <c r="V172" i="15"/>
  <c r="V170" i="15"/>
  <c r="V136" i="15"/>
  <c r="V213" i="15"/>
  <c r="V107" i="15"/>
  <c r="V199" i="15"/>
  <c r="V166" i="15"/>
  <c r="Z12" i="15"/>
  <c r="V264" i="12"/>
  <c r="V250" i="12"/>
  <c r="V242" i="12"/>
  <c r="V238" i="12"/>
  <c r="V226" i="12"/>
  <c r="V210" i="12"/>
  <c r="V202" i="12"/>
  <c r="V174" i="12"/>
  <c r="V170" i="12"/>
  <c r="V263" i="12"/>
  <c r="V233" i="12"/>
  <c r="V221" i="12"/>
  <c r="V213" i="12"/>
  <c r="V201" i="12"/>
  <c r="V193" i="12"/>
  <c r="V185" i="12"/>
  <c r="V161" i="12"/>
  <c r="V157" i="12"/>
  <c r="V153" i="12"/>
  <c r="V149" i="12"/>
  <c r="V145" i="12"/>
  <c r="V141" i="12"/>
  <c r="V137" i="12"/>
  <c r="V133" i="12"/>
  <c r="V129" i="12"/>
  <c r="V125" i="12"/>
  <c r="V121" i="12"/>
  <c r="V117" i="12"/>
  <c r="V113" i="12"/>
  <c r="V262" i="12"/>
  <c r="V244" i="12"/>
  <c r="V232" i="12"/>
  <c r="V228" i="12"/>
  <c r="V212" i="12"/>
  <c r="V204" i="12"/>
  <c r="V184" i="12"/>
  <c r="V180" i="12"/>
  <c r="V269" i="12"/>
  <c r="V261" i="12"/>
  <c r="V251" i="12"/>
  <c r="V243" i="12"/>
  <c r="V239" i="12"/>
  <c r="V223" i="12"/>
  <c r="V215" i="12"/>
  <c r="V203" i="12"/>
  <c r="V195" i="12"/>
  <c r="V187" i="12"/>
  <c r="V175" i="12"/>
  <c r="V171" i="12"/>
  <c r="V167" i="12"/>
  <c r="V260" i="12"/>
  <c r="V234" i="12"/>
  <c r="V222" i="12"/>
  <c r="V214" i="12"/>
  <c r="V194" i="12"/>
  <c r="V186" i="12"/>
  <c r="V166" i="12"/>
  <c r="V164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259" i="12"/>
  <c r="V253" i="12"/>
  <c r="V245" i="12"/>
  <c r="V229" i="12"/>
  <c r="V217" i="12"/>
  <c r="V205" i="12"/>
  <c r="V181" i="12"/>
  <c r="V177" i="12"/>
  <c r="T164" i="12"/>
  <c r="V258" i="12"/>
  <c r="V252" i="12"/>
  <c r="V240" i="12"/>
  <c r="V236" i="12"/>
  <c r="V224" i="12"/>
  <c r="V216" i="12"/>
  <c r="V196" i="12"/>
  <c r="V188" i="12"/>
  <c r="V176" i="12"/>
  <c r="V172" i="12"/>
  <c r="V168" i="12"/>
  <c r="V257" i="12"/>
  <c r="V247" i="12"/>
  <c r="V235" i="12"/>
  <c r="V219" i="12"/>
  <c r="V207" i="12"/>
  <c r="V159" i="12"/>
  <c r="V155" i="12"/>
  <c r="V151" i="12"/>
  <c r="V147" i="12"/>
  <c r="V143" i="12"/>
  <c r="V139" i="12"/>
  <c r="V135" i="12"/>
  <c r="V131" i="12"/>
  <c r="V127" i="12"/>
  <c r="V123" i="12"/>
  <c r="V119" i="12"/>
  <c r="V115" i="12"/>
  <c r="V111" i="12"/>
  <c r="V256" i="12"/>
  <c r="V254" i="12"/>
  <c r="V246" i="12"/>
  <c r="V230" i="12"/>
  <c r="V218" i="12"/>
  <c r="V206" i="12"/>
  <c r="V198" i="12"/>
  <c r="V190" i="12"/>
  <c r="V182" i="12"/>
  <c r="V178" i="12"/>
  <c r="V248" i="12"/>
  <c r="V220" i="12"/>
  <c r="V208" i="12"/>
  <c r="V200" i="12"/>
  <c r="V192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69" i="12"/>
  <c r="V241" i="12"/>
  <c r="V179" i="12"/>
  <c r="V265" i="12"/>
  <c r="V209" i="12"/>
  <c r="V231" i="12"/>
  <c r="V211" i="12"/>
  <c r="V249" i="12"/>
  <c r="V183" i="12"/>
  <c r="V173" i="12"/>
  <c r="V237" i="12"/>
  <c r="V191" i="12"/>
  <c r="V189" i="12"/>
  <c r="V225" i="12"/>
  <c r="V227" i="12"/>
  <c r="V199" i="12"/>
  <c r="V197" i="12"/>
  <c r="H27" i="111"/>
  <c r="N18" i="111"/>
  <c r="L18" i="111"/>
  <c r="D27" i="111"/>
  <c r="X18" i="112"/>
  <c r="P27" i="112"/>
  <c r="X18" i="111"/>
  <c r="P27" i="111"/>
  <c r="P27" i="47"/>
  <c r="X18" i="47"/>
  <c r="X18" i="43"/>
  <c r="P27" i="43"/>
  <c r="L18" i="44"/>
  <c r="D27" i="44"/>
  <c r="L18" i="28"/>
  <c r="D27" i="28"/>
  <c r="T27" i="26"/>
  <c r="Z18" i="26"/>
  <c r="T27" i="29"/>
  <c r="Z18" i="29"/>
  <c r="H27" i="25"/>
  <c r="N18" i="25"/>
  <c r="L18" i="19"/>
  <c r="D27" i="19"/>
  <c r="T27" i="22"/>
  <c r="Z18" i="22"/>
  <c r="X18" i="14"/>
  <c r="P27" i="14"/>
  <c r="H27" i="8"/>
  <c r="N18" i="8"/>
  <c r="D27" i="11"/>
  <c r="L18" i="11"/>
  <c r="V21" i="108"/>
  <c r="N50" i="103"/>
  <c r="H54" i="103"/>
  <c r="T43" i="100"/>
  <c r="Z17" i="100"/>
  <c r="J20" i="96"/>
  <c r="F20" i="93"/>
  <c r="X87" i="92"/>
  <c r="Z87" i="92" s="1"/>
  <c r="J65" i="89"/>
  <c r="J61" i="89"/>
  <c r="J69" i="89"/>
  <c r="J71" i="89"/>
  <c r="J62" i="89"/>
  <c r="J50" i="89"/>
  <c r="J38" i="89"/>
  <c r="J51" i="89"/>
  <c r="J39" i="89"/>
  <c r="H20" i="89"/>
  <c r="J66" i="89"/>
  <c r="J58" i="89"/>
  <c r="J52" i="89"/>
  <c r="J40" i="89"/>
  <c r="J34" i="89"/>
  <c r="J59" i="89"/>
  <c r="J53" i="89"/>
  <c r="J41" i="89"/>
  <c r="J29" i="89"/>
  <c r="J25" i="89"/>
  <c r="J67" i="89"/>
  <c r="J63" i="89"/>
  <c r="J42" i="89"/>
  <c r="J54" i="89"/>
  <c r="J44" i="89"/>
  <c r="J30" i="89"/>
  <c r="J26" i="89"/>
  <c r="J16" i="89"/>
  <c r="J68" i="89"/>
  <c r="J45" i="89"/>
  <c r="J17" i="89"/>
  <c r="J64" i="89"/>
  <c r="J55" i="89"/>
  <c r="J47" i="89"/>
  <c r="J31" i="89"/>
  <c r="J27" i="89"/>
  <c r="J56" i="89"/>
  <c r="J48" i="89"/>
  <c r="J32" i="89"/>
  <c r="J18" i="89"/>
  <c r="J43" i="89"/>
  <c r="J35" i="89"/>
  <c r="J23" i="89"/>
  <c r="J49" i="89"/>
  <c r="J37" i="89"/>
  <c r="J33" i="89"/>
  <c r="J57" i="89"/>
  <c r="J46" i="89"/>
  <c r="J75" i="89"/>
  <c r="J60" i="89"/>
  <c r="J24" i="89"/>
  <c r="J36" i="89"/>
  <c r="J28" i="89"/>
  <c r="J20" i="89"/>
  <c r="J22" i="89"/>
  <c r="N12" i="89"/>
  <c r="V20" i="84"/>
  <c r="T120" i="85"/>
  <c r="Z57" i="85"/>
  <c r="V61" i="76"/>
  <c r="V53" i="76"/>
  <c r="V37" i="76"/>
  <c r="V33" i="76"/>
  <c r="V68" i="76"/>
  <c r="V52" i="76"/>
  <c r="V67" i="76"/>
  <c r="V63" i="76"/>
  <c r="V55" i="76"/>
  <c r="V43" i="76"/>
  <c r="V70" i="76"/>
  <c r="V54" i="76"/>
  <c r="V38" i="76"/>
  <c r="V34" i="76"/>
  <c r="V69" i="76"/>
  <c r="V57" i="76"/>
  <c r="V45" i="76"/>
  <c r="V74" i="76"/>
  <c r="V64" i="76"/>
  <c r="V56" i="76"/>
  <c r="V44" i="76"/>
  <c r="V40" i="76"/>
  <c r="V73" i="76"/>
  <c r="V71" i="76"/>
  <c r="V47" i="76"/>
  <c r="V39" i="76"/>
  <c r="V35" i="76"/>
  <c r="V31" i="76"/>
  <c r="V58" i="76"/>
  <c r="V46" i="76"/>
  <c r="V30" i="76"/>
  <c r="V28" i="76"/>
  <c r="V26" i="76"/>
  <c r="V65" i="76"/>
  <c r="V49" i="76"/>
  <c r="V41" i="76"/>
  <c r="T28" i="76"/>
  <c r="V78" i="76"/>
  <c r="V60" i="76"/>
  <c r="V48" i="76"/>
  <c r="V36" i="76"/>
  <c r="V32" i="76"/>
  <c r="V59" i="76"/>
  <c r="V51" i="76"/>
  <c r="V62" i="76"/>
  <c r="V42" i="76"/>
  <c r="V50" i="76"/>
  <c r="V66" i="76"/>
  <c r="F100" i="75"/>
  <c r="F99" i="75"/>
  <c r="F88" i="75"/>
  <c r="F87" i="75"/>
  <c r="F60" i="75"/>
  <c r="F56" i="75"/>
  <c r="F95" i="75"/>
  <c r="F79" i="75"/>
  <c r="F71" i="75"/>
  <c r="F70" i="75"/>
  <c r="F47" i="75"/>
  <c r="F43" i="75"/>
  <c r="F39" i="75"/>
  <c r="F35" i="75"/>
  <c r="F34" i="75"/>
  <c r="F102" i="75"/>
  <c r="F101" i="75"/>
  <c r="F66" i="75"/>
  <c r="F89" i="75"/>
  <c r="F81" i="75"/>
  <c r="F80" i="75"/>
  <c r="F73" i="75"/>
  <c r="F72" i="75"/>
  <c r="F61" i="75"/>
  <c r="F57" i="75"/>
  <c r="F104" i="75"/>
  <c r="F103" i="75"/>
  <c r="F96" i="75"/>
  <c r="F91" i="75"/>
  <c r="F90" i="75"/>
  <c r="F83" i="75"/>
  <c r="F82" i="75"/>
  <c r="F67" i="75"/>
  <c r="F105" i="75"/>
  <c r="F97" i="75"/>
  <c r="F85" i="75"/>
  <c r="F84" i="75"/>
  <c r="F49" i="75"/>
  <c r="F45" i="75"/>
  <c r="F41" i="75"/>
  <c r="F37" i="75"/>
  <c r="F92" i="75"/>
  <c r="F76" i="75"/>
  <c r="F75" i="75"/>
  <c r="F68" i="75"/>
  <c r="F64" i="75"/>
  <c r="F63" i="75"/>
  <c r="F108" i="75"/>
  <c r="F59" i="75"/>
  <c r="F55" i="75"/>
  <c r="F54" i="75"/>
  <c r="F112" i="75"/>
  <c r="F107" i="75"/>
  <c r="F98" i="75"/>
  <c r="F94" i="75"/>
  <c r="F93" i="75"/>
  <c r="F86" i="75"/>
  <c r="F78" i="75"/>
  <c r="F77" i="75"/>
  <c r="F53" i="75"/>
  <c r="F46" i="75"/>
  <c r="F42" i="75"/>
  <c r="F38" i="75"/>
  <c r="F48" i="75"/>
  <c r="F62" i="75"/>
  <c r="F74" i="75"/>
  <c r="F65" i="75"/>
  <c r="F36" i="75"/>
  <c r="F40" i="75"/>
  <c r="F69" i="75"/>
  <c r="F58" i="75"/>
  <c r="D51" i="75"/>
  <c r="L12" i="75"/>
  <c r="F44" i="75"/>
  <c r="J85" i="74"/>
  <c r="J75" i="74"/>
  <c r="J91" i="74"/>
  <c r="J79" i="74"/>
  <c r="J71" i="74"/>
  <c r="J76" i="74"/>
  <c r="J68" i="74"/>
  <c r="J62" i="74"/>
  <c r="J58" i="74"/>
  <c r="J84" i="74"/>
  <c r="J73" i="74"/>
  <c r="J70" i="74"/>
  <c r="J64" i="74"/>
  <c r="N12" i="74"/>
  <c r="J80" i="74"/>
  <c r="J77" i="74"/>
  <c r="J59" i="74"/>
  <c r="J50" i="74"/>
  <c r="J46" i="74"/>
  <c r="J42" i="74"/>
  <c r="J38" i="74"/>
  <c r="J65" i="74"/>
  <c r="J55" i="74"/>
  <c r="J81" i="74"/>
  <c r="J74" i="74"/>
  <c r="J60" i="74"/>
  <c r="J56" i="74"/>
  <c r="J54" i="74"/>
  <c r="J52" i="74"/>
  <c r="H52" i="74"/>
  <c r="J47" i="74"/>
  <c r="J43" i="74"/>
  <c r="J39" i="74"/>
  <c r="J82" i="74"/>
  <c r="J78" i="74"/>
  <c r="J66" i="74"/>
  <c r="J83" i="74"/>
  <c r="J72" i="74"/>
  <c r="J48" i="74"/>
  <c r="J44" i="74"/>
  <c r="J40" i="74"/>
  <c r="J36" i="74"/>
  <c r="J45" i="74"/>
  <c r="J49" i="74"/>
  <c r="J57" i="74"/>
  <c r="J35" i="74"/>
  <c r="J37" i="74"/>
  <c r="J87" i="74"/>
  <c r="J67" i="74"/>
  <c r="J69" i="74"/>
  <c r="J41" i="74"/>
  <c r="J61" i="74"/>
  <c r="J63" i="74"/>
  <c r="J78" i="73"/>
  <c r="J70" i="73"/>
  <c r="J58" i="73"/>
  <c r="J46" i="73"/>
  <c r="J34" i="73"/>
  <c r="J30" i="73"/>
  <c r="J82" i="73"/>
  <c r="J66" i="73"/>
  <c r="J48" i="73"/>
  <c r="J40" i="73"/>
  <c r="N12" i="73"/>
  <c r="J71" i="73"/>
  <c r="J67" i="73"/>
  <c r="J59" i="73"/>
  <c r="J49" i="73"/>
  <c r="J35" i="73"/>
  <c r="J31" i="73"/>
  <c r="J21" i="73"/>
  <c r="J50" i="73"/>
  <c r="J22" i="73"/>
  <c r="J51" i="73"/>
  <c r="J41" i="73"/>
  <c r="J72" i="73"/>
  <c r="J68" i="73"/>
  <c r="J60" i="73"/>
  <c r="J52" i="73"/>
  <c r="J36" i="73"/>
  <c r="J32" i="73"/>
  <c r="J73" i="73"/>
  <c r="J61" i="73"/>
  <c r="J53" i="73"/>
  <c r="J37" i="73"/>
  <c r="J23" i="73"/>
  <c r="J74" i="73"/>
  <c r="J62" i="73"/>
  <c r="J54" i="73"/>
  <c r="J42" i="73"/>
  <c r="J38" i="73"/>
  <c r="J28" i="73"/>
  <c r="J76" i="73"/>
  <c r="J64" i="73"/>
  <c r="J56" i="73"/>
  <c r="J44" i="73"/>
  <c r="H25" i="73"/>
  <c r="J25" i="73" s="1"/>
  <c r="J63" i="73"/>
  <c r="J43" i="73"/>
  <c r="J39" i="73"/>
  <c r="J75" i="73"/>
  <c r="J65" i="73"/>
  <c r="J69" i="73"/>
  <c r="J57" i="73"/>
  <c r="J55" i="73"/>
  <c r="J27" i="73"/>
  <c r="J29" i="73"/>
  <c r="J47" i="73"/>
  <c r="J33" i="73"/>
  <c r="J45" i="73"/>
  <c r="L112" i="71"/>
  <c r="F98" i="71"/>
  <c r="F97" i="71"/>
  <c r="F74" i="71"/>
  <c r="F100" i="71"/>
  <c r="F99" i="71"/>
  <c r="F56" i="71"/>
  <c r="F52" i="71"/>
  <c r="F48" i="71"/>
  <c r="F44" i="71"/>
  <c r="F91" i="71"/>
  <c r="F90" i="71"/>
  <c r="F75" i="71"/>
  <c r="F106" i="71"/>
  <c r="F101" i="71"/>
  <c r="F93" i="71"/>
  <c r="F92" i="71"/>
  <c r="F57" i="71"/>
  <c r="F53" i="71"/>
  <c r="F49" i="71"/>
  <c r="F45" i="71"/>
  <c r="F108" i="71"/>
  <c r="F107" i="71"/>
  <c r="F84" i="71"/>
  <c r="F83" i="71"/>
  <c r="F76" i="71"/>
  <c r="F95" i="71"/>
  <c r="F94" i="71"/>
  <c r="F71" i="71"/>
  <c r="F67" i="71"/>
  <c r="F63" i="71"/>
  <c r="F62" i="71"/>
  <c r="F115" i="71"/>
  <c r="F110" i="71"/>
  <c r="F109" i="71"/>
  <c r="F102" i="71"/>
  <c r="F86" i="71"/>
  <c r="F85" i="71"/>
  <c r="F61" i="71"/>
  <c r="F54" i="71"/>
  <c r="F50" i="71"/>
  <c r="F46" i="71"/>
  <c r="F42" i="71"/>
  <c r="F41" i="71"/>
  <c r="F113" i="71"/>
  <c r="F96" i="71"/>
  <c r="F88" i="71"/>
  <c r="F87" i="71"/>
  <c r="F68" i="71"/>
  <c r="F64" i="71"/>
  <c r="F112" i="71"/>
  <c r="F69" i="71"/>
  <c r="F55" i="71"/>
  <c r="F114" i="71"/>
  <c r="F80" i="71"/>
  <c r="F103" i="71"/>
  <c r="F89" i="71"/>
  <c r="F78" i="71"/>
  <c r="F65" i="71"/>
  <c r="D59" i="71"/>
  <c r="F59" i="71" s="1"/>
  <c r="F51" i="71"/>
  <c r="F72" i="71"/>
  <c r="F81" i="71"/>
  <c r="F70" i="71"/>
  <c r="F104" i="71"/>
  <c r="F79" i="71"/>
  <c r="F47" i="71"/>
  <c r="F73" i="71"/>
  <c r="F66" i="71"/>
  <c r="F77" i="71"/>
  <c r="F43" i="71"/>
  <c r="L12" i="71"/>
  <c r="F105" i="71"/>
  <c r="F82" i="71"/>
  <c r="F119" i="71"/>
  <c r="V110" i="69"/>
  <c r="V94" i="69"/>
  <c r="V66" i="69"/>
  <c r="V62" i="69"/>
  <c r="V58" i="69"/>
  <c r="V54" i="69"/>
  <c r="V50" i="69"/>
  <c r="V113" i="69"/>
  <c r="V105" i="69"/>
  <c r="V93" i="69"/>
  <c r="V85" i="69"/>
  <c r="V112" i="69"/>
  <c r="V104" i="69"/>
  <c r="V96" i="69"/>
  <c r="V80" i="69"/>
  <c r="V76" i="69"/>
  <c r="V117" i="69"/>
  <c r="V95" i="69"/>
  <c r="V87" i="69"/>
  <c r="V67" i="69"/>
  <c r="V63" i="69"/>
  <c r="V59" i="69"/>
  <c r="V55" i="69"/>
  <c r="V51" i="69"/>
  <c r="V116" i="69"/>
  <c r="V114" i="69"/>
  <c r="V106" i="69"/>
  <c r="V98" i="69"/>
  <c r="V86" i="69"/>
  <c r="V82" i="69"/>
  <c r="V97" i="69"/>
  <c r="V89" i="69"/>
  <c r="V81" i="69"/>
  <c r="V77" i="69"/>
  <c r="V73" i="69"/>
  <c r="V108" i="69"/>
  <c r="V100" i="69"/>
  <c r="V88" i="69"/>
  <c r="V72" i="69"/>
  <c r="V68" i="69"/>
  <c r="V64" i="69"/>
  <c r="V60" i="69"/>
  <c r="V56" i="69"/>
  <c r="V52" i="69"/>
  <c r="V48" i="69"/>
  <c r="V121" i="69"/>
  <c r="V107" i="69"/>
  <c r="V99" i="69"/>
  <c r="V91" i="69"/>
  <c r="V83" i="69"/>
  <c r="T70" i="69"/>
  <c r="V102" i="69"/>
  <c r="V90" i="69"/>
  <c r="V78" i="69"/>
  <c r="V74" i="69"/>
  <c r="V92" i="69"/>
  <c r="V84" i="69"/>
  <c r="Z12" i="69"/>
  <c r="V79" i="69"/>
  <c r="V65" i="69"/>
  <c r="V53" i="69"/>
  <c r="V111" i="69"/>
  <c r="V57" i="69"/>
  <c r="V109" i="69"/>
  <c r="V103" i="69"/>
  <c r="V101" i="69"/>
  <c r="V75" i="69"/>
  <c r="V61" i="69"/>
  <c r="V49" i="69"/>
  <c r="T73" i="70"/>
  <c r="P51" i="61"/>
  <c r="X16" i="61"/>
  <c r="P68" i="57"/>
  <c r="X16" i="57"/>
  <c r="H119" i="69"/>
  <c r="H75" i="58"/>
  <c r="T75" i="57"/>
  <c r="H70" i="48"/>
  <c r="J17" i="48"/>
  <c r="Z22" i="54"/>
  <c r="T26" i="54"/>
  <c r="R95" i="33"/>
  <c r="R88" i="33"/>
  <c r="R82" i="33"/>
  <c r="R81" i="33"/>
  <c r="R58" i="33"/>
  <c r="R57" i="33"/>
  <c r="R45" i="33"/>
  <c r="R41" i="33"/>
  <c r="P37" i="33"/>
  <c r="R87" i="33"/>
  <c r="R76" i="33"/>
  <c r="R69" i="33"/>
  <c r="R68" i="33"/>
  <c r="R32" i="33"/>
  <c r="R86" i="33"/>
  <c r="R83" i="33"/>
  <c r="R60" i="33"/>
  <c r="R59" i="33"/>
  <c r="R51" i="33"/>
  <c r="R85" i="33"/>
  <c r="R70" i="33"/>
  <c r="R46" i="33"/>
  <c r="R42" i="33"/>
  <c r="R77" i="33"/>
  <c r="R62" i="33"/>
  <c r="R61" i="33"/>
  <c r="R33" i="33"/>
  <c r="R52" i="33"/>
  <c r="X12" i="33"/>
  <c r="Z12" i="33" s="1"/>
  <c r="R72" i="33"/>
  <c r="R71" i="33"/>
  <c r="R63" i="33"/>
  <c r="R47" i="33"/>
  <c r="R43" i="33"/>
  <c r="R78" i="33"/>
  <c r="R34" i="33"/>
  <c r="R74" i="33"/>
  <c r="R73" i="33"/>
  <c r="R54" i="33"/>
  <c r="R53" i="33"/>
  <c r="R30" i="33"/>
  <c r="R91" i="33"/>
  <c r="R65" i="33"/>
  <c r="R64" i="33"/>
  <c r="R49" i="33"/>
  <c r="R48" i="33"/>
  <c r="R44" i="33"/>
  <c r="R79" i="33"/>
  <c r="R90" i="33"/>
  <c r="R55" i="33"/>
  <c r="R67" i="33"/>
  <c r="R40" i="33"/>
  <c r="R31" i="33"/>
  <c r="R50" i="33"/>
  <c r="R80" i="33"/>
  <c r="R56" i="33"/>
  <c r="R35" i="33"/>
  <c r="R89" i="33"/>
  <c r="R75" i="33"/>
  <c r="R39" i="33"/>
  <c r="R66" i="33"/>
  <c r="D136" i="24"/>
  <c r="L37" i="33"/>
  <c r="D93" i="33"/>
  <c r="J126" i="24"/>
  <c r="J110" i="24"/>
  <c r="J100" i="24"/>
  <c r="J92" i="24"/>
  <c r="J128" i="24"/>
  <c r="J120" i="24"/>
  <c r="J112" i="24"/>
  <c r="J74" i="24"/>
  <c r="J70" i="24"/>
  <c r="J66" i="24"/>
  <c r="J62" i="24"/>
  <c r="J58" i="24"/>
  <c r="J54" i="24"/>
  <c r="J129" i="24"/>
  <c r="J121" i="24"/>
  <c r="J113" i="24"/>
  <c r="J101" i="24"/>
  <c r="J93" i="24"/>
  <c r="J130" i="24"/>
  <c r="J122" i="24"/>
  <c r="J114" i="24"/>
  <c r="J102" i="24"/>
  <c r="J88" i="24"/>
  <c r="J84" i="24"/>
  <c r="J131" i="24"/>
  <c r="J123" i="24"/>
  <c r="J115" i="24"/>
  <c r="J103" i="24"/>
  <c r="J89" i="24"/>
  <c r="J75" i="24"/>
  <c r="J71" i="24"/>
  <c r="J67" i="24"/>
  <c r="J63" i="24"/>
  <c r="J59" i="24"/>
  <c r="J55" i="24"/>
  <c r="J134" i="24"/>
  <c r="J104" i="24"/>
  <c r="J94" i="24"/>
  <c r="J90" i="24"/>
  <c r="J80" i="24"/>
  <c r="J133" i="24"/>
  <c r="J105" i="24"/>
  <c r="J95" i="24"/>
  <c r="J85" i="24"/>
  <c r="J81" i="24"/>
  <c r="J79" i="24"/>
  <c r="J77" i="24"/>
  <c r="J138" i="24"/>
  <c r="J124" i="24"/>
  <c r="J116" i="24"/>
  <c r="J106" i="24"/>
  <c r="J96" i="24"/>
  <c r="H77" i="24"/>
  <c r="L77" i="24" s="1"/>
  <c r="J72" i="24"/>
  <c r="J68" i="24"/>
  <c r="J64" i="24"/>
  <c r="J60" i="24"/>
  <c r="J56" i="24"/>
  <c r="J117" i="24"/>
  <c r="J107" i="24"/>
  <c r="J97" i="24"/>
  <c r="J91" i="24"/>
  <c r="J118" i="24"/>
  <c r="J108" i="24"/>
  <c r="J98" i="24"/>
  <c r="J86" i="24"/>
  <c r="J82" i="24"/>
  <c r="J52" i="24"/>
  <c r="J119" i="24"/>
  <c r="J83" i="24"/>
  <c r="L12" i="24"/>
  <c r="N12" i="24" s="1"/>
  <c r="J125" i="24"/>
  <c r="J99" i="24"/>
  <c r="J73" i="24"/>
  <c r="J53" i="24"/>
  <c r="J127" i="24"/>
  <c r="J87" i="24"/>
  <c r="J65" i="24"/>
  <c r="J57" i="24"/>
  <c r="J111" i="24"/>
  <c r="J69" i="24"/>
  <c r="J61" i="24"/>
  <c r="J109" i="24"/>
  <c r="J60" i="27"/>
  <c r="D22" i="6"/>
  <c r="L16" i="6"/>
  <c r="L18" i="112"/>
  <c r="D27" i="112"/>
  <c r="H27" i="52"/>
  <c r="N18" i="52"/>
  <c r="P27" i="46"/>
  <c r="X18" i="46"/>
  <c r="T27" i="40"/>
  <c r="Z18" i="40"/>
  <c r="L18" i="41"/>
  <c r="D27" i="41"/>
  <c r="L18" i="31"/>
  <c r="D27" i="31"/>
  <c r="X18" i="28"/>
  <c r="P27" i="28"/>
  <c r="H27" i="28"/>
  <c r="N18" i="28"/>
  <c r="T27" i="31"/>
  <c r="Z18" i="31"/>
  <c r="T27" i="23"/>
  <c r="Z18" i="23"/>
  <c r="D27" i="17"/>
  <c r="L18" i="17"/>
  <c r="N18" i="7"/>
  <c r="H27" i="7"/>
  <c r="T27" i="8"/>
  <c r="Z18" i="8"/>
  <c r="H85" i="106"/>
  <c r="J21" i="106"/>
  <c r="R21" i="106"/>
  <c r="J21" i="105"/>
  <c r="F75" i="106"/>
  <c r="F71" i="106"/>
  <c r="F39" i="106"/>
  <c r="F35" i="106"/>
  <c r="F34" i="106"/>
  <c r="D21" i="106"/>
  <c r="F66" i="106"/>
  <c r="F50" i="106"/>
  <c r="F49" i="106"/>
  <c r="F30" i="106"/>
  <c r="F26" i="106"/>
  <c r="F77" i="106"/>
  <c r="F76" i="106"/>
  <c r="F61" i="106"/>
  <c r="F72" i="106"/>
  <c r="F68" i="106"/>
  <c r="F67" i="106"/>
  <c r="F52" i="106"/>
  <c r="F51" i="106"/>
  <c r="F40" i="106"/>
  <c r="F36" i="106"/>
  <c r="L12" i="106"/>
  <c r="N12" i="106" s="1"/>
  <c r="F79" i="106"/>
  <c r="F78" i="106"/>
  <c r="F31" i="106"/>
  <c r="F27" i="106"/>
  <c r="F62" i="106"/>
  <c r="F54" i="106"/>
  <c r="F53" i="106"/>
  <c r="F42" i="106"/>
  <c r="F41" i="106"/>
  <c r="F18" i="106"/>
  <c r="F17" i="106"/>
  <c r="F81" i="106"/>
  <c r="F80" i="106"/>
  <c r="F73" i="106"/>
  <c r="F69" i="106"/>
  <c r="F37" i="106"/>
  <c r="F64" i="106"/>
  <c r="F63" i="106"/>
  <c r="F56" i="106"/>
  <c r="F55" i="106"/>
  <c r="F44" i="106"/>
  <c r="F43" i="106"/>
  <c r="F32" i="106"/>
  <c r="F28" i="106"/>
  <c r="F65" i="106"/>
  <c r="F33" i="106"/>
  <c r="F29" i="106"/>
  <c r="F25" i="106"/>
  <c r="F24" i="106"/>
  <c r="F87" i="106"/>
  <c r="F60" i="106"/>
  <c r="F59" i="106"/>
  <c r="F48" i="106"/>
  <c r="F47" i="106"/>
  <c r="F23" i="106"/>
  <c r="F21" i="106"/>
  <c r="F74" i="106"/>
  <c r="F38" i="106"/>
  <c r="F83" i="106"/>
  <c r="F57" i="106"/>
  <c r="F46" i="106"/>
  <c r="F70" i="106"/>
  <c r="F45" i="106"/>
  <c r="F19" i="106"/>
  <c r="F58" i="106"/>
  <c r="V38" i="105"/>
  <c r="V18" i="105"/>
  <c r="V45" i="105"/>
  <c r="V37" i="105"/>
  <c r="V29" i="105"/>
  <c r="V40" i="105"/>
  <c r="V47" i="105"/>
  <c r="V39" i="105"/>
  <c r="V46" i="105"/>
  <c r="V41" i="105"/>
  <c r="V25" i="105"/>
  <c r="V50" i="105"/>
  <c r="V48" i="105"/>
  <c r="V32" i="105"/>
  <c r="V43" i="105"/>
  <c r="V31" i="105"/>
  <c r="V54" i="105"/>
  <c r="V44" i="105"/>
  <c r="V36" i="105"/>
  <c r="V33" i="105"/>
  <c r="V28" i="105"/>
  <c r="V23" i="105"/>
  <c r="V34" i="105"/>
  <c r="V24" i="105"/>
  <c r="V26" i="105"/>
  <c r="V19" i="105"/>
  <c r="V17" i="105"/>
  <c r="V35" i="105"/>
  <c r="V27" i="105"/>
  <c r="V21" i="105"/>
  <c r="Z12" i="105"/>
  <c r="V42" i="105"/>
  <c r="V30" i="105"/>
  <c r="T21" i="105"/>
  <c r="F61" i="108"/>
  <c r="F80" i="108"/>
  <c r="F79" i="108"/>
  <c r="F72" i="108"/>
  <c r="F68" i="108"/>
  <c r="F67" i="108"/>
  <c r="F52" i="108"/>
  <c r="F51" i="108"/>
  <c r="F40" i="108"/>
  <c r="F36" i="108"/>
  <c r="L12" i="108"/>
  <c r="N12" i="108" s="1"/>
  <c r="F31" i="108"/>
  <c r="F27" i="108"/>
  <c r="F62" i="108"/>
  <c r="F54" i="108"/>
  <c r="F53" i="108"/>
  <c r="F42" i="108"/>
  <c r="F41" i="108"/>
  <c r="F64" i="108"/>
  <c r="F63" i="108"/>
  <c r="F56" i="108"/>
  <c r="F55" i="108"/>
  <c r="F44" i="108"/>
  <c r="F43" i="108"/>
  <c r="F32" i="108"/>
  <c r="F28" i="108"/>
  <c r="F83" i="108"/>
  <c r="F74" i="108"/>
  <c r="F70" i="108"/>
  <c r="F58" i="108"/>
  <c r="F57" i="108"/>
  <c r="F46" i="108"/>
  <c r="F45" i="108"/>
  <c r="F38" i="108"/>
  <c r="F87" i="108"/>
  <c r="F65" i="108"/>
  <c r="F33" i="108"/>
  <c r="F29" i="108"/>
  <c r="F25" i="108"/>
  <c r="F24" i="108"/>
  <c r="F71" i="108"/>
  <c r="F78" i="108"/>
  <c r="F77" i="108"/>
  <c r="F66" i="108"/>
  <c r="F50" i="108"/>
  <c r="F49" i="108"/>
  <c r="F30" i="108"/>
  <c r="F26" i="108"/>
  <c r="F37" i="108"/>
  <c r="F35" i="108"/>
  <c r="F23" i="108"/>
  <c r="F47" i="108"/>
  <c r="F39" i="108"/>
  <c r="F19" i="108"/>
  <c r="F75" i="108"/>
  <c r="F73" i="108"/>
  <c r="F59" i="108"/>
  <c r="F81" i="108"/>
  <c r="F34" i="108"/>
  <c r="F17" i="108"/>
  <c r="F21" i="108"/>
  <c r="F76" i="108"/>
  <c r="F60" i="108"/>
  <c r="F18" i="108"/>
  <c r="F69" i="108"/>
  <c r="D21" i="108"/>
  <c r="F48" i="108"/>
  <c r="F43" i="105"/>
  <c r="F42" i="105"/>
  <c r="F31" i="105"/>
  <c r="D21" i="105"/>
  <c r="F21" i="105" s="1"/>
  <c r="F26" i="105"/>
  <c r="F50" i="105"/>
  <c r="F33" i="105"/>
  <c r="F32" i="105"/>
  <c r="F54" i="105"/>
  <c r="F44" i="105"/>
  <c r="F18" i="105"/>
  <c r="F17" i="105"/>
  <c r="F45" i="105"/>
  <c r="F37" i="105"/>
  <c r="F36" i="105"/>
  <c r="F29" i="105"/>
  <c r="F28" i="105"/>
  <c r="F41" i="105"/>
  <c r="F40" i="105"/>
  <c r="F48" i="105"/>
  <c r="F47" i="105"/>
  <c r="F35" i="105"/>
  <c r="F27" i="105"/>
  <c r="F25" i="105"/>
  <c r="L12" i="105"/>
  <c r="N12" i="105" s="1"/>
  <c r="F38" i="105"/>
  <c r="F30" i="105"/>
  <c r="F46" i="105"/>
  <c r="F23" i="105"/>
  <c r="F24" i="105"/>
  <c r="F34" i="105"/>
  <c r="F19" i="105"/>
  <c r="F39" i="105"/>
  <c r="Z22" i="104"/>
  <c r="T84" i="104"/>
  <c r="H43" i="100"/>
  <c r="N17" i="100"/>
  <c r="D84" i="98"/>
  <c r="L20" i="98"/>
  <c r="N20" i="98" s="1"/>
  <c r="R59" i="101"/>
  <c r="P50" i="103"/>
  <c r="X16" i="103"/>
  <c r="L17" i="100"/>
  <c r="D43" i="100"/>
  <c r="F36" i="94"/>
  <c r="F59" i="94"/>
  <c r="F47" i="94"/>
  <c r="F46" i="94"/>
  <c r="F31" i="94"/>
  <c r="F27" i="94"/>
  <c r="F54" i="94"/>
  <c r="F18" i="94"/>
  <c r="F49" i="94"/>
  <c r="F48" i="94"/>
  <c r="F60" i="94"/>
  <c r="F56" i="94"/>
  <c r="F55" i="94"/>
  <c r="F28" i="94"/>
  <c r="F24" i="94"/>
  <c r="F23" i="94"/>
  <c r="F39" i="94"/>
  <c r="F38" i="94"/>
  <c r="F22" i="94"/>
  <c r="F62" i="94"/>
  <c r="F61" i="94"/>
  <c r="F50" i="94"/>
  <c r="F34" i="94"/>
  <c r="D20" i="94"/>
  <c r="F57" i="94"/>
  <c r="F41" i="94"/>
  <c r="F40" i="94"/>
  <c r="F29" i="94"/>
  <c r="F25" i="94"/>
  <c r="F58" i="94"/>
  <c r="F30" i="94"/>
  <c r="F26" i="94"/>
  <c r="F53" i="94"/>
  <c r="F52" i="94"/>
  <c r="F45" i="94"/>
  <c r="F44" i="94"/>
  <c r="F17" i="94"/>
  <c r="F16" i="94"/>
  <c r="F51" i="94"/>
  <c r="F43" i="94"/>
  <c r="F37" i="94"/>
  <c r="F35" i="94"/>
  <c r="F65" i="94"/>
  <c r="F32" i="94"/>
  <c r="F64" i="94"/>
  <c r="F42" i="94"/>
  <c r="L12" i="94"/>
  <c r="N12" i="94" s="1"/>
  <c r="F33" i="94"/>
  <c r="F69" i="94"/>
  <c r="P77" i="95"/>
  <c r="X20" i="95"/>
  <c r="J76" i="88"/>
  <c r="J70" i="88"/>
  <c r="J58" i="88"/>
  <c r="J48" i="88"/>
  <c r="J38" i="88"/>
  <c r="J77" i="88"/>
  <c r="J65" i="88"/>
  <c r="J59" i="88"/>
  <c r="J49" i="88"/>
  <c r="J39" i="88"/>
  <c r="J33" i="88"/>
  <c r="J23" i="88"/>
  <c r="J78" i="88"/>
  <c r="J66" i="88"/>
  <c r="J60" i="88"/>
  <c r="J50" i="88"/>
  <c r="J40" i="88"/>
  <c r="J28" i="88"/>
  <c r="J24" i="88"/>
  <c r="J22" i="88"/>
  <c r="J81" i="88"/>
  <c r="J61" i="88"/>
  <c r="J53" i="88"/>
  <c r="J43" i="88"/>
  <c r="J29" i="88"/>
  <c r="J25" i="88"/>
  <c r="J72" i="88"/>
  <c r="J68" i="88"/>
  <c r="J54" i="88"/>
  <c r="J44" i="88"/>
  <c r="J73" i="88"/>
  <c r="J69" i="88"/>
  <c r="J63" i="88"/>
  <c r="J45" i="88"/>
  <c r="J79" i="88"/>
  <c r="J71" i="88"/>
  <c r="J67" i="88"/>
  <c r="J57" i="88"/>
  <c r="J46" i="88"/>
  <c r="J35" i="88"/>
  <c r="J26" i="88"/>
  <c r="J74" i="88"/>
  <c r="J62" i="88"/>
  <c r="J52" i="88"/>
  <c r="H20" i="88"/>
  <c r="J20" i="88" s="1"/>
  <c r="J85" i="88"/>
  <c r="J55" i="88"/>
  <c r="J47" i="88"/>
  <c r="J36" i="88"/>
  <c r="J31" i="88"/>
  <c r="J37" i="88"/>
  <c r="J56" i="88"/>
  <c r="J51" i="88"/>
  <c r="J32" i="88"/>
  <c r="J16" i="88"/>
  <c r="J75" i="88"/>
  <c r="J41" i="88"/>
  <c r="J30" i="88"/>
  <c r="J18" i="88"/>
  <c r="J27" i="88"/>
  <c r="N12" i="88"/>
  <c r="J64" i="88"/>
  <c r="J42" i="88"/>
  <c r="J17" i="88"/>
  <c r="J34" i="88"/>
  <c r="R21" i="83"/>
  <c r="X20" i="80"/>
  <c r="Z20" i="80" s="1"/>
  <c r="P70" i="80"/>
  <c r="J101" i="75"/>
  <c r="J95" i="75"/>
  <c r="J79" i="75"/>
  <c r="J71" i="75"/>
  <c r="J47" i="75"/>
  <c r="J43" i="75"/>
  <c r="J39" i="75"/>
  <c r="J35" i="75"/>
  <c r="J102" i="75"/>
  <c r="J80" i="75"/>
  <c r="J72" i="75"/>
  <c r="J66" i="75"/>
  <c r="J103" i="75"/>
  <c r="J89" i="75"/>
  <c r="J81" i="75"/>
  <c r="J73" i="75"/>
  <c r="J61" i="75"/>
  <c r="J57" i="75"/>
  <c r="J104" i="75"/>
  <c r="J96" i="75"/>
  <c r="J90" i="75"/>
  <c r="J82" i="75"/>
  <c r="J48" i="75"/>
  <c r="J44" i="75"/>
  <c r="J40" i="75"/>
  <c r="J36" i="75"/>
  <c r="J91" i="75"/>
  <c r="J83" i="75"/>
  <c r="J84" i="75"/>
  <c r="J74" i="75"/>
  <c r="J62" i="75"/>
  <c r="J58" i="75"/>
  <c r="J108" i="75"/>
  <c r="J92" i="75"/>
  <c r="J76" i="75"/>
  <c r="J68" i="75"/>
  <c r="J64" i="75"/>
  <c r="J54" i="75"/>
  <c r="N12" i="75"/>
  <c r="J107" i="75"/>
  <c r="J93" i="75"/>
  <c r="J77" i="75"/>
  <c r="J112" i="75"/>
  <c r="J98" i="75"/>
  <c r="J94" i="75"/>
  <c r="J86" i="75"/>
  <c r="J78" i="75"/>
  <c r="H51" i="75"/>
  <c r="J46" i="75"/>
  <c r="J42" i="75"/>
  <c r="J38" i="75"/>
  <c r="J99" i="75"/>
  <c r="J87" i="75"/>
  <c r="J69" i="75"/>
  <c r="J65" i="75"/>
  <c r="J70" i="75"/>
  <c r="J51" i="75"/>
  <c r="J41" i="75"/>
  <c r="J100" i="75"/>
  <c r="J45" i="75"/>
  <c r="J55" i="75"/>
  <c r="J49" i="75"/>
  <c r="J63" i="75"/>
  <c r="J59" i="75"/>
  <c r="J53" i="75"/>
  <c r="J88" i="75"/>
  <c r="J67" i="75"/>
  <c r="J34" i="75"/>
  <c r="J105" i="75"/>
  <c r="J97" i="75"/>
  <c r="J75" i="75"/>
  <c r="J56" i="75"/>
  <c r="J85" i="75"/>
  <c r="J37" i="75"/>
  <c r="J60" i="75"/>
  <c r="J105" i="71"/>
  <c r="J99" i="71"/>
  <c r="J89" i="71"/>
  <c r="J81" i="71"/>
  <c r="J91" i="71"/>
  <c r="J75" i="71"/>
  <c r="J106" i="71"/>
  <c r="J92" i="71"/>
  <c r="J82" i="71"/>
  <c r="J70" i="71"/>
  <c r="J66" i="71"/>
  <c r="J107" i="71"/>
  <c r="J101" i="71"/>
  <c r="J108" i="71"/>
  <c r="J94" i="71"/>
  <c r="J84" i="71"/>
  <c r="J76" i="71"/>
  <c r="J62" i="71"/>
  <c r="N12" i="71"/>
  <c r="J115" i="71"/>
  <c r="J109" i="71"/>
  <c r="J95" i="71"/>
  <c r="J85" i="71"/>
  <c r="J71" i="71"/>
  <c r="J114" i="71"/>
  <c r="J110" i="71"/>
  <c r="J102" i="71"/>
  <c r="J86" i="71"/>
  <c r="J72" i="71"/>
  <c r="H59" i="71"/>
  <c r="J119" i="71"/>
  <c r="J113" i="71"/>
  <c r="J87" i="71"/>
  <c r="J77" i="71"/>
  <c r="J73" i="71"/>
  <c r="J103" i="71"/>
  <c r="J97" i="71"/>
  <c r="J79" i="71"/>
  <c r="J55" i="71"/>
  <c r="J51" i="71"/>
  <c r="J47" i="71"/>
  <c r="J43" i="71"/>
  <c r="J78" i="71"/>
  <c r="J67" i="71"/>
  <c r="J74" i="71"/>
  <c r="J53" i="71"/>
  <c r="J46" i="71"/>
  <c r="J83" i="71"/>
  <c r="J65" i="71"/>
  <c r="J59" i="71"/>
  <c r="J63" i="71"/>
  <c r="J44" i="71"/>
  <c r="J96" i="71"/>
  <c r="J49" i="71"/>
  <c r="J42" i="71"/>
  <c r="J104" i="71"/>
  <c r="J98" i="71"/>
  <c r="J56" i="71"/>
  <c r="J100" i="71"/>
  <c r="J90" i="71"/>
  <c r="J68" i="71"/>
  <c r="J54" i="71"/>
  <c r="J88" i="71"/>
  <c r="J61" i="71"/>
  <c r="J52" i="71"/>
  <c r="J45" i="71"/>
  <c r="J57" i="71"/>
  <c r="J41" i="71"/>
  <c r="J64" i="71"/>
  <c r="J93" i="71"/>
  <c r="J69" i="71"/>
  <c r="J112" i="71"/>
  <c r="J48" i="71"/>
  <c r="J80" i="71"/>
  <c r="J50" i="71"/>
  <c r="X12" i="74"/>
  <c r="Z12" i="74" s="1"/>
  <c r="D61" i="68"/>
  <c r="L16" i="68"/>
  <c r="T117" i="71"/>
  <c r="V68" i="45"/>
  <c r="V60" i="45"/>
  <c r="V48" i="45"/>
  <c r="V36" i="45"/>
  <c r="V32" i="45"/>
  <c r="V28" i="45"/>
  <c r="V87" i="45"/>
  <c r="V79" i="45"/>
  <c r="V75" i="45"/>
  <c r="V63" i="45"/>
  <c r="V51" i="45"/>
  <c r="V70" i="45"/>
  <c r="V62" i="45"/>
  <c r="V50" i="45"/>
  <c r="V42" i="45"/>
  <c r="V38" i="45"/>
  <c r="V65" i="45"/>
  <c r="V53" i="45"/>
  <c r="V33" i="45"/>
  <c r="V29" i="45"/>
  <c r="V71" i="45"/>
  <c r="V55" i="45"/>
  <c r="V82" i="45"/>
  <c r="V66" i="45"/>
  <c r="V81" i="45"/>
  <c r="V77" i="45"/>
  <c r="V73" i="45"/>
  <c r="V57" i="45"/>
  <c r="V45" i="45"/>
  <c r="V21" i="45"/>
  <c r="V86" i="45"/>
  <c r="V78" i="45"/>
  <c r="V74" i="45"/>
  <c r="V58" i="45"/>
  <c r="V46" i="45"/>
  <c r="V26" i="45"/>
  <c r="V22" i="45"/>
  <c r="V85" i="45"/>
  <c r="V69" i="45"/>
  <c r="V61" i="45"/>
  <c r="V49" i="45"/>
  <c r="V41" i="45"/>
  <c r="V37" i="45"/>
  <c r="T24" i="45"/>
  <c r="V24" i="45" s="1"/>
  <c r="V83" i="45"/>
  <c r="V72" i="45"/>
  <c r="V94" i="45"/>
  <c r="V54" i="45"/>
  <c r="V52" i="45"/>
  <c r="V27" i="45"/>
  <c r="V76" i="45"/>
  <c r="V59" i="45"/>
  <c r="V43" i="45"/>
  <c r="V39" i="45"/>
  <c r="V67" i="45"/>
  <c r="V31" i="45"/>
  <c r="V88" i="45"/>
  <c r="V84" i="45"/>
  <c r="V80" i="45"/>
  <c r="V35" i="45"/>
  <c r="V20" i="45"/>
  <c r="V90" i="45"/>
  <c r="V64" i="45"/>
  <c r="V44" i="45"/>
  <c r="V40" i="45"/>
  <c r="V30" i="45"/>
  <c r="Z12" i="45"/>
  <c r="V56" i="45"/>
  <c r="V34" i="45"/>
  <c r="V47" i="45"/>
  <c r="T74" i="48"/>
  <c r="N115" i="42"/>
  <c r="X118" i="36"/>
  <c r="Z118" i="36" s="1"/>
  <c r="P123" i="36"/>
  <c r="N37" i="33"/>
  <c r="H93" i="33"/>
  <c r="T22" i="6"/>
  <c r="Z16" i="6"/>
  <c r="P26" i="6"/>
  <c r="R231" i="12"/>
  <c r="R200" i="12"/>
  <c r="R199" i="12"/>
  <c r="R192" i="12"/>
  <c r="R191" i="12"/>
  <c r="R183" i="12"/>
  <c r="R179" i="12"/>
  <c r="R265" i="12"/>
  <c r="R250" i="12"/>
  <c r="R242" i="12"/>
  <c r="R238" i="12"/>
  <c r="R227" i="12"/>
  <c r="R226" i="12"/>
  <c r="R211" i="12"/>
  <c r="R210" i="12"/>
  <c r="R174" i="12"/>
  <c r="R170" i="12"/>
  <c r="R264" i="12"/>
  <c r="R221" i="12"/>
  <c r="R202" i="12"/>
  <c r="R201" i="12"/>
  <c r="R193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113" i="12"/>
  <c r="R263" i="12"/>
  <c r="R233" i="12"/>
  <c r="R232" i="12"/>
  <c r="R228" i="12"/>
  <c r="R213" i="12"/>
  <c r="R212" i="12"/>
  <c r="R185" i="12"/>
  <c r="R184" i="12"/>
  <c r="R180" i="12"/>
  <c r="X12" i="12"/>
  <c r="Z12" i="12" s="1"/>
  <c r="R269" i="12"/>
  <c r="R262" i="12"/>
  <c r="R251" i="12"/>
  <c r="R244" i="12"/>
  <c r="R243" i="12"/>
  <c r="R239" i="12"/>
  <c r="R204" i="12"/>
  <c r="R203" i="12"/>
  <c r="R175" i="12"/>
  <c r="R171" i="12"/>
  <c r="R261" i="12"/>
  <c r="R234" i="12"/>
  <c r="R223" i="12"/>
  <c r="R222" i="12"/>
  <c r="R215" i="12"/>
  <c r="R214" i="12"/>
  <c r="R195" i="12"/>
  <c r="R194" i="12"/>
  <c r="R187" i="12"/>
  <c r="R186" i="12"/>
  <c r="R167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260" i="12"/>
  <c r="R245" i="12"/>
  <c r="R229" i="12"/>
  <c r="R205" i="12"/>
  <c r="R181" i="12"/>
  <c r="R166" i="12"/>
  <c r="R110" i="12"/>
  <c r="R259" i="12"/>
  <c r="R253" i="12"/>
  <c r="R252" i="12"/>
  <c r="R240" i="12"/>
  <c r="R224" i="12"/>
  <c r="R217" i="12"/>
  <c r="R216" i="12"/>
  <c r="R196" i="12"/>
  <c r="R188" i="12"/>
  <c r="R177" i="12"/>
  <c r="R176" i="12"/>
  <c r="R172" i="12"/>
  <c r="R168" i="12"/>
  <c r="P164" i="12"/>
  <c r="R258" i="12"/>
  <c r="R236" i="12"/>
  <c r="R235" i="12"/>
  <c r="R159" i="12"/>
  <c r="R155" i="12"/>
  <c r="R151" i="12"/>
  <c r="R147" i="12"/>
  <c r="R143" i="12"/>
  <c r="R139" i="12"/>
  <c r="R135" i="12"/>
  <c r="R131" i="12"/>
  <c r="R127" i="12"/>
  <c r="R123" i="12"/>
  <c r="R119" i="12"/>
  <c r="R115" i="12"/>
  <c r="R111" i="12"/>
  <c r="R256" i="12"/>
  <c r="R241" i="12"/>
  <c r="R237" i="12"/>
  <c r="R225" i="12"/>
  <c r="R198" i="12"/>
  <c r="R197" i="12"/>
  <c r="R190" i="12"/>
  <c r="R189" i="12"/>
  <c r="R173" i="12"/>
  <c r="R169" i="12"/>
  <c r="R144" i="12"/>
  <c r="R246" i="12"/>
  <c r="R116" i="12"/>
  <c r="R248" i="12"/>
  <c r="R207" i="12"/>
  <c r="R124" i="12"/>
  <c r="R219" i="12"/>
  <c r="R209" i="12"/>
  <c r="R132" i="12"/>
  <c r="R156" i="12"/>
  <c r="R254" i="12"/>
  <c r="R247" i="12"/>
  <c r="R178" i="12"/>
  <c r="R140" i="12"/>
  <c r="R148" i="12"/>
  <c r="R120" i="12"/>
  <c r="R112" i="12"/>
  <c r="R249" i="12"/>
  <c r="R230" i="12"/>
  <c r="R257" i="12"/>
  <c r="R206" i="12"/>
  <c r="R128" i="12"/>
  <c r="R218" i="12"/>
  <c r="R208" i="12"/>
  <c r="R152" i="12"/>
  <c r="R220" i="12"/>
  <c r="R182" i="12"/>
  <c r="R160" i="12"/>
  <c r="R136" i="12"/>
  <c r="T27" i="47"/>
  <c r="Z18" i="47"/>
  <c r="X18" i="40"/>
  <c r="P27" i="40"/>
  <c r="X18" i="37"/>
  <c r="P27" i="37"/>
  <c r="L18" i="23"/>
  <c r="D27" i="23"/>
  <c r="P27" i="29"/>
  <c r="X18" i="29"/>
  <c r="T27" i="7"/>
  <c r="Z18" i="7"/>
  <c r="L18" i="13"/>
  <c r="D27" i="13"/>
  <c r="H37" i="109"/>
  <c r="N16" i="109"/>
  <c r="H47" i="99"/>
  <c r="N19" i="99"/>
  <c r="R62" i="102"/>
  <c r="R55" i="102"/>
  <c r="R54" i="102"/>
  <c r="R43" i="102"/>
  <c r="R42" i="102"/>
  <c r="R74" i="102"/>
  <c r="R73" i="102"/>
  <c r="R37" i="102"/>
  <c r="R68" i="102"/>
  <c r="R56" i="102"/>
  <c r="R45" i="102"/>
  <c r="R44" i="102"/>
  <c r="R32" i="102"/>
  <c r="R28" i="102"/>
  <c r="R76" i="102"/>
  <c r="R75" i="102"/>
  <c r="R64" i="102"/>
  <c r="R63" i="102"/>
  <c r="R47" i="102"/>
  <c r="R46" i="102"/>
  <c r="R38" i="102"/>
  <c r="R19" i="102"/>
  <c r="R80" i="102"/>
  <c r="R77" i="102"/>
  <c r="R69" i="102"/>
  <c r="R65" i="102"/>
  <c r="R57" i="102"/>
  <c r="R33" i="102"/>
  <c r="R29" i="102"/>
  <c r="R79" i="102"/>
  <c r="R49" i="102"/>
  <c r="R48" i="102"/>
  <c r="R20" i="102"/>
  <c r="R39" i="102"/>
  <c r="R61" i="102"/>
  <c r="R60" i="102"/>
  <c r="R53" i="102"/>
  <c r="R52" i="102"/>
  <c r="R41" i="102"/>
  <c r="R40" i="102"/>
  <c r="R36" i="102"/>
  <c r="R25" i="102"/>
  <c r="R23" i="102"/>
  <c r="X12" i="102"/>
  <c r="Z12" i="102" s="1"/>
  <c r="R84" i="102"/>
  <c r="R72" i="102"/>
  <c r="R71" i="102"/>
  <c r="R67" i="102"/>
  <c r="R31" i="102"/>
  <c r="R27" i="102"/>
  <c r="P23" i="102"/>
  <c r="R70" i="102"/>
  <c r="R58" i="102"/>
  <c r="R50" i="102"/>
  <c r="R35" i="102"/>
  <c r="R26" i="102"/>
  <c r="R30" i="102"/>
  <c r="R34" i="102"/>
  <c r="R66" i="102"/>
  <c r="R51" i="102"/>
  <c r="R21" i="102"/>
  <c r="R59" i="102"/>
  <c r="F79" i="104"/>
  <c r="F78" i="104"/>
  <c r="F71" i="104"/>
  <c r="F67" i="104"/>
  <c r="F66" i="104"/>
  <c r="F51" i="104"/>
  <c r="F50" i="104"/>
  <c r="F31" i="104"/>
  <c r="F27" i="104"/>
  <c r="F61" i="104"/>
  <c r="F53" i="104"/>
  <c r="F52" i="104"/>
  <c r="F41" i="104"/>
  <c r="F37" i="104"/>
  <c r="F80" i="104"/>
  <c r="F72" i="104"/>
  <c r="F68" i="104"/>
  <c r="F32" i="104"/>
  <c r="F28" i="104"/>
  <c r="F63" i="104"/>
  <c r="F62" i="104"/>
  <c r="F55" i="104"/>
  <c r="F54" i="104"/>
  <c r="F43" i="104"/>
  <c r="F42" i="104"/>
  <c r="F19" i="104"/>
  <c r="F18" i="104"/>
  <c r="F38" i="104"/>
  <c r="F82" i="104"/>
  <c r="F73" i="104"/>
  <c r="F69" i="104"/>
  <c r="F57" i="104"/>
  <c r="F56" i="104"/>
  <c r="F45" i="104"/>
  <c r="F44" i="104"/>
  <c r="F33" i="104"/>
  <c r="F29" i="104"/>
  <c r="F86" i="104"/>
  <c r="F64" i="104"/>
  <c r="F20" i="104"/>
  <c r="F77" i="104"/>
  <c r="F76" i="104"/>
  <c r="F65" i="104"/>
  <c r="F49" i="104"/>
  <c r="F48" i="104"/>
  <c r="F24" i="104"/>
  <c r="F60" i="104"/>
  <c r="F40" i="104"/>
  <c r="F36" i="104"/>
  <c r="F35" i="104"/>
  <c r="D22" i="104"/>
  <c r="L12" i="104"/>
  <c r="N12" i="104" s="1"/>
  <c r="F74" i="104"/>
  <c r="F25" i="104"/>
  <c r="F39" i="104"/>
  <c r="F47" i="104"/>
  <c r="F58" i="104"/>
  <c r="F34" i="104"/>
  <c r="F26" i="104"/>
  <c r="F75" i="104"/>
  <c r="F70" i="104"/>
  <c r="F59" i="104"/>
  <c r="F30" i="104"/>
  <c r="F46" i="104"/>
  <c r="T24" i="87"/>
  <c r="Z16" i="87"/>
  <c r="L16" i="87"/>
  <c r="D24" i="87"/>
  <c r="D75" i="81"/>
  <c r="L20" i="81"/>
  <c r="N20" i="81" s="1"/>
  <c r="T87" i="88"/>
  <c r="H70" i="80"/>
  <c r="N20" i="80"/>
  <c r="F20" i="80"/>
  <c r="R54" i="77"/>
  <c r="X52" i="74"/>
  <c r="P89" i="74"/>
  <c r="N112" i="71"/>
  <c r="X116" i="69"/>
  <c r="N20" i="70"/>
  <c r="H73" i="70"/>
  <c r="L16" i="58"/>
  <c r="D71" i="58"/>
  <c r="V20" i="80"/>
  <c r="N16" i="57"/>
  <c r="H68" i="57"/>
  <c r="T106" i="51"/>
  <c r="D70" i="48"/>
  <c r="L17" i="48"/>
  <c r="N17" i="48" s="1"/>
  <c r="V125" i="39"/>
  <c r="T97" i="33"/>
  <c r="V121" i="36"/>
  <c r="V115" i="36"/>
  <c r="V107" i="36"/>
  <c r="V91" i="36"/>
  <c r="V75" i="36"/>
  <c r="V67" i="36"/>
  <c r="V39" i="36"/>
  <c r="V35" i="36"/>
  <c r="V120" i="36"/>
  <c r="V114" i="36"/>
  <c r="V106" i="36"/>
  <c r="V102" i="36"/>
  <c r="V98" i="36"/>
  <c r="V86" i="36"/>
  <c r="V78" i="36"/>
  <c r="V66" i="36"/>
  <c r="V58" i="36"/>
  <c r="V26" i="36"/>
  <c r="V119" i="36"/>
  <c r="V109" i="36"/>
  <c r="V97" i="36"/>
  <c r="V85" i="36"/>
  <c r="V77" i="36"/>
  <c r="V69" i="36"/>
  <c r="V49" i="36"/>
  <c r="V45" i="36"/>
  <c r="V118" i="36"/>
  <c r="V116" i="36"/>
  <c r="V108" i="36"/>
  <c r="V92" i="36"/>
  <c r="V80" i="36"/>
  <c r="V68" i="36"/>
  <c r="V125" i="36"/>
  <c r="V111" i="36"/>
  <c r="V103" i="36"/>
  <c r="V99" i="36"/>
  <c r="V87" i="36"/>
  <c r="V79" i="36"/>
  <c r="V59" i="36"/>
  <c r="V51" i="36"/>
  <c r="V110" i="36"/>
  <c r="V82" i="36"/>
  <c r="V70" i="36"/>
  <c r="V50" i="36"/>
  <c r="V46" i="36"/>
  <c r="V93" i="36"/>
  <c r="V89" i="36"/>
  <c r="V81" i="36"/>
  <c r="V61" i="36"/>
  <c r="V53" i="36"/>
  <c r="V112" i="36"/>
  <c r="V104" i="36"/>
  <c r="V100" i="36"/>
  <c r="V88" i="36"/>
  <c r="V72" i="36"/>
  <c r="V60" i="36"/>
  <c r="V52" i="36"/>
  <c r="V32" i="36"/>
  <c r="V30" i="36"/>
  <c r="V28" i="36"/>
  <c r="V95" i="36"/>
  <c r="V83" i="36"/>
  <c r="V71" i="36"/>
  <c r="V63" i="36"/>
  <c r="V55" i="36"/>
  <c r="V47" i="36"/>
  <c r="V113" i="36"/>
  <c r="V105" i="36"/>
  <c r="V101" i="36"/>
  <c r="V73" i="36"/>
  <c r="V65" i="36"/>
  <c r="V57" i="36"/>
  <c r="V62" i="36"/>
  <c r="V56" i="36"/>
  <c r="V33" i="36"/>
  <c r="V42" i="36"/>
  <c r="V40" i="36"/>
  <c r="V94" i="36"/>
  <c r="V44" i="36"/>
  <c r="V74" i="36"/>
  <c r="V64" i="36"/>
  <c r="V96" i="36"/>
  <c r="V76" i="36"/>
  <c r="V37" i="36"/>
  <c r="V84" i="36"/>
  <c r="V43" i="36"/>
  <c r="V90" i="36"/>
  <c r="T30" i="36"/>
  <c r="X30" i="36" s="1"/>
  <c r="V48" i="36"/>
  <c r="V41" i="36"/>
  <c r="V34" i="36"/>
  <c r="V54" i="36"/>
  <c r="V27" i="36"/>
  <c r="Z12" i="36"/>
  <c r="X12" i="36"/>
  <c r="V36" i="36"/>
  <c r="V38" i="36"/>
  <c r="J140" i="30"/>
  <c r="J114" i="30"/>
  <c r="J94" i="30"/>
  <c r="J86" i="30"/>
  <c r="J141" i="30"/>
  <c r="J133" i="30"/>
  <c r="J121" i="30"/>
  <c r="J115" i="30"/>
  <c r="J95" i="30"/>
  <c r="J81" i="30"/>
  <c r="J77" i="30"/>
  <c r="J128" i="30"/>
  <c r="J122" i="30"/>
  <c r="J116" i="30"/>
  <c r="J129" i="30"/>
  <c r="J123" i="30"/>
  <c r="J105" i="30"/>
  <c r="J87" i="30"/>
  <c r="J83" i="30"/>
  <c r="J73" i="30"/>
  <c r="J142" i="30"/>
  <c r="J134" i="30"/>
  <c r="J130" i="30"/>
  <c r="J106" i="30"/>
  <c r="J78" i="30"/>
  <c r="J74" i="30"/>
  <c r="J72" i="30"/>
  <c r="J70" i="30"/>
  <c r="J143" i="30"/>
  <c r="J117" i="30"/>
  <c r="J107" i="30"/>
  <c r="J97" i="30"/>
  <c r="J144" i="30"/>
  <c r="J124" i="30"/>
  <c r="J108" i="30"/>
  <c r="J98" i="30"/>
  <c r="J88" i="30"/>
  <c r="J84" i="30"/>
  <c r="J151" i="30"/>
  <c r="J137" i="30"/>
  <c r="J125" i="30"/>
  <c r="J119" i="30"/>
  <c r="J111" i="30"/>
  <c r="J101" i="30"/>
  <c r="J91" i="30"/>
  <c r="J85" i="30"/>
  <c r="J139" i="30"/>
  <c r="J126" i="30"/>
  <c r="J96" i="30"/>
  <c r="J67" i="30"/>
  <c r="J62" i="30"/>
  <c r="N12" i="30"/>
  <c r="J120" i="30"/>
  <c r="J99" i="30"/>
  <c r="J79" i="30"/>
  <c r="J57" i="30"/>
  <c r="J49" i="30"/>
  <c r="J135" i="30"/>
  <c r="J131" i="30"/>
  <c r="J75" i="30"/>
  <c r="J65" i="30"/>
  <c r="J52" i="30"/>
  <c r="J46" i="30"/>
  <c r="J147" i="30"/>
  <c r="J109" i="30"/>
  <c r="J92" i="30"/>
  <c r="J60" i="30"/>
  <c r="J104" i="30"/>
  <c r="J102" i="30"/>
  <c r="J82" i="30"/>
  <c r="J68" i="30"/>
  <c r="J55" i="30"/>
  <c r="J138" i="30"/>
  <c r="J118" i="30"/>
  <c r="J100" i="30"/>
  <c r="J63" i="30"/>
  <c r="J58" i="30"/>
  <c r="J47" i="30"/>
  <c r="J136" i="30"/>
  <c r="J93" i="30"/>
  <c r="J90" i="30"/>
  <c r="J53" i="30"/>
  <c r="J50" i="30"/>
  <c r="J127" i="30"/>
  <c r="J112" i="30"/>
  <c r="J66" i="30"/>
  <c r="J61" i="30"/>
  <c r="J132" i="30"/>
  <c r="J80" i="30"/>
  <c r="H70" i="30"/>
  <c r="J146" i="30"/>
  <c r="J76" i="30"/>
  <c r="J56" i="30"/>
  <c r="J51" i="30"/>
  <c r="J110" i="30"/>
  <c r="J103" i="30"/>
  <c r="J64" i="30"/>
  <c r="J59" i="30"/>
  <c r="J48" i="30"/>
  <c r="J45" i="30"/>
  <c r="J113" i="30"/>
  <c r="J54" i="30"/>
  <c r="J89" i="30"/>
  <c r="H123" i="36"/>
  <c r="N30" i="36"/>
  <c r="X60" i="27"/>
  <c r="P118" i="27"/>
  <c r="N295" i="3"/>
  <c r="L16" i="9"/>
  <c r="J295" i="3"/>
  <c r="L295" i="3"/>
  <c r="T27" i="112"/>
  <c r="Z18" i="112"/>
  <c r="L18" i="46"/>
  <c r="D27" i="46"/>
  <c r="Z18" i="50"/>
  <c r="T27" i="50"/>
  <c r="T27" i="53"/>
  <c r="Z18" i="53"/>
  <c r="T27" i="46"/>
  <c r="Z18" i="46"/>
  <c r="T27" i="41"/>
  <c r="Z18" i="41"/>
  <c r="L18" i="37"/>
  <c r="D27" i="37"/>
  <c r="L18" i="34"/>
  <c r="D27" i="34"/>
  <c r="H27" i="26"/>
  <c r="N18" i="26"/>
  <c r="P27" i="23"/>
  <c r="X18" i="23"/>
  <c r="D27" i="20"/>
  <c r="L18" i="20"/>
  <c r="X18" i="19"/>
  <c r="P27" i="19"/>
  <c r="L18" i="10"/>
  <c r="D27" i="10"/>
  <c r="H27" i="13"/>
  <c r="N18" i="13"/>
  <c r="R66" i="110"/>
  <c r="T70" i="110"/>
  <c r="Z17" i="110"/>
  <c r="H70" i="110"/>
  <c r="D82" i="102"/>
  <c r="L23" i="102"/>
  <c r="N23" i="102" s="1"/>
  <c r="L81" i="98"/>
  <c r="F81" i="98"/>
  <c r="H62" i="101"/>
  <c r="N20" i="101"/>
  <c r="P62" i="101"/>
  <c r="X20" i="101"/>
  <c r="Z20" i="101" s="1"/>
  <c r="V73" i="98"/>
  <c r="V69" i="98"/>
  <c r="V57" i="98"/>
  <c r="V86" i="98"/>
  <c r="V56" i="98"/>
  <c r="V48" i="98"/>
  <c r="V28" i="98"/>
  <c r="V63" i="98"/>
  <c r="V47" i="98"/>
  <c r="V74" i="98"/>
  <c r="V65" i="98"/>
  <c r="V49" i="98"/>
  <c r="V41" i="98"/>
  <c r="V76" i="98"/>
  <c r="V64" i="98"/>
  <c r="V52" i="98"/>
  <c r="V40" i="98"/>
  <c r="V78" i="98"/>
  <c r="V66" i="98"/>
  <c r="V54" i="98"/>
  <c r="V42" i="98"/>
  <c r="V81" i="98"/>
  <c r="V79" i="98"/>
  <c r="V67" i="98"/>
  <c r="V55" i="98"/>
  <c r="V31" i="98"/>
  <c r="V27" i="98"/>
  <c r="V62" i="98"/>
  <c r="V82" i="98"/>
  <c r="V61" i="98"/>
  <c r="V77" i="98"/>
  <c r="V75" i="98"/>
  <c r="V68" i="98"/>
  <c r="V59" i="98"/>
  <c r="V51" i="98"/>
  <c r="V25" i="98"/>
  <c r="V17" i="98"/>
  <c r="V70" i="98"/>
  <c r="V36" i="98"/>
  <c r="V32" i="98"/>
  <c r="V72" i="98"/>
  <c r="V46" i="98"/>
  <c r="V38" i="98"/>
  <c r="V34" i="98"/>
  <c r="V26" i="98"/>
  <c r="V18" i="98"/>
  <c r="V23" i="98"/>
  <c r="V50" i="98"/>
  <c r="V44" i="98"/>
  <c r="V29" i="98"/>
  <c r="V22" i="98"/>
  <c r="T20" i="98"/>
  <c r="V37" i="98"/>
  <c r="V33" i="98"/>
  <c r="V30" i="98"/>
  <c r="V24" i="98"/>
  <c r="V71" i="98"/>
  <c r="V53" i="98"/>
  <c r="V45" i="98"/>
  <c r="V43" i="98"/>
  <c r="V35" i="98"/>
  <c r="V16" i="98"/>
  <c r="V39" i="98"/>
  <c r="V58" i="98"/>
  <c r="V60" i="98"/>
  <c r="R81" i="98"/>
  <c r="R62" i="98"/>
  <c r="R73" i="98"/>
  <c r="R69" i="98"/>
  <c r="R37" i="98"/>
  <c r="R33" i="98"/>
  <c r="R86" i="98"/>
  <c r="R57" i="98"/>
  <c r="R56" i="98"/>
  <c r="R74" i="98"/>
  <c r="R70" i="98"/>
  <c r="R58" i="98"/>
  <c r="R39" i="98"/>
  <c r="R38" i="98"/>
  <c r="R34" i="98"/>
  <c r="R50" i="98"/>
  <c r="R49" i="98"/>
  <c r="R29" i="98"/>
  <c r="R25" i="98"/>
  <c r="R76" i="98"/>
  <c r="R75" i="98"/>
  <c r="R71" i="98"/>
  <c r="R59" i="98"/>
  <c r="R52" i="98"/>
  <c r="R51" i="98"/>
  <c r="R35" i="98"/>
  <c r="R72" i="98"/>
  <c r="R61" i="98"/>
  <c r="R60" i="98"/>
  <c r="R45" i="98"/>
  <c r="R44" i="98"/>
  <c r="R36" i="98"/>
  <c r="R82" i="98"/>
  <c r="R79" i="98"/>
  <c r="R68" i="98"/>
  <c r="R67" i="98"/>
  <c r="R53" i="98"/>
  <c r="R54" i="98"/>
  <c r="R48" i="98"/>
  <c r="R43" i="98"/>
  <c r="R16" i="98"/>
  <c r="R63" i="98"/>
  <c r="R77" i="98"/>
  <c r="R40" i="98"/>
  <c r="R31" i="98"/>
  <c r="R28" i="98"/>
  <c r="R17" i="98"/>
  <c r="X12" i="98"/>
  <c r="Z12" i="98" s="1"/>
  <c r="R78" i="98"/>
  <c r="R66" i="98"/>
  <c r="R41" i="98"/>
  <c r="R55" i="98"/>
  <c r="R46" i="98"/>
  <c r="R32" i="98"/>
  <c r="R26" i="98"/>
  <c r="R18" i="98"/>
  <c r="R47" i="98"/>
  <c r="R27" i="98"/>
  <c r="R65" i="98"/>
  <c r="R30" i="98"/>
  <c r="R24" i="98"/>
  <c r="R42" i="98"/>
  <c r="R22" i="98"/>
  <c r="R64" i="98"/>
  <c r="R23" i="98"/>
  <c r="P20" i="98"/>
  <c r="D77" i="95"/>
  <c r="L20" i="95"/>
  <c r="R20" i="95"/>
  <c r="X16" i="92"/>
  <c r="N16" i="87"/>
  <c r="H24" i="87"/>
  <c r="X18" i="86"/>
  <c r="Z18" i="86" s="1"/>
  <c r="P30" i="86"/>
  <c r="P75" i="81"/>
  <c r="X20" i="81"/>
  <c r="R20" i="81"/>
  <c r="F57" i="85"/>
  <c r="D106" i="77"/>
  <c r="L54" i="77"/>
  <c r="N54" i="77" s="1"/>
  <c r="R66" i="76"/>
  <c r="R51" i="76"/>
  <c r="R50" i="76"/>
  <c r="R42" i="76"/>
  <c r="R62" i="76"/>
  <c r="R61" i="76"/>
  <c r="R37" i="76"/>
  <c r="R33" i="76"/>
  <c r="R53" i="76"/>
  <c r="R52" i="76"/>
  <c r="R68" i="76"/>
  <c r="R67" i="76"/>
  <c r="R63" i="76"/>
  <c r="R43" i="76"/>
  <c r="R55" i="76"/>
  <c r="R54" i="76"/>
  <c r="R38" i="76"/>
  <c r="R34" i="76"/>
  <c r="R70" i="76"/>
  <c r="R69" i="76"/>
  <c r="R64" i="76"/>
  <c r="R57" i="76"/>
  <c r="R56" i="76"/>
  <c r="R45" i="76"/>
  <c r="R44" i="76"/>
  <c r="R74" i="76"/>
  <c r="R71" i="76"/>
  <c r="R40" i="76"/>
  <c r="R39" i="76"/>
  <c r="R35" i="76"/>
  <c r="R73" i="76"/>
  <c r="R58" i="76"/>
  <c r="R47" i="76"/>
  <c r="R46" i="76"/>
  <c r="R31" i="76"/>
  <c r="R65" i="76"/>
  <c r="R41" i="76"/>
  <c r="R30" i="76"/>
  <c r="R26" i="76"/>
  <c r="R78" i="76"/>
  <c r="R49" i="76"/>
  <c r="R48" i="76"/>
  <c r="R36" i="76"/>
  <c r="R32" i="76"/>
  <c r="P28" i="76"/>
  <c r="R60" i="76"/>
  <c r="X12" i="76"/>
  <c r="Z12" i="76" s="1"/>
  <c r="R59" i="76"/>
  <c r="D80" i="73"/>
  <c r="F25" i="73"/>
  <c r="L16" i="61"/>
  <c r="D51" i="61"/>
  <c r="X20" i="70"/>
  <c r="Z20" i="70" s="1"/>
  <c r="R20" i="70"/>
  <c r="P73" i="70"/>
  <c r="X100" i="77"/>
  <c r="Z100" i="77" s="1"/>
  <c r="H64" i="59"/>
  <c r="N16" i="59"/>
  <c r="T33" i="55"/>
  <c r="X33" i="55" s="1"/>
  <c r="Z16" i="55"/>
  <c r="Z16" i="56"/>
  <c r="T73" i="56"/>
  <c r="X16" i="55"/>
  <c r="T71" i="59"/>
  <c r="F17" i="48"/>
  <c r="J94" i="45"/>
  <c r="J82" i="45"/>
  <c r="J72" i="45"/>
  <c r="J56" i="45"/>
  <c r="J44" i="45"/>
  <c r="J40" i="45"/>
  <c r="N12" i="45"/>
  <c r="J83" i="45"/>
  <c r="J73" i="45"/>
  <c r="J67" i="45"/>
  <c r="J57" i="45"/>
  <c r="J45" i="45"/>
  <c r="J35" i="45"/>
  <c r="J31" i="45"/>
  <c r="J84" i="45"/>
  <c r="J78" i="45"/>
  <c r="J74" i="45"/>
  <c r="J58" i="45"/>
  <c r="J46" i="45"/>
  <c r="J22" i="45"/>
  <c r="J85" i="45"/>
  <c r="J59" i="45"/>
  <c r="J47" i="45"/>
  <c r="J41" i="45"/>
  <c r="J27" i="45"/>
  <c r="J87" i="45"/>
  <c r="J79" i="45"/>
  <c r="J75" i="45"/>
  <c r="J69" i="45"/>
  <c r="J61" i="45"/>
  <c r="J70" i="45"/>
  <c r="J62" i="45"/>
  <c r="J63" i="45"/>
  <c r="J51" i="45"/>
  <c r="J33" i="45"/>
  <c r="J29" i="45"/>
  <c r="J90" i="45"/>
  <c r="J66" i="45"/>
  <c r="J54" i="45"/>
  <c r="J34" i="45"/>
  <c r="J30" i="45"/>
  <c r="J20" i="45"/>
  <c r="J81" i="45"/>
  <c r="J77" i="45"/>
  <c r="J55" i="45"/>
  <c r="J21" i="45"/>
  <c r="J68" i="45"/>
  <c r="J49" i="45"/>
  <c r="J26" i="45"/>
  <c r="J36" i="45"/>
  <c r="J65" i="45"/>
  <c r="J52" i="45"/>
  <c r="J76" i="45"/>
  <c r="J50" i="45"/>
  <c r="J43" i="45"/>
  <c r="J39" i="45"/>
  <c r="J37" i="45"/>
  <c r="J86" i="45"/>
  <c r="J24" i="45"/>
  <c r="J88" i="45"/>
  <c r="J71" i="45"/>
  <c r="J48" i="45"/>
  <c r="H24" i="45"/>
  <c r="L24" i="45" s="1"/>
  <c r="J80" i="45"/>
  <c r="J53" i="45"/>
  <c r="J42" i="45"/>
  <c r="J38" i="45"/>
  <c r="J60" i="45"/>
  <c r="J28" i="45"/>
  <c r="J64" i="45"/>
  <c r="J32" i="45"/>
  <c r="N66" i="48"/>
  <c r="R30" i="36"/>
  <c r="J118" i="36"/>
  <c r="X77" i="24"/>
  <c r="P136" i="24"/>
  <c r="Z273" i="18"/>
  <c r="N113" i="27"/>
  <c r="V142" i="30"/>
  <c r="V134" i="30"/>
  <c r="V130" i="30"/>
  <c r="V106" i="30"/>
  <c r="V98" i="30"/>
  <c r="V78" i="30"/>
  <c r="V74" i="30"/>
  <c r="V147" i="30"/>
  <c r="V117" i="30"/>
  <c r="V109" i="30"/>
  <c r="V97" i="30"/>
  <c r="V89" i="30"/>
  <c r="V146" i="30"/>
  <c r="V144" i="30"/>
  <c r="V136" i="30"/>
  <c r="V124" i="30"/>
  <c r="V108" i="30"/>
  <c r="V135" i="30"/>
  <c r="V131" i="30"/>
  <c r="V119" i="30"/>
  <c r="V111" i="30"/>
  <c r="V99" i="30"/>
  <c r="V91" i="30"/>
  <c r="V79" i="30"/>
  <c r="V75" i="30"/>
  <c r="V138" i="30"/>
  <c r="V126" i="30"/>
  <c r="V118" i="30"/>
  <c r="V110" i="30"/>
  <c r="V102" i="30"/>
  <c r="V90" i="30"/>
  <c r="V66" i="30"/>
  <c r="V62" i="30"/>
  <c r="V58" i="30"/>
  <c r="V54" i="30"/>
  <c r="V151" i="30"/>
  <c r="V137" i="30"/>
  <c r="V125" i="30"/>
  <c r="V113" i="30"/>
  <c r="V101" i="30"/>
  <c r="V93" i="30"/>
  <c r="V85" i="30"/>
  <c r="V140" i="30"/>
  <c r="V132" i="30"/>
  <c r="V120" i="30"/>
  <c r="V112" i="30"/>
  <c r="V92" i="30"/>
  <c r="V141" i="30"/>
  <c r="V133" i="30"/>
  <c r="V129" i="30"/>
  <c r="V121" i="30"/>
  <c r="V105" i="30"/>
  <c r="V81" i="30"/>
  <c r="V77" i="30"/>
  <c r="V73" i="30"/>
  <c r="V104" i="30"/>
  <c r="V82" i="30"/>
  <c r="V60" i="30"/>
  <c r="V107" i="30"/>
  <c r="V100" i="30"/>
  <c r="V68" i="30"/>
  <c r="V55" i="30"/>
  <c r="V116" i="30"/>
  <c r="V95" i="30"/>
  <c r="V84" i="30"/>
  <c r="V63" i="30"/>
  <c r="V50" i="30"/>
  <c r="V47" i="30"/>
  <c r="V127" i="30"/>
  <c r="V114" i="30"/>
  <c r="V86" i="30"/>
  <c r="V53" i="30"/>
  <c r="V123" i="30"/>
  <c r="V80" i="30"/>
  <c r="V70" i="30"/>
  <c r="V61" i="30"/>
  <c r="V88" i="30"/>
  <c r="V76" i="30"/>
  <c r="T70" i="30"/>
  <c r="V143" i="30"/>
  <c r="V56" i="30"/>
  <c r="V51" i="30"/>
  <c r="V48" i="30"/>
  <c r="V45" i="30"/>
  <c r="V115" i="30"/>
  <c r="V103" i="30"/>
  <c r="V64" i="30"/>
  <c r="V59" i="30"/>
  <c r="V122" i="30"/>
  <c r="V96" i="30"/>
  <c r="V83" i="30"/>
  <c r="V72" i="30"/>
  <c r="V67" i="30"/>
  <c r="Z12" i="30"/>
  <c r="V139" i="30"/>
  <c r="V128" i="30"/>
  <c r="V57" i="30"/>
  <c r="V94" i="30"/>
  <c r="V49" i="30"/>
  <c r="V46" i="30"/>
  <c r="V52" i="30"/>
  <c r="V87" i="30"/>
  <c r="V65" i="30"/>
  <c r="D287" i="18"/>
  <c r="L184" i="18"/>
  <c r="J282" i="18"/>
  <c r="J238" i="18"/>
  <c r="J226" i="18"/>
  <c r="J202" i="18"/>
  <c r="J198" i="18"/>
  <c r="J281" i="18"/>
  <c r="J249" i="18"/>
  <c r="J227" i="18"/>
  <c r="J217" i="18"/>
  <c r="J209" i="18"/>
  <c r="J193" i="18"/>
  <c r="J189" i="18"/>
  <c r="J280" i="18"/>
  <c r="J268" i="18"/>
  <c r="J260" i="18"/>
  <c r="J256" i="18"/>
  <c r="J250" i="18"/>
  <c r="J244" i="18"/>
  <c r="J228" i="18"/>
  <c r="J218" i="18"/>
  <c r="J210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132" i="18"/>
  <c r="J128" i="18"/>
  <c r="J279" i="18"/>
  <c r="J261" i="18"/>
  <c r="J251" i="18"/>
  <c r="J245" i="18"/>
  <c r="J239" i="18"/>
  <c r="J229" i="18"/>
  <c r="J219" i="18"/>
  <c r="J211" i="18"/>
  <c r="J203" i="18"/>
  <c r="J199" i="18"/>
  <c r="J278" i="18"/>
  <c r="J262" i="18"/>
  <c r="J246" i="18"/>
  <c r="J230" i="18"/>
  <c r="J220" i="18"/>
  <c r="J277" i="18"/>
  <c r="J269" i="18"/>
  <c r="J257" i="18"/>
  <c r="J231" i="18"/>
  <c r="J221" i="18"/>
  <c r="J213" i="18"/>
  <c r="J181" i="18"/>
  <c r="J177" i="18"/>
  <c r="J173" i="18"/>
  <c r="J169" i="18"/>
  <c r="J165" i="18"/>
  <c r="J161" i="18"/>
  <c r="J157" i="18"/>
  <c r="J153" i="18"/>
  <c r="J149" i="18"/>
  <c r="J145" i="18"/>
  <c r="J141" i="18"/>
  <c r="J137" i="18"/>
  <c r="J133" i="18"/>
  <c r="J129" i="18"/>
  <c r="J276" i="18"/>
  <c r="J270" i="18"/>
  <c r="J252" i="18"/>
  <c r="J240" i="18"/>
  <c r="J232" i="18"/>
  <c r="J222" i="18"/>
  <c r="J204" i="18"/>
  <c r="J200" i="18"/>
  <c r="N12" i="18"/>
  <c r="J275" i="18"/>
  <c r="J271" i="18"/>
  <c r="J263" i="18"/>
  <c r="J253" i="18"/>
  <c r="J247" i="18"/>
  <c r="J241" i="18"/>
  <c r="J233" i="18"/>
  <c r="J223" i="18"/>
  <c r="J205" i="18"/>
  <c r="J195" i="18"/>
  <c r="J191" i="18"/>
  <c r="J284" i="18"/>
  <c r="J266" i="18"/>
  <c r="J248" i="18"/>
  <c r="J236" i="18"/>
  <c r="J216" i="18"/>
  <c r="J208" i="18"/>
  <c r="J196" i="18"/>
  <c r="J192" i="18"/>
  <c r="J188" i="18"/>
  <c r="J186" i="18"/>
  <c r="J289" i="18"/>
  <c r="J283" i="18"/>
  <c r="J267" i="18"/>
  <c r="J259" i="18"/>
  <c r="J255" i="18"/>
  <c r="J243" i="18"/>
  <c r="J237" i="18"/>
  <c r="J197" i="18"/>
  <c r="H184" i="18"/>
  <c r="J184" i="18" s="1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127" i="18"/>
  <c r="J254" i="18"/>
  <c r="J194" i="18"/>
  <c r="J142" i="18"/>
  <c r="J234" i="18"/>
  <c r="J212" i="18"/>
  <c r="J158" i="18"/>
  <c r="J126" i="18"/>
  <c r="J225" i="18"/>
  <c r="J174" i="18"/>
  <c r="J242" i="18"/>
  <c r="J214" i="18"/>
  <c r="J146" i="18"/>
  <c r="J273" i="18"/>
  <c r="J265" i="18"/>
  <c r="J206" i="18"/>
  <c r="J130" i="18"/>
  <c r="J182" i="18"/>
  <c r="J178" i="18"/>
  <c r="J162" i="18"/>
  <c r="J258" i="18"/>
  <c r="J235" i="18"/>
  <c r="J150" i="18"/>
  <c r="J134" i="18"/>
  <c r="J125" i="18"/>
  <c r="J224" i="18"/>
  <c r="J201" i="18"/>
  <c r="J264" i="18"/>
  <c r="J166" i="18"/>
  <c r="J215" i="18"/>
  <c r="J138" i="18"/>
  <c r="J190" i="18"/>
  <c r="J187" i="18"/>
  <c r="J274" i="18"/>
  <c r="J207" i="18"/>
  <c r="J285" i="18"/>
  <c r="J170" i="18"/>
  <c r="J154" i="18"/>
  <c r="D95" i="9"/>
  <c r="L91" i="9"/>
  <c r="H27" i="47"/>
  <c r="N18" i="47"/>
  <c r="H27" i="40"/>
  <c r="N18" i="40"/>
  <c r="T27" i="37"/>
  <c r="Z18" i="37"/>
  <c r="L18" i="38"/>
  <c r="D27" i="38"/>
  <c r="T27" i="34"/>
  <c r="Z18" i="34"/>
  <c r="L18" i="35"/>
  <c r="D27" i="35"/>
  <c r="X18" i="31"/>
  <c r="P27" i="31"/>
  <c r="X18" i="22"/>
  <c r="P27" i="22"/>
  <c r="H27" i="23"/>
  <c r="N18" i="23"/>
  <c r="L18" i="32"/>
  <c r="D27" i="32"/>
  <c r="N18" i="20"/>
  <c r="H27" i="20"/>
  <c r="L18" i="22"/>
  <c r="D27" i="22"/>
  <c r="T27" i="10"/>
  <c r="Z18" i="10"/>
  <c r="D27" i="14"/>
  <c r="L18" i="14"/>
  <c r="T31" i="34" l="1"/>
  <c r="Z27" i="34"/>
  <c r="N27" i="26"/>
  <c r="H31" i="26"/>
  <c r="H127" i="36"/>
  <c r="J123" i="36"/>
  <c r="T28" i="87"/>
  <c r="L27" i="23"/>
  <c r="D31" i="23"/>
  <c r="P31" i="6"/>
  <c r="D26" i="6"/>
  <c r="L22" i="6"/>
  <c r="T124" i="85"/>
  <c r="V120" i="85"/>
  <c r="H31" i="8"/>
  <c r="N27" i="8"/>
  <c r="Z27" i="26"/>
  <c r="T31" i="26"/>
  <c r="H122" i="27"/>
  <c r="J118" i="27"/>
  <c r="H77" i="93"/>
  <c r="Z27" i="14"/>
  <c r="T31" i="14"/>
  <c r="P31" i="34"/>
  <c r="X27" i="34"/>
  <c r="L95" i="64"/>
  <c r="D99" i="64"/>
  <c r="N27" i="5"/>
  <c r="H31" i="5"/>
  <c r="P31" i="44"/>
  <c r="X27" i="44"/>
  <c r="Z71" i="58"/>
  <c r="T75" i="58"/>
  <c r="H65" i="68"/>
  <c r="D89" i="74"/>
  <c r="L52" i="74"/>
  <c r="N52" i="74" s="1"/>
  <c r="T89" i="106"/>
  <c r="V85" i="106"/>
  <c r="P68" i="59"/>
  <c r="X64" i="59"/>
  <c r="Z64" i="59" s="1"/>
  <c r="T77" i="95"/>
  <c r="Z20" i="95"/>
  <c r="X85" i="106"/>
  <c r="Z85" i="106" s="1"/>
  <c r="P89" i="106"/>
  <c r="R85" i="106"/>
  <c r="N27" i="4"/>
  <c r="H31" i="4"/>
  <c r="H31" i="41"/>
  <c r="N27" i="41"/>
  <c r="Z60" i="27"/>
  <c r="T118" i="27"/>
  <c r="P77" i="93"/>
  <c r="X20" i="93"/>
  <c r="Z20" i="93" s="1"/>
  <c r="D81" i="93"/>
  <c r="L77" i="93"/>
  <c r="F77" i="93"/>
  <c r="H56" i="105"/>
  <c r="J52" i="105"/>
  <c r="Z27" i="17"/>
  <c r="T31" i="17"/>
  <c r="T95" i="9"/>
  <c r="H76" i="76"/>
  <c r="H28" i="107"/>
  <c r="N24" i="107"/>
  <c r="N27" i="113"/>
  <c r="H31" i="113"/>
  <c r="H26" i="54"/>
  <c r="N22" i="54"/>
  <c r="L22" i="54"/>
  <c r="X70" i="69"/>
  <c r="P119" i="69"/>
  <c r="P84" i="73"/>
  <c r="R80" i="73"/>
  <c r="L20" i="88"/>
  <c r="H77" i="95"/>
  <c r="N20" i="95"/>
  <c r="D31" i="32"/>
  <c r="L27" i="32"/>
  <c r="D31" i="38"/>
  <c r="L27" i="38"/>
  <c r="H68" i="59"/>
  <c r="H28" i="87"/>
  <c r="D81" i="95"/>
  <c r="L77" i="95"/>
  <c r="F77" i="95"/>
  <c r="P66" i="101"/>
  <c r="X62" i="101"/>
  <c r="Z62" i="101" s="1"/>
  <c r="R62" i="101"/>
  <c r="L27" i="34"/>
  <c r="D31" i="34"/>
  <c r="L27" i="46"/>
  <c r="D31" i="46"/>
  <c r="T121" i="71"/>
  <c r="V117" i="71"/>
  <c r="L84" i="98"/>
  <c r="N84" i="98" s="1"/>
  <c r="D88" i="98"/>
  <c r="F84" i="98"/>
  <c r="D31" i="41"/>
  <c r="L27" i="41"/>
  <c r="H123" i="69"/>
  <c r="J119" i="69"/>
  <c r="L51" i="75"/>
  <c r="D110" i="75"/>
  <c r="F51" i="75"/>
  <c r="H73" i="89"/>
  <c r="X27" i="14"/>
  <c r="P31" i="14"/>
  <c r="L27" i="28"/>
  <c r="D31" i="28"/>
  <c r="L27" i="111"/>
  <c r="D31" i="111"/>
  <c r="D124" i="42"/>
  <c r="F120" i="42"/>
  <c r="T89" i="108"/>
  <c r="V85" i="108"/>
  <c r="P31" i="41"/>
  <c r="X27" i="41"/>
  <c r="H89" i="84"/>
  <c r="J85" i="84"/>
  <c r="P106" i="51"/>
  <c r="X54" i="51"/>
  <c r="Z54" i="51" s="1"/>
  <c r="P52" i="105"/>
  <c r="X21" i="105"/>
  <c r="X130" i="39"/>
  <c r="P134" i="39"/>
  <c r="R130" i="39"/>
  <c r="Z27" i="28"/>
  <c r="T31" i="28"/>
  <c r="H314" i="3"/>
  <c r="J310" i="3"/>
  <c r="F37" i="86"/>
  <c r="D29" i="83"/>
  <c r="L21" i="83"/>
  <c r="X27" i="4"/>
  <c r="P31" i="4"/>
  <c r="P31" i="20"/>
  <c r="X27" i="20"/>
  <c r="P314" i="3"/>
  <c r="X310" i="3"/>
  <c r="R310" i="3"/>
  <c r="L20" i="93"/>
  <c r="N20" i="93" s="1"/>
  <c r="T69" i="101"/>
  <c r="V66" i="101"/>
  <c r="T82" i="102"/>
  <c r="P40" i="55"/>
  <c r="P98" i="92"/>
  <c r="P84" i="98"/>
  <c r="X20" i="98"/>
  <c r="T84" i="98"/>
  <c r="Z20" i="98"/>
  <c r="D84" i="104"/>
  <c r="L22" i="104"/>
  <c r="X27" i="37"/>
  <c r="P31" i="37"/>
  <c r="L20" i="94"/>
  <c r="N20" i="94" s="1"/>
  <c r="D67" i="94"/>
  <c r="L27" i="16"/>
  <c r="D31" i="16"/>
  <c r="P28" i="107"/>
  <c r="X24" i="107"/>
  <c r="P85" i="108"/>
  <c r="X21" i="108"/>
  <c r="Z21" i="108" s="1"/>
  <c r="P74" i="110"/>
  <c r="X70" i="110"/>
  <c r="R70" i="110"/>
  <c r="L54" i="103"/>
  <c r="D57" i="103"/>
  <c r="N27" i="38"/>
  <c r="H31" i="38"/>
  <c r="H106" i="51"/>
  <c r="P99" i="64"/>
  <c r="X95" i="64"/>
  <c r="Z95" i="64" s="1"/>
  <c r="H287" i="18"/>
  <c r="N184" i="18"/>
  <c r="P77" i="70"/>
  <c r="X73" i="70"/>
  <c r="R73" i="70"/>
  <c r="R20" i="98"/>
  <c r="H66" i="101"/>
  <c r="L27" i="10"/>
  <c r="D31" i="10"/>
  <c r="D31" i="37"/>
  <c r="L27" i="37"/>
  <c r="D75" i="58"/>
  <c r="L71" i="58"/>
  <c r="N71" i="58" s="1"/>
  <c r="H51" i="99"/>
  <c r="N47" i="99"/>
  <c r="P267" i="12"/>
  <c r="X164" i="12"/>
  <c r="H97" i="33"/>
  <c r="J93" i="33"/>
  <c r="H47" i="100"/>
  <c r="D52" i="105"/>
  <c r="L21" i="105"/>
  <c r="N21" i="105" s="1"/>
  <c r="X68" i="57"/>
  <c r="Z68" i="57" s="1"/>
  <c r="P72" i="57"/>
  <c r="H89" i="74"/>
  <c r="L27" i="44"/>
  <c r="D31" i="44"/>
  <c r="P33" i="83"/>
  <c r="X29" i="83"/>
  <c r="R29" i="83"/>
  <c r="D89" i="96"/>
  <c r="L20" i="96"/>
  <c r="N20" i="96" s="1"/>
  <c r="P41" i="109"/>
  <c r="X37" i="109"/>
  <c r="H31" i="50"/>
  <c r="N27" i="50"/>
  <c r="P120" i="42"/>
  <c r="X29" i="42"/>
  <c r="N40" i="55"/>
  <c r="P69" i="79"/>
  <c r="R65" i="79"/>
  <c r="L27" i="52"/>
  <c r="D31" i="52"/>
  <c r="D40" i="55"/>
  <c r="L40" i="55" s="1"/>
  <c r="L37" i="55"/>
  <c r="N37" i="55" s="1"/>
  <c r="N22" i="6"/>
  <c r="H26" i="6"/>
  <c r="X51" i="75"/>
  <c r="P110" i="75"/>
  <c r="D124" i="85"/>
  <c r="L120" i="85"/>
  <c r="F120" i="85"/>
  <c r="X27" i="49"/>
  <c r="P31" i="49"/>
  <c r="P71" i="94"/>
  <c r="X67" i="94"/>
  <c r="R67" i="94"/>
  <c r="X27" i="11"/>
  <c r="P31" i="11"/>
  <c r="Z27" i="16"/>
  <c r="T31" i="16"/>
  <c r="P31" i="52"/>
  <c r="X27" i="52"/>
  <c r="N27" i="23"/>
  <c r="H31" i="23"/>
  <c r="Z27" i="37"/>
  <c r="T31" i="37"/>
  <c r="X28" i="76"/>
  <c r="P76" i="76"/>
  <c r="Z27" i="112"/>
  <c r="T31" i="112"/>
  <c r="H149" i="30"/>
  <c r="T100" i="33"/>
  <c r="V97" i="33"/>
  <c r="X27" i="40"/>
  <c r="P31" i="40"/>
  <c r="T92" i="45"/>
  <c r="D65" i="68"/>
  <c r="L61" i="68"/>
  <c r="N61" i="68" s="1"/>
  <c r="T88" i="104"/>
  <c r="V84" i="104"/>
  <c r="T31" i="23"/>
  <c r="Z27" i="23"/>
  <c r="T31" i="40"/>
  <c r="Z27" i="40"/>
  <c r="T119" i="69"/>
  <c r="Z70" i="69"/>
  <c r="Z27" i="22"/>
  <c r="T31" i="22"/>
  <c r="N27" i="111"/>
  <c r="H31" i="111"/>
  <c r="H53" i="60"/>
  <c r="D95" i="92"/>
  <c r="L91" i="92"/>
  <c r="N91" i="92" s="1"/>
  <c r="X27" i="25"/>
  <c r="P31" i="25"/>
  <c r="X73" i="56"/>
  <c r="P77" i="56"/>
  <c r="N27" i="19"/>
  <c r="H31" i="19"/>
  <c r="H120" i="42"/>
  <c r="L120" i="42" s="1"/>
  <c r="N29" i="42"/>
  <c r="D96" i="45"/>
  <c r="F92" i="45"/>
  <c r="T53" i="60"/>
  <c r="X49" i="60"/>
  <c r="Z49" i="60" s="1"/>
  <c r="R21" i="108"/>
  <c r="N27" i="10"/>
  <c r="H31" i="10"/>
  <c r="H31" i="31"/>
  <c r="N27" i="31"/>
  <c r="D77" i="70"/>
  <c r="L73" i="70"/>
  <c r="N73" i="70" s="1"/>
  <c r="F73" i="70"/>
  <c r="P51" i="99"/>
  <c r="X47" i="99"/>
  <c r="R47" i="99"/>
  <c r="D31" i="4"/>
  <c r="L27" i="4"/>
  <c r="Z27" i="25"/>
  <c r="T31" i="25"/>
  <c r="T31" i="49"/>
  <c r="Z27" i="49"/>
  <c r="L159" i="15"/>
  <c r="N159" i="15" s="1"/>
  <c r="D259" i="15"/>
  <c r="D127" i="36"/>
  <c r="L123" i="36"/>
  <c r="N123" i="36" s="1"/>
  <c r="F123" i="36"/>
  <c r="Z27" i="38"/>
  <c r="T31" i="38"/>
  <c r="X184" i="18"/>
  <c r="P287" i="18"/>
  <c r="L64" i="59"/>
  <c r="N64" i="59" s="1"/>
  <c r="D68" i="59"/>
  <c r="T81" i="93"/>
  <c r="V77" i="93"/>
  <c r="H74" i="80"/>
  <c r="J70" i="80"/>
  <c r="Z22" i="6"/>
  <c r="T26" i="6"/>
  <c r="X26" i="6" s="1"/>
  <c r="T31" i="54"/>
  <c r="Z26" i="54"/>
  <c r="H80" i="73"/>
  <c r="P31" i="54"/>
  <c r="X31" i="54" s="1"/>
  <c r="X26" i="54"/>
  <c r="H71" i="94"/>
  <c r="J67" i="94"/>
  <c r="T89" i="96"/>
  <c r="P31" i="50"/>
  <c r="X27" i="50"/>
  <c r="H77" i="56"/>
  <c r="X27" i="17"/>
  <c r="P31" i="17"/>
  <c r="H55" i="61"/>
  <c r="N51" i="61"/>
  <c r="Z27" i="44"/>
  <c r="T31" i="44"/>
  <c r="T31" i="20"/>
  <c r="Z27" i="20"/>
  <c r="T73" i="89"/>
  <c r="D28" i="107"/>
  <c r="L24" i="107"/>
  <c r="X27" i="22"/>
  <c r="P31" i="22"/>
  <c r="X27" i="19"/>
  <c r="P31" i="19"/>
  <c r="H77" i="70"/>
  <c r="J73" i="70"/>
  <c r="V87" i="88"/>
  <c r="T90" i="88"/>
  <c r="H41" i="109"/>
  <c r="D47" i="100"/>
  <c r="L43" i="100"/>
  <c r="N43" i="100" s="1"/>
  <c r="Z21" i="105"/>
  <c r="T52" i="105"/>
  <c r="L93" i="33"/>
  <c r="N93" i="33" s="1"/>
  <c r="D97" i="33"/>
  <c r="F93" i="33"/>
  <c r="X37" i="33"/>
  <c r="Z37" i="33" s="1"/>
  <c r="P93" i="33"/>
  <c r="X51" i="61"/>
  <c r="P55" i="61"/>
  <c r="T47" i="100"/>
  <c r="X43" i="100"/>
  <c r="Z43" i="100" s="1"/>
  <c r="D31" i="19"/>
  <c r="L27" i="19"/>
  <c r="P31" i="43"/>
  <c r="X27" i="43"/>
  <c r="H88" i="98"/>
  <c r="J84" i="98"/>
  <c r="P31" i="5"/>
  <c r="X27" i="5"/>
  <c r="T31" i="111"/>
  <c r="Z27" i="111"/>
  <c r="P88" i="104"/>
  <c r="X84" i="104"/>
  <c r="Z84" i="104" s="1"/>
  <c r="R84" i="104"/>
  <c r="T31" i="43"/>
  <c r="Z27" i="43"/>
  <c r="H259" i="15"/>
  <c r="R21" i="105"/>
  <c r="L27" i="53"/>
  <c r="D31" i="53"/>
  <c r="L27" i="5"/>
  <c r="D31" i="5"/>
  <c r="D31" i="25"/>
  <c r="L27" i="25"/>
  <c r="P110" i="77"/>
  <c r="X106" i="77"/>
  <c r="R106" i="77"/>
  <c r="H84" i="104"/>
  <c r="N22" i="104"/>
  <c r="X27" i="7"/>
  <c r="P31" i="7"/>
  <c r="P31" i="35"/>
  <c r="X27" i="35"/>
  <c r="D31" i="113"/>
  <c r="L27" i="113"/>
  <c r="D103" i="21"/>
  <c r="L28" i="21"/>
  <c r="P89" i="84"/>
  <c r="X85" i="84"/>
  <c r="R85" i="84"/>
  <c r="D66" i="101"/>
  <c r="L62" i="101"/>
  <c r="N62" i="101" s="1"/>
  <c r="H110" i="77"/>
  <c r="J106" i="77"/>
  <c r="N27" i="13"/>
  <c r="H31" i="13"/>
  <c r="D31" i="17"/>
  <c r="L27" i="17"/>
  <c r="D31" i="14"/>
  <c r="L27" i="14"/>
  <c r="H31" i="40"/>
  <c r="N27" i="40"/>
  <c r="D55" i="61"/>
  <c r="L51" i="61"/>
  <c r="L106" i="77"/>
  <c r="N106" i="77" s="1"/>
  <c r="D110" i="77"/>
  <c r="F106" i="77"/>
  <c r="T31" i="41"/>
  <c r="Z27" i="41"/>
  <c r="D31" i="13"/>
  <c r="L27" i="13"/>
  <c r="R164" i="12"/>
  <c r="P127" i="36"/>
  <c r="R123" i="36"/>
  <c r="Z27" i="31"/>
  <c r="T31" i="31"/>
  <c r="P31" i="46"/>
  <c r="X27" i="46"/>
  <c r="R37" i="33"/>
  <c r="V70" i="69"/>
  <c r="Z28" i="76"/>
  <c r="T76" i="76"/>
  <c r="N54" i="103"/>
  <c r="H57" i="103"/>
  <c r="H99" i="64"/>
  <c r="N95" i="64"/>
  <c r="X20" i="89"/>
  <c r="Z20" i="89" s="1"/>
  <c r="N27" i="46"/>
  <c r="H31" i="46"/>
  <c r="J159" i="15"/>
  <c r="T120" i="42"/>
  <c r="Z29" i="42"/>
  <c r="D119" i="69"/>
  <c r="L70" i="69"/>
  <c r="N70" i="69" s="1"/>
  <c r="F70" i="69"/>
  <c r="N82" i="102"/>
  <c r="H86" i="102"/>
  <c r="J82" i="102"/>
  <c r="H31" i="32"/>
  <c r="N27" i="32"/>
  <c r="D53" i="60"/>
  <c r="L49" i="60"/>
  <c r="N49" i="60" s="1"/>
  <c r="N27" i="53"/>
  <c r="H31" i="53"/>
  <c r="H103" i="21"/>
  <c r="N28" i="21"/>
  <c r="T134" i="39"/>
  <c r="Z130" i="39"/>
  <c r="V130" i="39"/>
  <c r="P31" i="87"/>
  <c r="X28" i="87"/>
  <c r="T103" i="21"/>
  <c r="Z28" i="21"/>
  <c r="Z27" i="5"/>
  <c r="T31" i="5"/>
  <c r="N27" i="22"/>
  <c r="H31" i="22"/>
  <c r="Z27" i="52"/>
  <c r="T31" i="52"/>
  <c r="F159" i="15"/>
  <c r="Z77" i="24"/>
  <c r="T136" i="24"/>
  <c r="Z27" i="11"/>
  <c r="T31" i="11"/>
  <c r="N27" i="43"/>
  <c r="H31" i="43"/>
  <c r="P92" i="45"/>
  <c r="X24" i="45"/>
  <c r="Z24" i="45" s="1"/>
  <c r="T33" i="83"/>
  <c r="Z29" i="83"/>
  <c r="V29" i="83"/>
  <c r="X27" i="31"/>
  <c r="P31" i="31"/>
  <c r="V20" i="98"/>
  <c r="D86" i="102"/>
  <c r="L82" i="102"/>
  <c r="F82" i="102"/>
  <c r="F22" i="104"/>
  <c r="T31" i="47"/>
  <c r="Z27" i="47"/>
  <c r="F20" i="94"/>
  <c r="H89" i="106"/>
  <c r="J85" i="106"/>
  <c r="D140" i="24"/>
  <c r="F136" i="24"/>
  <c r="H74" i="48"/>
  <c r="J70" i="48"/>
  <c r="P95" i="9"/>
  <c r="X91" i="9"/>
  <c r="Z91" i="9" s="1"/>
  <c r="P77" i="89"/>
  <c r="X73" i="89"/>
  <c r="R73" i="89"/>
  <c r="D31" i="8"/>
  <c r="L27" i="8"/>
  <c r="N91" i="9"/>
  <c r="H95" i="9"/>
  <c r="T28" i="107"/>
  <c r="Z24" i="107"/>
  <c r="Z27" i="32"/>
  <c r="T31" i="32"/>
  <c r="X120" i="85"/>
  <c r="Z120" i="85" s="1"/>
  <c r="P124" i="85"/>
  <c r="R120" i="85"/>
  <c r="X27" i="26"/>
  <c r="P31" i="26"/>
  <c r="T34" i="86"/>
  <c r="V30" i="86"/>
  <c r="H98" i="92"/>
  <c r="Z27" i="4"/>
  <c r="T31" i="4"/>
  <c r="Z51" i="75"/>
  <c r="T110" i="75"/>
  <c r="X24" i="87"/>
  <c r="Z24" i="87" s="1"/>
  <c r="X27" i="10"/>
  <c r="P31" i="10"/>
  <c r="P31" i="113"/>
  <c r="X27" i="113"/>
  <c r="X28" i="21"/>
  <c r="P103" i="21"/>
  <c r="X27" i="13"/>
  <c r="P31" i="13"/>
  <c r="L27" i="29"/>
  <c r="D31" i="29"/>
  <c r="D72" i="57"/>
  <c r="L68" i="57"/>
  <c r="L27" i="40"/>
  <c r="D31" i="40"/>
  <c r="Z27" i="10"/>
  <c r="T31" i="10"/>
  <c r="N27" i="47"/>
  <c r="H31" i="47"/>
  <c r="D291" i="18"/>
  <c r="L287" i="18"/>
  <c r="F287" i="18"/>
  <c r="Z73" i="56"/>
  <c r="T77" i="56"/>
  <c r="L27" i="20"/>
  <c r="D31" i="20"/>
  <c r="Z27" i="46"/>
  <c r="T31" i="46"/>
  <c r="T123" i="36"/>
  <c r="X123" i="36" s="1"/>
  <c r="Z30" i="36"/>
  <c r="L70" i="48"/>
  <c r="N70" i="48" s="1"/>
  <c r="D74" i="48"/>
  <c r="F70" i="48"/>
  <c r="D79" i="81"/>
  <c r="L75" i="81"/>
  <c r="F75" i="81"/>
  <c r="P82" i="102"/>
  <c r="X23" i="102"/>
  <c r="Z23" i="102" s="1"/>
  <c r="X50" i="103"/>
  <c r="Z50" i="103" s="1"/>
  <c r="P54" i="103"/>
  <c r="D85" i="108"/>
  <c r="L21" i="108"/>
  <c r="N21" i="108" s="1"/>
  <c r="N27" i="28"/>
  <c r="H31" i="28"/>
  <c r="H31" i="52"/>
  <c r="N27" i="52"/>
  <c r="L59" i="71"/>
  <c r="D117" i="71"/>
  <c r="H31" i="25"/>
  <c r="N27" i="25"/>
  <c r="X27" i="47"/>
  <c r="P31" i="47"/>
  <c r="T267" i="12"/>
  <c r="Z164" i="12"/>
  <c r="Z184" i="18"/>
  <c r="T287" i="18"/>
  <c r="D31" i="7"/>
  <c r="L27" i="7"/>
  <c r="T102" i="64"/>
  <c r="H79" i="81"/>
  <c r="N75" i="81"/>
  <c r="J75" i="81"/>
  <c r="L73" i="56"/>
  <c r="N73" i="56" s="1"/>
  <c r="D77" i="56"/>
  <c r="H134" i="39"/>
  <c r="J130" i="39"/>
  <c r="L28" i="76"/>
  <c r="N28" i="76" s="1"/>
  <c r="D76" i="76"/>
  <c r="P117" i="71"/>
  <c r="X59" i="71"/>
  <c r="Z59" i="71" s="1"/>
  <c r="D69" i="79"/>
  <c r="F65" i="79"/>
  <c r="T31" i="35"/>
  <c r="Z27" i="35"/>
  <c r="D51" i="99"/>
  <c r="L47" i="99"/>
  <c r="F47" i="99"/>
  <c r="H31" i="112"/>
  <c r="N27" i="112"/>
  <c r="V20" i="89"/>
  <c r="T31" i="19"/>
  <c r="Z27" i="19"/>
  <c r="L27" i="47"/>
  <c r="D31" i="47"/>
  <c r="L27" i="22"/>
  <c r="D31" i="22"/>
  <c r="L27" i="35"/>
  <c r="D31" i="35"/>
  <c r="T149" i="30"/>
  <c r="P140" i="24"/>
  <c r="R136" i="24"/>
  <c r="L25" i="73"/>
  <c r="N25" i="73" s="1"/>
  <c r="H74" i="110"/>
  <c r="J70" i="110"/>
  <c r="P122" i="27"/>
  <c r="X118" i="27"/>
  <c r="R118" i="27"/>
  <c r="T110" i="51"/>
  <c r="V106" i="51"/>
  <c r="P93" i="74"/>
  <c r="R89" i="74"/>
  <c r="L24" i="87"/>
  <c r="N24" i="87" s="1"/>
  <c r="D28" i="87"/>
  <c r="Z27" i="7"/>
  <c r="T31" i="7"/>
  <c r="T77" i="48"/>
  <c r="V74" i="48"/>
  <c r="H117" i="71"/>
  <c r="N59" i="71"/>
  <c r="H110" i="75"/>
  <c r="N51" i="75"/>
  <c r="H83" i="88"/>
  <c r="N20" i="88"/>
  <c r="X27" i="28"/>
  <c r="P31" i="28"/>
  <c r="L27" i="112"/>
  <c r="D31" i="112"/>
  <c r="T77" i="70"/>
  <c r="Z73" i="70"/>
  <c r="V73" i="70"/>
  <c r="X27" i="111"/>
  <c r="P31" i="111"/>
  <c r="Z47" i="99"/>
  <c r="T51" i="99"/>
  <c r="D153" i="30"/>
  <c r="L149" i="30"/>
  <c r="F149" i="30"/>
  <c r="T110" i="77"/>
  <c r="Z106" i="77"/>
  <c r="V106" i="77"/>
  <c r="V20" i="96"/>
  <c r="H31" i="11"/>
  <c r="N27" i="11"/>
  <c r="N27" i="34"/>
  <c r="H31" i="34"/>
  <c r="N27" i="49"/>
  <c r="H31" i="49"/>
  <c r="Z70" i="80"/>
  <c r="T74" i="80"/>
  <c r="V70" i="80"/>
  <c r="L27" i="50"/>
  <c r="D31" i="50"/>
  <c r="J29" i="42"/>
  <c r="N25" i="79"/>
  <c r="H65" i="79"/>
  <c r="T71" i="94"/>
  <c r="Z67" i="94"/>
  <c r="V67" i="94"/>
  <c r="H31" i="14"/>
  <c r="N27" i="14"/>
  <c r="X27" i="53"/>
  <c r="P31" i="53"/>
  <c r="L20" i="84"/>
  <c r="N20" i="84" s="1"/>
  <c r="D85" i="84"/>
  <c r="H124" i="85"/>
  <c r="N120" i="85"/>
  <c r="J120" i="85"/>
  <c r="X27" i="8"/>
  <c r="P31" i="8"/>
  <c r="X27" i="38"/>
  <c r="P31" i="38"/>
  <c r="T314" i="3"/>
  <c r="Z310" i="3"/>
  <c r="V310" i="3"/>
  <c r="T80" i="73"/>
  <c r="X80" i="73" s="1"/>
  <c r="Z25" i="73"/>
  <c r="T57" i="103"/>
  <c r="D70" i="110"/>
  <c r="L17" i="110"/>
  <c r="N17" i="110" s="1"/>
  <c r="H34" i="86"/>
  <c r="N30" i="86"/>
  <c r="J30" i="86"/>
  <c r="L30" i="86"/>
  <c r="N27" i="44"/>
  <c r="H31" i="44"/>
  <c r="T89" i="84"/>
  <c r="Z85" i="84"/>
  <c r="V85" i="84"/>
  <c r="D98" i="9"/>
  <c r="N24" i="45"/>
  <c r="H92" i="45"/>
  <c r="L92" i="45" s="1"/>
  <c r="D84" i="73"/>
  <c r="L80" i="73"/>
  <c r="F80" i="73"/>
  <c r="P79" i="81"/>
  <c r="R75" i="81"/>
  <c r="P31" i="23"/>
  <c r="X27" i="23"/>
  <c r="T31" i="53"/>
  <c r="Z27" i="53"/>
  <c r="P74" i="80"/>
  <c r="X70" i="80"/>
  <c r="R70" i="80"/>
  <c r="D85" i="106"/>
  <c r="L21" i="106"/>
  <c r="N21" i="106" s="1"/>
  <c r="T31" i="8"/>
  <c r="Z27" i="8"/>
  <c r="N77" i="24"/>
  <c r="H136" i="24"/>
  <c r="D31" i="11"/>
  <c r="L27" i="11"/>
  <c r="Z27" i="29"/>
  <c r="T31" i="29"/>
  <c r="P70" i="48"/>
  <c r="X17" i="48"/>
  <c r="Z17" i="48" s="1"/>
  <c r="H89" i="108"/>
  <c r="J85" i="108"/>
  <c r="L27" i="26"/>
  <c r="D31" i="26"/>
  <c r="L70" i="30"/>
  <c r="N70" i="30" s="1"/>
  <c r="P78" i="58"/>
  <c r="X75" i="58"/>
  <c r="P93" i="96"/>
  <c r="X89" i="96"/>
  <c r="R89" i="96"/>
  <c r="D31" i="49"/>
  <c r="L27" i="49"/>
  <c r="L37" i="109"/>
  <c r="N37" i="109" s="1"/>
  <c r="D41" i="109"/>
  <c r="P259" i="15"/>
  <c r="X159" i="15"/>
  <c r="Z51" i="61"/>
  <c r="T55" i="61"/>
  <c r="P65" i="68"/>
  <c r="X61" i="68"/>
  <c r="Z61" i="68" s="1"/>
  <c r="F52" i="74"/>
  <c r="P83" i="88"/>
  <c r="X20" i="88"/>
  <c r="Z20" i="88" s="1"/>
  <c r="F20" i="84"/>
  <c r="L54" i="51"/>
  <c r="N54" i="51" s="1"/>
  <c r="D106" i="51"/>
  <c r="F17" i="110"/>
  <c r="H31" i="17"/>
  <c r="N27" i="17"/>
  <c r="H31" i="37"/>
  <c r="N27" i="37"/>
  <c r="Z27" i="113"/>
  <c r="T31" i="113"/>
  <c r="D267" i="12"/>
  <c r="L164" i="12"/>
  <c r="Z52" i="74"/>
  <c r="T89" i="74"/>
  <c r="H31" i="29"/>
  <c r="N27" i="29"/>
  <c r="T41" i="109"/>
  <c r="Z37" i="109"/>
  <c r="N27" i="20"/>
  <c r="H31" i="20"/>
  <c r="T37" i="55"/>
  <c r="Z33" i="55"/>
  <c r="R28" i="76"/>
  <c r="P34" i="86"/>
  <c r="X30" i="86"/>
  <c r="Z30" i="86" s="1"/>
  <c r="R30" i="86"/>
  <c r="Z70" i="110"/>
  <c r="T74" i="110"/>
  <c r="V70" i="110"/>
  <c r="T31" i="50"/>
  <c r="Z27" i="50"/>
  <c r="H72" i="57"/>
  <c r="N68" i="57"/>
  <c r="P31" i="29"/>
  <c r="X27" i="29"/>
  <c r="X22" i="6"/>
  <c r="P81" i="95"/>
  <c r="X77" i="95"/>
  <c r="R77" i="95"/>
  <c r="N27" i="7"/>
  <c r="H31" i="7"/>
  <c r="D31" i="31"/>
  <c r="L27" i="31"/>
  <c r="H78" i="58"/>
  <c r="X27" i="112"/>
  <c r="P31" i="112"/>
  <c r="T259" i="15"/>
  <c r="Z159" i="15"/>
  <c r="D118" i="27"/>
  <c r="L60" i="27"/>
  <c r="N60" i="27" s="1"/>
  <c r="T65" i="79"/>
  <c r="Z25" i="79"/>
  <c r="D73" i="89"/>
  <c r="L20" i="89"/>
  <c r="N20" i="89" s="1"/>
  <c r="X20" i="96"/>
  <c r="Z20" i="96" s="1"/>
  <c r="Z27" i="13"/>
  <c r="T31" i="13"/>
  <c r="N27" i="35"/>
  <c r="H31" i="35"/>
  <c r="H29" i="83"/>
  <c r="N21" i="83"/>
  <c r="H267" i="12"/>
  <c r="N164" i="12"/>
  <c r="D134" i="39"/>
  <c r="L130" i="39"/>
  <c r="N130" i="39" s="1"/>
  <c r="F130" i="39"/>
  <c r="T75" i="81"/>
  <c r="Z20" i="81"/>
  <c r="H31" i="16"/>
  <c r="N27" i="16"/>
  <c r="L310" i="3"/>
  <c r="N310" i="3" s="1"/>
  <c r="D314" i="3"/>
  <c r="F310" i="3"/>
  <c r="D74" i="80"/>
  <c r="L70" i="80"/>
  <c r="N70" i="80" s="1"/>
  <c r="F70" i="80"/>
  <c r="H93" i="96"/>
  <c r="J89" i="96"/>
  <c r="X27" i="16"/>
  <c r="P31" i="16"/>
  <c r="V60" i="27"/>
  <c r="L27" i="43"/>
  <c r="D31" i="43"/>
  <c r="T68" i="68"/>
  <c r="V52" i="74"/>
  <c r="Z91" i="92"/>
  <c r="T95" i="92"/>
  <c r="X27" i="32"/>
  <c r="P31" i="32"/>
  <c r="P149" i="30"/>
  <c r="X70" i="30"/>
  <c r="Z70" i="30" s="1"/>
  <c r="D87" i="88"/>
  <c r="L83" i="88"/>
  <c r="F83" i="88"/>
  <c r="X31" i="16" l="1"/>
  <c r="P36" i="16"/>
  <c r="H36" i="16"/>
  <c r="N36" i="16" s="1"/>
  <c r="N31" i="16"/>
  <c r="Z31" i="13"/>
  <c r="T36" i="13"/>
  <c r="Z36" i="13" s="1"/>
  <c r="Z31" i="29"/>
  <c r="T36" i="29"/>
  <c r="Z36" i="29" s="1"/>
  <c r="L31" i="50"/>
  <c r="D36" i="50"/>
  <c r="H121" i="71"/>
  <c r="J117" i="71"/>
  <c r="T113" i="51"/>
  <c r="V110" i="51"/>
  <c r="H36" i="112"/>
  <c r="N36" i="112" s="1"/>
  <c r="N31" i="112"/>
  <c r="P121" i="71"/>
  <c r="X117" i="71"/>
  <c r="Z117" i="71" s="1"/>
  <c r="R117" i="71"/>
  <c r="H82" i="81"/>
  <c r="J79" i="81"/>
  <c r="X54" i="103"/>
  <c r="Z54" i="103" s="1"/>
  <c r="P57" i="103"/>
  <c r="X57" i="103" s="1"/>
  <c r="Z31" i="46"/>
  <c r="T36" i="46"/>
  <c r="Z36" i="46" s="1"/>
  <c r="T36" i="47"/>
  <c r="Z36" i="47" s="1"/>
  <c r="Z31" i="47"/>
  <c r="T36" i="83"/>
  <c r="V33" i="83"/>
  <c r="N31" i="22"/>
  <c r="H36" i="22"/>
  <c r="N36" i="22" s="1"/>
  <c r="N103" i="21"/>
  <c r="H107" i="21"/>
  <c r="J103" i="21"/>
  <c r="Z31" i="31"/>
  <c r="T36" i="31"/>
  <c r="Z36" i="31" s="1"/>
  <c r="P36" i="35"/>
  <c r="X31" i="35"/>
  <c r="D50" i="100"/>
  <c r="L47" i="100"/>
  <c r="Z31" i="44"/>
  <c r="T36" i="44"/>
  <c r="Z36" i="44" s="1"/>
  <c r="H77" i="80"/>
  <c r="N74" i="80"/>
  <c r="J74" i="80"/>
  <c r="P54" i="99"/>
  <c r="X51" i="99"/>
  <c r="R51" i="99"/>
  <c r="L95" i="92"/>
  <c r="N95" i="92" s="1"/>
  <c r="D98" i="92"/>
  <c r="L98" i="92" s="1"/>
  <c r="T123" i="69"/>
  <c r="V119" i="69"/>
  <c r="X31" i="40"/>
  <c r="P36" i="40"/>
  <c r="P80" i="76"/>
  <c r="X76" i="76"/>
  <c r="R76" i="76"/>
  <c r="H31" i="6"/>
  <c r="N26" i="6"/>
  <c r="P36" i="83"/>
  <c r="X33" i="83"/>
  <c r="Z33" i="83" s="1"/>
  <c r="R33" i="83"/>
  <c r="D36" i="10"/>
  <c r="L31" i="10"/>
  <c r="P89" i="108"/>
  <c r="X85" i="108"/>
  <c r="Z85" i="108" s="1"/>
  <c r="R85" i="108"/>
  <c r="T88" i="98"/>
  <c r="V84" i="98"/>
  <c r="P69" i="101"/>
  <c r="X66" i="101"/>
  <c r="Z66" i="101" s="1"/>
  <c r="R66" i="101"/>
  <c r="X89" i="106"/>
  <c r="P92" i="106"/>
  <c r="R89" i="106"/>
  <c r="L89" i="74"/>
  <c r="D93" i="74"/>
  <c r="F89" i="74"/>
  <c r="X149" i="30"/>
  <c r="P153" i="30"/>
  <c r="R149" i="30"/>
  <c r="H36" i="29"/>
  <c r="N36" i="29" s="1"/>
  <c r="N31" i="29"/>
  <c r="H36" i="17"/>
  <c r="N36" i="17" s="1"/>
  <c r="N31" i="17"/>
  <c r="P96" i="96"/>
  <c r="R93" i="96"/>
  <c r="T153" i="30"/>
  <c r="Z149" i="30"/>
  <c r="V149" i="30"/>
  <c r="D80" i="76"/>
  <c r="L76" i="76"/>
  <c r="F76" i="76"/>
  <c r="L31" i="40"/>
  <c r="D36" i="40"/>
  <c r="H77" i="48"/>
  <c r="J74" i="48"/>
  <c r="N31" i="53"/>
  <c r="H36" i="53"/>
  <c r="N36" i="53" s="1"/>
  <c r="H113" i="77"/>
  <c r="J110" i="77"/>
  <c r="X31" i="7"/>
  <c r="P36" i="7"/>
  <c r="T36" i="111"/>
  <c r="Z36" i="111" s="1"/>
  <c r="Z31" i="111"/>
  <c r="T50" i="100"/>
  <c r="X47" i="100"/>
  <c r="Z47" i="100" s="1"/>
  <c r="H74" i="94"/>
  <c r="J71" i="94"/>
  <c r="D130" i="36"/>
  <c r="L127" i="36"/>
  <c r="N127" i="36" s="1"/>
  <c r="F127" i="36"/>
  <c r="L31" i="44"/>
  <c r="D36" i="44"/>
  <c r="H100" i="33"/>
  <c r="J97" i="33"/>
  <c r="X99" i="64"/>
  <c r="Z99" i="64" s="1"/>
  <c r="P102" i="64"/>
  <c r="X102" i="64" s="1"/>
  <c r="Z102" i="64" s="1"/>
  <c r="P56" i="105"/>
  <c r="X52" i="105"/>
  <c r="R52" i="105"/>
  <c r="D114" i="75"/>
  <c r="L110" i="75"/>
  <c r="F110" i="75"/>
  <c r="L88" i="98"/>
  <c r="D91" i="98"/>
  <c r="F88" i="98"/>
  <c r="H81" i="95"/>
  <c r="N77" i="95"/>
  <c r="J77" i="95"/>
  <c r="L31" i="23"/>
  <c r="D36" i="23"/>
  <c r="X31" i="32"/>
  <c r="P36" i="32"/>
  <c r="T79" i="81"/>
  <c r="V75" i="81"/>
  <c r="P36" i="29"/>
  <c r="X31" i="29"/>
  <c r="P37" i="86"/>
  <c r="X34" i="86"/>
  <c r="Z34" i="86" s="1"/>
  <c r="R34" i="86"/>
  <c r="T93" i="74"/>
  <c r="V89" i="74"/>
  <c r="P68" i="68"/>
  <c r="X68" i="68" s="1"/>
  <c r="X65" i="68"/>
  <c r="Z65" i="68" s="1"/>
  <c r="P77" i="80"/>
  <c r="X74" i="80"/>
  <c r="R74" i="80"/>
  <c r="D87" i="73"/>
  <c r="F84" i="73"/>
  <c r="T319" i="3"/>
  <c r="V314" i="3"/>
  <c r="X31" i="53"/>
  <c r="P36" i="53"/>
  <c r="T113" i="77"/>
  <c r="V110" i="77"/>
  <c r="T80" i="70"/>
  <c r="V77" i="70"/>
  <c r="L31" i="35"/>
  <c r="D36" i="35"/>
  <c r="H36" i="25"/>
  <c r="N36" i="25" s="1"/>
  <c r="N31" i="25"/>
  <c r="L31" i="20"/>
  <c r="D36" i="20"/>
  <c r="P36" i="113"/>
  <c r="X31" i="113"/>
  <c r="T37" i="86"/>
  <c r="V34" i="86"/>
  <c r="H98" i="9"/>
  <c r="N95" i="9"/>
  <c r="X92" i="45"/>
  <c r="P96" i="45"/>
  <c r="R92" i="45"/>
  <c r="Z31" i="5"/>
  <c r="T36" i="5"/>
  <c r="Z36" i="5" s="1"/>
  <c r="D123" i="69"/>
  <c r="L119" i="69"/>
  <c r="N119" i="69" s="1"/>
  <c r="F119" i="69"/>
  <c r="D58" i="61"/>
  <c r="L58" i="61" s="1"/>
  <c r="L55" i="61"/>
  <c r="L31" i="53"/>
  <c r="D36" i="53"/>
  <c r="X55" i="61"/>
  <c r="P58" i="61"/>
  <c r="X31" i="22"/>
  <c r="P36" i="22"/>
  <c r="D263" i="15"/>
  <c r="L259" i="15"/>
  <c r="F259" i="15"/>
  <c r="D99" i="45"/>
  <c r="F96" i="45"/>
  <c r="T36" i="40"/>
  <c r="Z36" i="40" s="1"/>
  <c r="Z31" i="40"/>
  <c r="Z31" i="37"/>
  <c r="T36" i="37"/>
  <c r="Z36" i="37" s="1"/>
  <c r="P31" i="107"/>
  <c r="X28" i="107"/>
  <c r="P88" i="98"/>
  <c r="X84" i="98"/>
  <c r="Z84" i="98" s="1"/>
  <c r="R84" i="98"/>
  <c r="H31" i="107"/>
  <c r="N31" i="107" s="1"/>
  <c r="N28" i="107"/>
  <c r="D84" i="93"/>
  <c r="F81" i="93"/>
  <c r="H68" i="68"/>
  <c r="P36" i="34"/>
  <c r="X31" i="34"/>
  <c r="Z31" i="26"/>
  <c r="T36" i="26"/>
  <c r="Z36" i="26" s="1"/>
  <c r="D110" i="51"/>
  <c r="L106" i="51"/>
  <c r="N106" i="51" s="1"/>
  <c r="F106" i="51"/>
  <c r="Z55" i="61"/>
  <c r="T58" i="61"/>
  <c r="D36" i="11"/>
  <c r="L31" i="11"/>
  <c r="H96" i="45"/>
  <c r="L96" i="45" s="1"/>
  <c r="N92" i="45"/>
  <c r="J92" i="45"/>
  <c r="H37" i="86"/>
  <c r="J34" i="86"/>
  <c r="L34" i="86"/>
  <c r="N34" i="86" s="1"/>
  <c r="X31" i="38"/>
  <c r="P36" i="38"/>
  <c r="Z74" i="80"/>
  <c r="T77" i="80"/>
  <c r="V74" i="80"/>
  <c r="L31" i="112"/>
  <c r="D36" i="112"/>
  <c r="V77" i="48"/>
  <c r="L51" i="99"/>
  <c r="D54" i="99"/>
  <c r="F51" i="99"/>
  <c r="L117" i="71"/>
  <c r="N117" i="71" s="1"/>
  <c r="D121" i="71"/>
  <c r="F117" i="71"/>
  <c r="P86" i="102"/>
  <c r="X82" i="102"/>
  <c r="R82" i="102"/>
  <c r="X31" i="10"/>
  <c r="P36" i="10"/>
  <c r="X31" i="26"/>
  <c r="P36" i="26"/>
  <c r="L140" i="24"/>
  <c r="D143" i="24"/>
  <c r="F140" i="24"/>
  <c r="N31" i="43"/>
  <c r="H36" i="43"/>
  <c r="N36" i="43" s="1"/>
  <c r="H102" i="64"/>
  <c r="L66" i="101"/>
  <c r="D69" i="101"/>
  <c r="L69" i="101" s="1"/>
  <c r="X31" i="5"/>
  <c r="P36" i="5"/>
  <c r="H44" i="109"/>
  <c r="H58" i="61"/>
  <c r="N55" i="61"/>
  <c r="T84" i="93"/>
  <c r="V81" i="93"/>
  <c r="D80" i="70"/>
  <c r="L77" i="70"/>
  <c r="F77" i="70"/>
  <c r="P124" i="42"/>
  <c r="X120" i="42"/>
  <c r="R120" i="42"/>
  <c r="P271" i="12"/>
  <c r="X267" i="12"/>
  <c r="R267" i="12"/>
  <c r="N66" i="101"/>
  <c r="H69" i="101"/>
  <c r="H110" i="51"/>
  <c r="J106" i="51"/>
  <c r="D36" i="16"/>
  <c r="L36" i="16" s="1"/>
  <c r="L31" i="16"/>
  <c r="N314" i="3"/>
  <c r="H319" i="3"/>
  <c r="J314" i="3"/>
  <c r="X106" i="51"/>
  <c r="Z106" i="51" s="1"/>
  <c r="P110" i="51"/>
  <c r="R106" i="51"/>
  <c r="D127" i="42"/>
  <c r="F124" i="42"/>
  <c r="D84" i="95"/>
  <c r="L81" i="95"/>
  <c r="F81" i="95"/>
  <c r="Z77" i="95"/>
  <c r="T81" i="95"/>
  <c r="V77" i="95"/>
  <c r="T78" i="58"/>
  <c r="Z75" i="58"/>
  <c r="T36" i="14"/>
  <c r="Z36" i="14" s="1"/>
  <c r="Z31" i="14"/>
  <c r="T31" i="87"/>
  <c r="Z28" i="87"/>
  <c r="T98" i="92"/>
  <c r="X98" i="92" s="1"/>
  <c r="H96" i="96"/>
  <c r="J93" i="96"/>
  <c r="D77" i="89"/>
  <c r="L73" i="89"/>
  <c r="F73" i="89"/>
  <c r="H75" i="57"/>
  <c r="H140" i="24"/>
  <c r="J136" i="24"/>
  <c r="Z31" i="53"/>
  <c r="T36" i="53"/>
  <c r="Z36" i="53" s="1"/>
  <c r="Z31" i="7"/>
  <c r="T36" i="7"/>
  <c r="Z36" i="7" s="1"/>
  <c r="P125" i="27"/>
  <c r="R122" i="27"/>
  <c r="L31" i="22"/>
  <c r="D36" i="22"/>
  <c r="L31" i="7"/>
  <c r="D36" i="7"/>
  <c r="T80" i="56"/>
  <c r="L136" i="24"/>
  <c r="N136" i="24" s="1"/>
  <c r="L86" i="102"/>
  <c r="D89" i="102"/>
  <c r="F86" i="102"/>
  <c r="D56" i="60"/>
  <c r="L53" i="60"/>
  <c r="N53" i="60" s="1"/>
  <c r="Z120" i="42"/>
  <c r="T124" i="42"/>
  <c r="V120" i="42"/>
  <c r="P130" i="36"/>
  <c r="R127" i="36"/>
  <c r="H36" i="40"/>
  <c r="N36" i="40" s="1"/>
  <c r="N31" i="40"/>
  <c r="H88" i="104"/>
  <c r="J84" i="104"/>
  <c r="P97" i="33"/>
  <c r="X93" i="33"/>
  <c r="Z93" i="33" s="1"/>
  <c r="R93" i="33"/>
  <c r="X31" i="17"/>
  <c r="P36" i="17"/>
  <c r="H124" i="42"/>
  <c r="L124" i="42" s="1"/>
  <c r="N120" i="42"/>
  <c r="J120" i="42"/>
  <c r="H56" i="60"/>
  <c r="T36" i="23"/>
  <c r="Z36" i="23" s="1"/>
  <c r="Z31" i="23"/>
  <c r="V100" i="33"/>
  <c r="N31" i="23"/>
  <c r="H36" i="23"/>
  <c r="N36" i="23" s="1"/>
  <c r="X71" i="94"/>
  <c r="P74" i="94"/>
  <c r="R71" i="94"/>
  <c r="L31" i="52"/>
  <c r="D36" i="52"/>
  <c r="N89" i="74"/>
  <c r="H93" i="74"/>
  <c r="J89" i="74"/>
  <c r="N31" i="38"/>
  <c r="H36" i="38"/>
  <c r="N36" i="38" s="1"/>
  <c r="X95" i="92"/>
  <c r="Z95" i="92" s="1"/>
  <c r="L31" i="111"/>
  <c r="D36" i="111"/>
  <c r="P87" i="73"/>
  <c r="R84" i="73"/>
  <c r="H80" i="76"/>
  <c r="N76" i="76"/>
  <c r="J76" i="76"/>
  <c r="P81" i="93"/>
  <c r="X77" i="93"/>
  <c r="Z77" i="93" s="1"/>
  <c r="R77" i="93"/>
  <c r="D137" i="39"/>
  <c r="L134" i="39"/>
  <c r="F134" i="39"/>
  <c r="T40" i="55"/>
  <c r="L31" i="26"/>
  <c r="D36" i="26"/>
  <c r="L95" i="9"/>
  <c r="X31" i="8"/>
  <c r="P36" i="8"/>
  <c r="N31" i="14"/>
  <c r="H36" i="14"/>
  <c r="N36" i="14" s="1"/>
  <c r="N31" i="49"/>
  <c r="H36" i="49"/>
  <c r="N36" i="49" s="1"/>
  <c r="D156" i="30"/>
  <c r="F153" i="30"/>
  <c r="X31" i="28"/>
  <c r="P36" i="28"/>
  <c r="H137" i="39"/>
  <c r="N134" i="39"/>
  <c r="J134" i="39"/>
  <c r="D36" i="8"/>
  <c r="L31" i="8"/>
  <c r="Z31" i="11"/>
  <c r="T36" i="11"/>
  <c r="Z36" i="11" s="1"/>
  <c r="T107" i="21"/>
  <c r="V103" i="21"/>
  <c r="N88" i="98"/>
  <c r="H91" i="98"/>
  <c r="J88" i="98"/>
  <c r="V90" i="88"/>
  <c r="L28" i="107"/>
  <c r="D31" i="107"/>
  <c r="L31" i="107" s="1"/>
  <c r="H84" i="73"/>
  <c r="L84" i="73" s="1"/>
  <c r="N80" i="73"/>
  <c r="J80" i="73"/>
  <c r="D71" i="59"/>
  <c r="L68" i="59"/>
  <c r="T36" i="49"/>
  <c r="Z36" i="49" s="1"/>
  <c r="Z31" i="49"/>
  <c r="H36" i="31"/>
  <c r="N36" i="31" s="1"/>
  <c r="N31" i="31"/>
  <c r="N31" i="19"/>
  <c r="H36" i="19"/>
  <c r="N36" i="19" s="1"/>
  <c r="N31" i="111"/>
  <c r="H36" i="111"/>
  <c r="N36" i="111" s="1"/>
  <c r="H153" i="30"/>
  <c r="L153" i="30" s="1"/>
  <c r="N149" i="30"/>
  <c r="J149" i="30"/>
  <c r="X31" i="49"/>
  <c r="P36" i="49"/>
  <c r="X36" i="49" s="1"/>
  <c r="H36" i="50"/>
  <c r="N36" i="50" s="1"/>
  <c r="N31" i="50"/>
  <c r="X72" i="57"/>
  <c r="Z72" i="57" s="1"/>
  <c r="P75" i="57"/>
  <c r="X75" i="57" s="1"/>
  <c r="Z75" i="57" s="1"/>
  <c r="N51" i="99"/>
  <c r="H54" i="99"/>
  <c r="N54" i="99" s="1"/>
  <c r="D71" i="94"/>
  <c r="L67" i="94"/>
  <c r="N67" i="94" s="1"/>
  <c r="F67" i="94"/>
  <c r="X40" i="55"/>
  <c r="X314" i="3"/>
  <c r="Z314" i="3" s="1"/>
  <c r="P319" i="3"/>
  <c r="R314" i="3"/>
  <c r="Z31" i="28"/>
  <c r="T36" i="28"/>
  <c r="Z36" i="28" s="1"/>
  <c r="H92" i="84"/>
  <c r="J89" i="84"/>
  <c r="T124" i="71"/>
  <c r="V121" i="71"/>
  <c r="H31" i="87"/>
  <c r="Z118" i="27"/>
  <c r="T122" i="27"/>
  <c r="V118" i="27"/>
  <c r="X68" i="59"/>
  <c r="Z68" i="59" s="1"/>
  <c r="P71" i="59"/>
  <c r="X71" i="59" s="1"/>
  <c r="Z71" i="59" s="1"/>
  <c r="H36" i="8"/>
  <c r="N36" i="8" s="1"/>
  <c r="N31" i="8"/>
  <c r="T69" i="79"/>
  <c r="V65" i="79"/>
  <c r="D36" i="31"/>
  <c r="L31" i="31"/>
  <c r="Z31" i="50"/>
  <c r="T36" i="50"/>
  <c r="Z36" i="50" s="1"/>
  <c r="N31" i="20"/>
  <c r="H36" i="20"/>
  <c r="N36" i="20" s="1"/>
  <c r="P263" i="15"/>
  <c r="X259" i="15"/>
  <c r="R259" i="15"/>
  <c r="P36" i="23"/>
  <c r="X31" i="23"/>
  <c r="T54" i="99"/>
  <c r="Z54" i="99" s="1"/>
  <c r="Z51" i="99"/>
  <c r="L28" i="87"/>
  <c r="N28" i="87" s="1"/>
  <c r="D31" i="87"/>
  <c r="L31" i="87" s="1"/>
  <c r="H77" i="110"/>
  <c r="J74" i="110"/>
  <c r="D36" i="47"/>
  <c r="L31" i="47"/>
  <c r="D82" i="81"/>
  <c r="L79" i="81"/>
  <c r="N79" i="81" s="1"/>
  <c r="F79" i="81"/>
  <c r="D75" i="57"/>
  <c r="L75" i="57" s="1"/>
  <c r="L72" i="57"/>
  <c r="N72" i="57" s="1"/>
  <c r="T114" i="75"/>
  <c r="Z110" i="75"/>
  <c r="V110" i="75"/>
  <c r="X124" i="85"/>
  <c r="P127" i="85"/>
  <c r="R124" i="85"/>
  <c r="N31" i="46"/>
  <c r="H36" i="46"/>
  <c r="N36" i="46" s="1"/>
  <c r="Z76" i="76"/>
  <c r="T80" i="76"/>
  <c r="V76" i="76"/>
  <c r="D36" i="14"/>
  <c r="L31" i="14"/>
  <c r="X89" i="84"/>
  <c r="Z89" i="84" s="1"/>
  <c r="P92" i="84"/>
  <c r="R89" i="84"/>
  <c r="N259" i="15"/>
  <c r="H263" i="15"/>
  <c r="J259" i="15"/>
  <c r="Z31" i="25"/>
  <c r="T36" i="25"/>
  <c r="Z36" i="25" s="1"/>
  <c r="N31" i="10"/>
  <c r="H36" i="10"/>
  <c r="N36" i="10" s="1"/>
  <c r="L57" i="103"/>
  <c r="N57" i="103" s="1"/>
  <c r="X37" i="55"/>
  <c r="Z37" i="55" s="1"/>
  <c r="L31" i="28"/>
  <c r="D36" i="28"/>
  <c r="L31" i="46"/>
  <c r="D36" i="46"/>
  <c r="X119" i="69"/>
  <c r="Z119" i="69" s="1"/>
  <c r="P123" i="69"/>
  <c r="R119" i="69"/>
  <c r="T98" i="9"/>
  <c r="P36" i="44"/>
  <c r="X36" i="44" s="1"/>
  <c r="X31" i="44"/>
  <c r="N77" i="93"/>
  <c r="H81" i="93"/>
  <c r="J77" i="93"/>
  <c r="H130" i="36"/>
  <c r="J127" i="36"/>
  <c r="Z68" i="68"/>
  <c r="D77" i="80"/>
  <c r="L74" i="80"/>
  <c r="F74" i="80"/>
  <c r="N267" i="12"/>
  <c r="H271" i="12"/>
  <c r="J267" i="12"/>
  <c r="N31" i="7"/>
  <c r="H36" i="7"/>
  <c r="N36" i="7" s="1"/>
  <c r="D271" i="12"/>
  <c r="L267" i="12"/>
  <c r="F267" i="12"/>
  <c r="L41" i="109"/>
  <c r="N41" i="109" s="1"/>
  <c r="D44" i="109"/>
  <c r="Z31" i="8"/>
  <c r="T36" i="8"/>
  <c r="Z36" i="8" s="1"/>
  <c r="D74" i="110"/>
  <c r="L70" i="110"/>
  <c r="N70" i="110" s="1"/>
  <c r="F70" i="110"/>
  <c r="N31" i="34"/>
  <c r="H36" i="34"/>
  <c r="N36" i="34" s="1"/>
  <c r="T36" i="35"/>
  <c r="Z36" i="35" s="1"/>
  <c r="Z31" i="35"/>
  <c r="T291" i="18"/>
  <c r="V287" i="18"/>
  <c r="H36" i="52"/>
  <c r="N36" i="52" s="1"/>
  <c r="N31" i="52"/>
  <c r="L31" i="29"/>
  <c r="D36" i="29"/>
  <c r="H92" i="106"/>
  <c r="J89" i="106"/>
  <c r="T140" i="24"/>
  <c r="V136" i="24"/>
  <c r="X31" i="87"/>
  <c r="D36" i="13"/>
  <c r="L31" i="13"/>
  <c r="P113" i="77"/>
  <c r="X110" i="77"/>
  <c r="Z110" i="77" s="1"/>
  <c r="R110" i="77"/>
  <c r="L97" i="33"/>
  <c r="N97" i="33" s="1"/>
  <c r="D100" i="33"/>
  <c r="F97" i="33"/>
  <c r="Z73" i="89"/>
  <c r="T77" i="89"/>
  <c r="V73" i="89"/>
  <c r="H80" i="56"/>
  <c r="X287" i="18"/>
  <c r="Z287" i="18" s="1"/>
  <c r="P291" i="18"/>
  <c r="R287" i="18"/>
  <c r="X77" i="56"/>
  <c r="Z77" i="56" s="1"/>
  <c r="P80" i="56"/>
  <c r="X80" i="56" s="1"/>
  <c r="Z31" i="22"/>
  <c r="T36" i="22"/>
  <c r="Z36" i="22" s="1"/>
  <c r="T91" i="104"/>
  <c r="V88" i="104"/>
  <c r="Z31" i="112"/>
  <c r="T36" i="112"/>
  <c r="Z36" i="112" s="1"/>
  <c r="P36" i="52"/>
  <c r="X31" i="52"/>
  <c r="P44" i="109"/>
  <c r="X44" i="109" s="1"/>
  <c r="X41" i="109"/>
  <c r="X31" i="37"/>
  <c r="P36" i="37"/>
  <c r="X31" i="20"/>
  <c r="P36" i="20"/>
  <c r="N68" i="59"/>
  <c r="H71" i="59"/>
  <c r="T36" i="17"/>
  <c r="Z36" i="17" s="1"/>
  <c r="Z31" i="17"/>
  <c r="N31" i="5"/>
  <c r="H36" i="5"/>
  <c r="N36" i="5" s="1"/>
  <c r="D122" i="27"/>
  <c r="L118" i="27"/>
  <c r="N118" i="27" s="1"/>
  <c r="F118" i="27"/>
  <c r="T77" i="110"/>
  <c r="V74" i="110"/>
  <c r="Z31" i="113"/>
  <c r="T36" i="113"/>
  <c r="Z36" i="113" s="1"/>
  <c r="H92" i="108"/>
  <c r="J89" i="108"/>
  <c r="Z57" i="103"/>
  <c r="Z71" i="94"/>
  <c r="T74" i="94"/>
  <c r="V71" i="94"/>
  <c r="X31" i="111"/>
  <c r="P36" i="111"/>
  <c r="H87" i="88"/>
  <c r="N83" i="88"/>
  <c r="J83" i="88"/>
  <c r="L77" i="56"/>
  <c r="N77" i="56" s="1"/>
  <c r="D80" i="56"/>
  <c r="N31" i="28"/>
  <c r="H36" i="28"/>
  <c r="N36" i="28" s="1"/>
  <c r="L74" i="48"/>
  <c r="N74" i="48" s="1"/>
  <c r="D77" i="48"/>
  <c r="F74" i="48"/>
  <c r="D294" i="18"/>
  <c r="F291" i="18"/>
  <c r="Z31" i="4"/>
  <c r="T36" i="4"/>
  <c r="Z36" i="4" s="1"/>
  <c r="Z31" i="32"/>
  <c r="T36" i="32"/>
  <c r="Z36" i="32" s="1"/>
  <c r="P80" i="89"/>
  <c r="X77" i="89"/>
  <c r="R77" i="89"/>
  <c r="X31" i="31"/>
  <c r="P36" i="31"/>
  <c r="H36" i="32"/>
  <c r="N36" i="32" s="1"/>
  <c r="N31" i="32"/>
  <c r="D36" i="17"/>
  <c r="L31" i="17"/>
  <c r="D107" i="21"/>
  <c r="L103" i="21"/>
  <c r="F103" i="21"/>
  <c r="T36" i="43"/>
  <c r="Z36" i="43" s="1"/>
  <c r="Z31" i="43"/>
  <c r="P36" i="43"/>
  <c r="X31" i="43"/>
  <c r="Z31" i="54"/>
  <c r="Z31" i="16"/>
  <c r="T36" i="16"/>
  <c r="Z36" i="16" s="1"/>
  <c r="D56" i="105"/>
  <c r="L52" i="105"/>
  <c r="N52" i="105" s="1"/>
  <c r="F52" i="105"/>
  <c r="Z82" i="102"/>
  <c r="T86" i="102"/>
  <c r="V82" i="102"/>
  <c r="X31" i="4"/>
  <c r="P36" i="4"/>
  <c r="P36" i="41"/>
  <c r="X31" i="41"/>
  <c r="P36" i="14"/>
  <c r="X31" i="14"/>
  <c r="L31" i="34"/>
  <c r="D36" i="34"/>
  <c r="H36" i="41"/>
  <c r="N36" i="41" s="1"/>
  <c r="N31" i="41"/>
  <c r="T92" i="106"/>
  <c r="Z89" i="106"/>
  <c r="V89" i="106"/>
  <c r="T127" i="85"/>
  <c r="Z124" i="85"/>
  <c r="V124" i="85"/>
  <c r="N31" i="26"/>
  <c r="H36" i="26"/>
  <c r="N36" i="26" s="1"/>
  <c r="L31" i="43"/>
  <c r="D36" i="43"/>
  <c r="L314" i="3"/>
  <c r="D319" i="3"/>
  <c r="F314" i="3"/>
  <c r="H33" i="83"/>
  <c r="J29" i="83"/>
  <c r="T44" i="109"/>
  <c r="Z41" i="109"/>
  <c r="D89" i="106"/>
  <c r="L85" i="106"/>
  <c r="N85" i="106" s="1"/>
  <c r="F85" i="106"/>
  <c r="T92" i="84"/>
  <c r="V89" i="84"/>
  <c r="H127" i="85"/>
  <c r="N124" i="85"/>
  <c r="J124" i="85"/>
  <c r="H69" i="79"/>
  <c r="J65" i="79"/>
  <c r="X93" i="74"/>
  <c r="P96" i="74"/>
  <c r="R93" i="74"/>
  <c r="Z31" i="19"/>
  <c r="T36" i="19"/>
  <c r="Z36" i="19" s="1"/>
  <c r="D72" i="79"/>
  <c r="F69" i="79"/>
  <c r="N31" i="47"/>
  <c r="H36" i="47"/>
  <c r="N36" i="47" s="1"/>
  <c r="X31" i="13"/>
  <c r="P36" i="13"/>
  <c r="T36" i="41"/>
  <c r="Z36" i="41" s="1"/>
  <c r="Z31" i="41"/>
  <c r="N31" i="13"/>
  <c r="H36" i="13"/>
  <c r="N36" i="13" s="1"/>
  <c r="D36" i="25"/>
  <c r="L31" i="25"/>
  <c r="Z52" i="105"/>
  <c r="T56" i="105"/>
  <c r="V52" i="105"/>
  <c r="N77" i="70"/>
  <c r="H80" i="70"/>
  <c r="J77" i="70"/>
  <c r="T36" i="20"/>
  <c r="Z36" i="20" s="1"/>
  <c r="Z31" i="20"/>
  <c r="P36" i="50"/>
  <c r="X31" i="50"/>
  <c r="Z26" i="6"/>
  <c r="T31" i="6"/>
  <c r="Z31" i="38"/>
  <c r="T36" i="38"/>
  <c r="Z36" i="38" s="1"/>
  <c r="D36" i="4"/>
  <c r="L31" i="4"/>
  <c r="X31" i="25"/>
  <c r="P36" i="25"/>
  <c r="L65" i="68"/>
  <c r="N65" i="68" s="1"/>
  <c r="D68" i="68"/>
  <c r="L68" i="68" s="1"/>
  <c r="D127" i="85"/>
  <c r="L124" i="85"/>
  <c r="F124" i="85"/>
  <c r="X65" i="79"/>
  <c r="Z65" i="79" s="1"/>
  <c r="D93" i="96"/>
  <c r="L89" i="96"/>
  <c r="N89" i="96" s="1"/>
  <c r="F89" i="96"/>
  <c r="N47" i="100"/>
  <c r="H50" i="100"/>
  <c r="L75" i="58"/>
  <c r="N75" i="58" s="1"/>
  <c r="D78" i="58"/>
  <c r="L78" i="58" s="1"/>
  <c r="N78" i="58" s="1"/>
  <c r="X77" i="70"/>
  <c r="Z77" i="70" s="1"/>
  <c r="P80" i="70"/>
  <c r="R77" i="70"/>
  <c r="H126" i="69"/>
  <c r="J123" i="69"/>
  <c r="D36" i="38"/>
  <c r="L31" i="38"/>
  <c r="N31" i="4"/>
  <c r="H36" i="4"/>
  <c r="N36" i="4" s="1"/>
  <c r="N31" i="35"/>
  <c r="H36" i="35"/>
  <c r="N36" i="35" s="1"/>
  <c r="T263" i="15"/>
  <c r="Z259" i="15"/>
  <c r="V259" i="15"/>
  <c r="L31" i="49"/>
  <c r="D36" i="49"/>
  <c r="X79" i="81"/>
  <c r="P82" i="81"/>
  <c r="R79" i="81"/>
  <c r="N31" i="44"/>
  <c r="H36" i="44"/>
  <c r="N36" i="44" s="1"/>
  <c r="L85" i="84"/>
  <c r="N85" i="84" s="1"/>
  <c r="D89" i="84"/>
  <c r="F85" i="84"/>
  <c r="H36" i="11"/>
  <c r="N36" i="11" s="1"/>
  <c r="N31" i="11"/>
  <c r="H114" i="75"/>
  <c r="N110" i="75"/>
  <c r="J110" i="75"/>
  <c r="X89" i="74"/>
  <c r="Z89" i="74" s="1"/>
  <c r="X136" i="24"/>
  <c r="Z136" i="24" s="1"/>
  <c r="L65" i="79"/>
  <c r="N65" i="79" s="1"/>
  <c r="T271" i="12"/>
  <c r="Z267" i="12"/>
  <c r="V267" i="12"/>
  <c r="N98" i="92"/>
  <c r="X95" i="9"/>
  <c r="Z95" i="9" s="1"/>
  <c r="P98" i="9"/>
  <c r="X98" i="9" s="1"/>
  <c r="Z31" i="52"/>
  <c r="T36" i="52"/>
  <c r="Z36" i="52" s="1"/>
  <c r="T137" i="39"/>
  <c r="V134" i="39"/>
  <c r="N86" i="102"/>
  <c r="H89" i="102"/>
  <c r="J86" i="102"/>
  <c r="D36" i="113"/>
  <c r="L31" i="113"/>
  <c r="L31" i="5"/>
  <c r="D36" i="5"/>
  <c r="D36" i="19"/>
  <c r="L31" i="19"/>
  <c r="X31" i="11"/>
  <c r="P36" i="11"/>
  <c r="X110" i="75"/>
  <c r="P114" i="75"/>
  <c r="R110" i="75"/>
  <c r="X69" i="79"/>
  <c r="P72" i="79"/>
  <c r="R69" i="79"/>
  <c r="X74" i="110"/>
  <c r="Z74" i="110" s="1"/>
  <c r="P77" i="110"/>
  <c r="R74" i="110"/>
  <c r="L84" i="104"/>
  <c r="N84" i="104" s="1"/>
  <c r="D88" i="104"/>
  <c r="F84" i="104"/>
  <c r="V69" i="101"/>
  <c r="P137" i="39"/>
  <c r="X134" i="39"/>
  <c r="Z134" i="39" s="1"/>
  <c r="R134" i="39"/>
  <c r="T92" i="108"/>
  <c r="V89" i="108"/>
  <c r="H31" i="54"/>
  <c r="N26" i="54"/>
  <c r="L26" i="54"/>
  <c r="D31" i="6"/>
  <c r="L31" i="6" s="1"/>
  <c r="L26" i="6"/>
  <c r="D90" i="88"/>
  <c r="L87" i="88"/>
  <c r="F87" i="88"/>
  <c r="X31" i="112"/>
  <c r="P36" i="112"/>
  <c r="P84" i="95"/>
  <c r="X81" i="95"/>
  <c r="R81" i="95"/>
  <c r="H36" i="37"/>
  <c r="N36" i="37" s="1"/>
  <c r="N31" i="37"/>
  <c r="P87" i="88"/>
  <c r="X83" i="88"/>
  <c r="Z83" i="88" s="1"/>
  <c r="R83" i="88"/>
  <c r="X70" i="48"/>
  <c r="Z70" i="48" s="1"/>
  <c r="P74" i="48"/>
  <c r="R70" i="48"/>
  <c r="X75" i="81"/>
  <c r="Z75" i="81" s="1"/>
  <c r="Z80" i="73"/>
  <c r="T84" i="73"/>
  <c r="V80" i="73"/>
  <c r="X140" i="24"/>
  <c r="P143" i="24"/>
  <c r="R140" i="24"/>
  <c r="X31" i="47"/>
  <c r="P36" i="47"/>
  <c r="D89" i="108"/>
  <c r="L85" i="108"/>
  <c r="N85" i="108" s="1"/>
  <c r="F85" i="108"/>
  <c r="T127" i="36"/>
  <c r="Z123" i="36"/>
  <c r="V123" i="36"/>
  <c r="Z31" i="10"/>
  <c r="T36" i="10"/>
  <c r="Z36" i="10" s="1"/>
  <c r="P107" i="21"/>
  <c r="X103" i="21"/>
  <c r="Z103" i="21" s="1"/>
  <c r="R103" i="21"/>
  <c r="Z28" i="107"/>
  <c r="T31" i="107"/>
  <c r="P36" i="46"/>
  <c r="X31" i="46"/>
  <c r="L110" i="77"/>
  <c r="N110" i="77" s="1"/>
  <c r="D113" i="77"/>
  <c r="F110" i="77"/>
  <c r="P91" i="104"/>
  <c r="X88" i="104"/>
  <c r="Z88" i="104" s="1"/>
  <c r="R88" i="104"/>
  <c r="X31" i="19"/>
  <c r="P36" i="19"/>
  <c r="Z89" i="96"/>
  <c r="T93" i="96"/>
  <c r="V89" i="96"/>
  <c r="Z53" i="60"/>
  <c r="T56" i="60"/>
  <c r="X53" i="60"/>
  <c r="Z92" i="45"/>
  <c r="T96" i="45"/>
  <c r="V92" i="45"/>
  <c r="D36" i="37"/>
  <c r="L31" i="37"/>
  <c r="H291" i="18"/>
  <c r="L291" i="18" s="1"/>
  <c r="N287" i="18"/>
  <c r="J287" i="18"/>
  <c r="L29" i="83"/>
  <c r="N29" i="83" s="1"/>
  <c r="D33" i="83"/>
  <c r="F29" i="83"/>
  <c r="N73" i="89"/>
  <c r="H77" i="89"/>
  <c r="J73" i="89"/>
  <c r="D36" i="41"/>
  <c r="L31" i="41"/>
  <c r="D36" i="32"/>
  <c r="L31" i="32"/>
  <c r="N31" i="113"/>
  <c r="H36" i="113"/>
  <c r="N36" i="113" s="1"/>
  <c r="H59" i="105"/>
  <c r="J56" i="105"/>
  <c r="D102" i="64"/>
  <c r="L102" i="64" s="1"/>
  <c r="L99" i="64"/>
  <c r="N99" i="64" s="1"/>
  <c r="H125" i="27"/>
  <c r="J122" i="27"/>
  <c r="X31" i="6"/>
  <c r="T36" i="34"/>
  <c r="Z36" i="34" s="1"/>
  <c r="Z31" i="34"/>
  <c r="X36" i="47" l="1"/>
  <c r="X36" i="50"/>
  <c r="X36" i="37"/>
  <c r="L36" i="49"/>
  <c r="L36" i="22"/>
  <c r="X36" i="29"/>
  <c r="X36" i="13"/>
  <c r="X36" i="26"/>
  <c r="L36" i="29"/>
  <c r="L36" i="32"/>
  <c r="X36" i="112"/>
  <c r="L36" i="4"/>
  <c r="X36" i="19"/>
  <c r="L36" i="43"/>
  <c r="L36" i="34"/>
  <c r="X36" i="5"/>
  <c r="L36" i="5"/>
  <c r="X36" i="31"/>
  <c r="L36" i="41"/>
  <c r="X36" i="11"/>
  <c r="L36" i="113"/>
  <c r="L36" i="25"/>
  <c r="X36" i="23"/>
  <c r="L36" i="7"/>
  <c r="L36" i="13"/>
  <c r="L36" i="17"/>
  <c r="X36" i="25"/>
  <c r="L36" i="112"/>
  <c r="X36" i="46"/>
  <c r="X36" i="14"/>
  <c r="X36" i="111"/>
  <c r="L36" i="53"/>
  <c r="L36" i="38"/>
  <c r="L36" i="8"/>
  <c r="X291" i="18"/>
  <c r="P294" i="18"/>
  <c r="R291" i="18"/>
  <c r="H124" i="71"/>
  <c r="J121" i="71"/>
  <c r="X91" i="104"/>
  <c r="R91" i="104"/>
  <c r="T59" i="105"/>
  <c r="V56" i="105"/>
  <c r="X36" i="52"/>
  <c r="T117" i="75"/>
  <c r="V114" i="75"/>
  <c r="X36" i="8"/>
  <c r="X81" i="93"/>
  <c r="Z81" i="93" s="1"/>
  <c r="P84" i="93"/>
  <c r="R81" i="93"/>
  <c r="Z124" i="42"/>
  <c r="T127" i="42"/>
  <c r="V124" i="42"/>
  <c r="L54" i="99"/>
  <c r="F54" i="99"/>
  <c r="F87" i="73"/>
  <c r="X37" i="86"/>
  <c r="R37" i="86"/>
  <c r="N81" i="95"/>
  <c r="H84" i="95"/>
  <c r="J81" i="95"/>
  <c r="L130" i="36"/>
  <c r="F130" i="36"/>
  <c r="D96" i="74"/>
  <c r="L93" i="74"/>
  <c r="F93" i="74"/>
  <c r="X36" i="40"/>
  <c r="J77" i="80"/>
  <c r="X87" i="88"/>
  <c r="Z87" i="88" s="1"/>
  <c r="P90" i="88"/>
  <c r="R87" i="88"/>
  <c r="H72" i="79"/>
  <c r="J69" i="79"/>
  <c r="J92" i="108"/>
  <c r="X56" i="60"/>
  <c r="Z56" i="60" s="1"/>
  <c r="L89" i="84"/>
  <c r="N89" i="84" s="1"/>
  <c r="D92" i="84"/>
  <c r="F89" i="84"/>
  <c r="L93" i="96"/>
  <c r="N93" i="96" s="1"/>
  <c r="D96" i="96"/>
  <c r="F93" i="96"/>
  <c r="Z44" i="109"/>
  <c r="H90" i="88"/>
  <c r="N87" i="88"/>
  <c r="J87" i="88"/>
  <c r="N80" i="56"/>
  <c r="L44" i="109"/>
  <c r="L36" i="14"/>
  <c r="Z122" i="27"/>
  <c r="T125" i="27"/>
  <c r="V122" i="27"/>
  <c r="P100" i="33"/>
  <c r="X97" i="33"/>
  <c r="Z97" i="33" s="1"/>
  <c r="R97" i="33"/>
  <c r="Z98" i="92"/>
  <c r="P127" i="42"/>
  <c r="X124" i="42"/>
  <c r="R124" i="42"/>
  <c r="X36" i="10"/>
  <c r="J37" i="86"/>
  <c r="L37" i="86"/>
  <c r="N37" i="86" s="1"/>
  <c r="D113" i="51"/>
  <c r="L110" i="51"/>
  <c r="F110" i="51"/>
  <c r="F99" i="45"/>
  <c r="V80" i="70"/>
  <c r="N100" i="33"/>
  <c r="J100" i="33"/>
  <c r="X36" i="7"/>
  <c r="L36" i="40"/>
  <c r="X89" i="108"/>
  <c r="Z89" i="108" s="1"/>
  <c r="P92" i="108"/>
  <c r="R89" i="108"/>
  <c r="J82" i="81"/>
  <c r="L36" i="50"/>
  <c r="H80" i="89"/>
  <c r="J77" i="89"/>
  <c r="N44" i="109"/>
  <c r="J59" i="105"/>
  <c r="L33" i="83"/>
  <c r="D36" i="83"/>
  <c r="F33" i="83"/>
  <c r="L113" i="77"/>
  <c r="F113" i="77"/>
  <c r="D91" i="104"/>
  <c r="L88" i="104"/>
  <c r="F88" i="104"/>
  <c r="Z263" i="15"/>
  <c r="T266" i="15"/>
  <c r="V263" i="15"/>
  <c r="Z31" i="6"/>
  <c r="V127" i="85"/>
  <c r="F294" i="18"/>
  <c r="Z291" i="18"/>
  <c r="T294" i="18"/>
  <c r="V291" i="18"/>
  <c r="Z98" i="9"/>
  <c r="J137" i="39"/>
  <c r="N140" i="24"/>
  <c r="H143" i="24"/>
  <c r="J140" i="24"/>
  <c r="L84" i="95"/>
  <c r="F84" i="95"/>
  <c r="Z37" i="86"/>
  <c r="V37" i="86"/>
  <c r="L91" i="98"/>
  <c r="N91" i="98" s="1"/>
  <c r="F91" i="98"/>
  <c r="H274" i="12"/>
  <c r="J271" i="12"/>
  <c r="T130" i="36"/>
  <c r="X130" i="36" s="1"/>
  <c r="V127" i="36"/>
  <c r="T87" i="73"/>
  <c r="V84" i="73"/>
  <c r="J89" i="102"/>
  <c r="T274" i="12"/>
  <c r="V271" i="12"/>
  <c r="J126" i="69"/>
  <c r="L72" i="79"/>
  <c r="F72" i="79"/>
  <c r="J127" i="85"/>
  <c r="X36" i="41"/>
  <c r="L77" i="80"/>
  <c r="N77" i="80" s="1"/>
  <c r="F77" i="80"/>
  <c r="Z80" i="76"/>
  <c r="T83" i="76"/>
  <c r="V80" i="76"/>
  <c r="J91" i="98"/>
  <c r="X36" i="28"/>
  <c r="L36" i="26"/>
  <c r="H83" i="76"/>
  <c r="J80" i="76"/>
  <c r="N93" i="74"/>
  <c r="H96" i="74"/>
  <c r="J93" i="74"/>
  <c r="L56" i="60"/>
  <c r="L36" i="44"/>
  <c r="J74" i="94"/>
  <c r="X92" i="106"/>
  <c r="Z92" i="106" s="1"/>
  <c r="R92" i="106"/>
  <c r="L36" i="10"/>
  <c r="T126" i="69"/>
  <c r="V123" i="69"/>
  <c r="L90" i="88"/>
  <c r="F90" i="88"/>
  <c r="J92" i="84"/>
  <c r="P83" i="76"/>
  <c r="X80" i="76"/>
  <c r="R80" i="76"/>
  <c r="T96" i="96"/>
  <c r="V93" i="96"/>
  <c r="L31" i="54"/>
  <c r="N31" i="54" s="1"/>
  <c r="L69" i="79"/>
  <c r="N69" i="79" s="1"/>
  <c r="N33" i="83"/>
  <c r="H36" i="83"/>
  <c r="J33" i="83"/>
  <c r="X36" i="4"/>
  <c r="X36" i="43"/>
  <c r="Z91" i="104"/>
  <c r="V91" i="104"/>
  <c r="Z77" i="89"/>
  <c r="T80" i="89"/>
  <c r="V77" i="89"/>
  <c r="X123" i="69"/>
  <c r="Z123" i="69" s="1"/>
  <c r="P126" i="69"/>
  <c r="R123" i="69"/>
  <c r="L36" i="31"/>
  <c r="N31" i="87"/>
  <c r="X319" i="3"/>
  <c r="R319" i="3"/>
  <c r="H91" i="104"/>
  <c r="N88" i="104"/>
  <c r="J88" i="104"/>
  <c r="Z31" i="87"/>
  <c r="F127" i="42"/>
  <c r="L80" i="70"/>
  <c r="N80" i="70" s="1"/>
  <c r="F80" i="70"/>
  <c r="L123" i="69"/>
  <c r="N123" i="69" s="1"/>
  <c r="D126" i="69"/>
  <c r="F123" i="69"/>
  <c r="X36" i="113"/>
  <c r="X77" i="80"/>
  <c r="R77" i="80"/>
  <c r="Z79" i="81"/>
  <c r="T82" i="81"/>
  <c r="V79" i="81"/>
  <c r="N113" i="77"/>
  <c r="J113" i="77"/>
  <c r="L50" i="100"/>
  <c r="Z36" i="83"/>
  <c r="V36" i="83"/>
  <c r="X121" i="71"/>
  <c r="Z121" i="71" s="1"/>
  <c r="P124" i="71"/>
  <c r="R121" i="71"/>
  <c r="J96" i="96"/>
  <c r="N98" i="9"/>
  <c r="X77" i="110"/>
  <c r="R77" i="110"/>
  <c r="X80" i="70"/>
  <c r="Z80" i="70" s="1"/>
  <c r="R80" i="70"/>
  <c r="L127" i="85"/>
  <c r="N127" i="85" s="1"/>
  <c r="F127" i="85"/>
  <c r="V92" i="84"/>
  <c r="L77" i="48"/>
  <c r="F77" i="48"/>
  <c r="V74" i="94"/>
  <c r="Z77" i="110"/>
  <c r="V77" i="110"/>
  <c r="X36" i="20"/>
  <c r="Z140" i="24"/>
  <c r="T143" i="24"/>
  <c r="V140" i="24"/>
  <c r="L82" i="81"/>
  <c r="N82" i="81" s="1"/>
  <c r="F82" i="81"/>
  <c r="L98" i="9"/>
  <c r="X87" i="73"/>
  <c r="R87" i="73"/>
  <c r="L36" i="52"/>
  <c r="N56" i="60"/>
  <c r="L89" i="102"/>
  <c r="N89" i="102" s="1"/>
  <c r="F89" i="102"/>
  <c r="X122" i="27"/>
  <c r="N75" i="57"/>
  <c r="N110" i="51"/>
  <c r="H113" i="51"/>
  <c r="J110" i="51"/>
  <c r="N102" i="64"/>
  <c r="N96" i="45"/>
  <c r="H99" i="45"/>
  <c r="J96" i="45"/>
  <c r="X36" i="34"/>
  <c r="X88" i="98"/>
  <c r="Z88" i="98" s="1"/>
  <c r="P91" i="98"/>
  <c r="R88" i="98"/>
  <c r="D266" i="15"/>
  <c r="L263" i="15"/>
  <c r="F263" i="15"/>
  <c r="L36" i="20"/>
  <c r="V113" i="77"/>
  <c r="L80" i="76"/>
  <c r="N80" i="76" s="1"/>
  <c r="D83" i="76"/>
  <c r="F80" i="76"/>
  <c r="X113" i="77"/>
  <c r="Z113" i="77" s="1"/>
  <c r="R113" i="77"/>
  <c r="J77" i="110"/>
  <c r="H294" i="18"/>
  <c r="L294" i="18" s="1"/>
  <c r="N291" i="18"/>
  <c r="J291" i="18"/>
  <c r="D92" i="108"/>
  <c r="L89" i="108"/>
  <c r="N89" i="108" s="1"/>
  <c r="F89" i="108"/>
  <c r="R84" i="95"/>
  <c r="V92" i="108"/>
  <c r="X82" i="81"/>
  <c r="R82" i="81"/>
  <c r="L319" i="3"/>
  <c r="F319" i="3"/>
  <c r="N130" i="36"/>
  <c r="J130" i="36"/>
  <c r="L36" i="46"/>
  <c r="V124" i="71"/>
  <c r="L71" i="59"/>
  <c r="N71" i="59" s="1"/>
  <c r="T110" i="21"/>
  <c r="V107" i="21"/>
  <c r="Z40" i="55"/>
  <c r="X84" i="73"/>
  <c r="Z84" i="73" s="1"/>
  <c r="X125" i="27"/>
  <c r="R125" i="27"/>
  <c r="N69" i="101"/>
  <c r="V84" i="93"/>
  <c r="N68" i="68"/>
  <c r="X36" i="22"/>
  <c r="X36" i="53"/>
  <c r="X36" i="32"/>
  <c r="D117" i="75"/>
  <c r="L114" i="75"/>
  <c r="F114" i="75"/>
  <c r="X36" i="83"/>
  <c r="R36" i="83"/>
  <c r="X36" i="35"/>
  <c r="P77" i="48"/>
  <c r="X74" i="48"/>
  <c r="Z74" i="48" s="1"/>
  <c r="R74" i="48"/>
  <c r="Z137" i="39"/>
  <c r="V137" i="39"/>
  <c r="V92" i="106"/>
  <c r="T89" i="102"/>
  <c r="V86" i="102"/>
  <c r="L100" i="33"/>
  <c r="F100" i="33"/>
  <c r="D274" i="12"/>
  <c r="L271" i="12"/>
  <c r="N271" i="12" s="1"/>
  <c r="F271" i="12"/>
  <c r="H266" i="15"/>
  <c r="N263" i="15"/>
  <c r="J263" i="15"/>
  <c r="Z69" i="79"/>
  <c r="T72" i="79"/>
  <c r="V69" i="79"/>
  <c r="F156" i="30"/>
  <c r="X110" i="51"/>
  <c r="Z110" i="51" s="1"/>
  <c r="P113" i="51"/>
  <c r="R110" i="51"/>
  <c r="X86" i="102"/>
  <c r="Z86" i="102" s="1"/>
  <c r="P89" i="102"/>
  <c r="R86" i="102"/>
  <c r="Z77" i="80"/>
  <c r="V77" i="80"/>
  <c r="L36" i="11"/>
  <c r="X31" i="107"/>
  <c r="Z31" i="107" s="1"/>
  <c r="X50" i="100"/>
  <c r="Z50" i="100" s="1"/>
  <c r="X153" i="30"/>
  <c r="Z153" i="30" s="1"/>
  <c r="P156" i="30"/>
  <c r="R153" i="30"/>
  <c r="X69" i="101"/>
  <c r="Z69" i="101" s="1"/>
  <c r="R69" i="101"/>
  <c r="X114" i="75"/>
  <c r="Z114" i="75" s="1"/>
  <c r="P117" i="75"/>
  <c r="R114" i="75"/>
  <c r="L56" i="105"/>
  <c r="N56" i="105" s="1"/>
  <c r="D59" i="105"/>
  <c r="F56" i="105"/>
  <c r="L36" i="37"/>
  <c r="X72" i="79"/>
  <c r="R72" i="79"/>
  <c r="X96" i="74"/>
  <c r="R96" i="74"/>
  <c r="X80" i="89"/>
  <c r="R80" i="89"/>
  <c r="L122" i="27"/>
  <c r="N122" i="27" s="1"/>
  <c r="D125" i="27"/>
  <c r="F122" i="27"/>
  <c r="J92" i="106"/>
  <c r="L36" i="28"/>
  <c r="X127" i="85"/>
  <c r="Z127" i="85" s="1"/>
  <c r="R127" i="85"/>
  <c r="H156" i="30"/>
  <c r="N153" i="30"/>
  <c r="J153" i="30"/>
  <c r="X74" i="94"/>
  <c r="Z74" i="94" s="1"/>
  <c r="R74" i="94"/>
  <c r="N124" i="42"/>
  <c r="H127" i="42"/>
  <c r="L127" i="42" s="1"/>
  <c r="J124" i="42"/>
  <c r="R130" i="36"/>
  <c r="Z80" i="56"/>
  <c r="X78" i="58"/>
  <c r="Z78" i="58" s="1"/>
  <c r="X58" i="61"/>
  <c r="X96" i="45"/>
  <c r="Z96" i="45" s="1"/>
  <c r="P99" i="45"/>
  <c r="R96" i="45"/>
  <c r="Z93" i="74"/>
  <c r="T96" i="74"/>
  <c r="V93" i="74"/>
  <c r="L36" i="23"/>
  <c r="T156" i="30"/>
  <c r="V153" i="30"/>
  <c r="N31" i="6"/>
  <c r="V113" i="51"/>
  <c r="X96" i="96"/>
  <c r="R96" i="96"/>
  <c r="L36" i="19"/>
  <c r="H117" i="75"/>
  <c r="N114" i="75"/>
  <c r="J114" i="75"/>
  <c r="N50" i="100"/>
  <c r="J80" i="70"/>
  <c r="L89" i="106"/>
  <c r="N89" i="106" s="1"/>
  <c r="D92" i="106"/>
  <c r="F89" i="106"/>
  <c r="L107" i="21"/>
  <c r="D110" i="21"/>
  <c r="F107" i="21"/>
  <c r="L80" i="56"/>
  <c r="H84" i="93"/>
  <c r="J81" i="93"/>
  <c r="L36" i="47"/>
  <c r="D74" i="94"/>
  <c r="L71" i="94"/>
  <c r="N71" i="94" s="1"/>
  <c r="F71" i="94"/>
  <c r="N84" i="73"/>
  <c r="H87" i="73"/>
  <c r="J84" i="73"/>
  <c r="L137" i="39"/>
  <c r="N137" i="39" s="1"/>
  <c r="F137" i="39"/>
  <c r="L36" i="111"/>
  <c r="X36" i="17"/>
  <c r="X127" i="36"/>
  <c r="Z127" i="36" s="1"/>
  <c r="L77" i="89"/>
  <c r="N77" i="89" s="1"/>
  <c r="D80" i="89"/>
  <c r="F77" i="89"/>
  <c r="N58" i="61"/>
  <c r="F143" i="24"/>
  <c r="D124" i="71"/>
  <c r="L121" i="71"/>
  <c r="N121" i="71" s="1"/>
  <c r="F121" i="71"/>
  <c r="X36" i="38"/>
  <c r="Z58" i="61"/>
  <c r="L81" i="93"/>
  <c r="N81" i="93" s="1"/>
  <c r="Z319" i="3"/>
  <c r="V319" i="3"/>
  <c r="P59" i="105"/>
  <c r="X56" i="105"/>
  <c r="Z56" i="105" s="1"/>
  <c r="R56" i="105"/>
  <c r="X54" i="99"/>
  <c r="R54" i="99"/>
  <c r="X36" i="16"/>
  <c r="J125" i="27"/>
  <c r="T99" i="45"/>
  <c r="V96" i="45"/>
  <c r="P110" i="21"/>
  <c r="X107" i="21"/>
  <c r="Z107" i="21" s="1"/>
  <c r="R107" i="21"/>
  <c r="R143" i="24"/>
  <c r="X137" i="39"/>
  <c r="R137" i="39"/>
  <c r="L74" i="110"/>
  <c r="N74" i="110" s="1"/>
  <c r="D77" i="110"/>
  <c r="F74" i="110"/>
  <c r="X92" i="84"/>
  <c r="Z92" i="84" s="1"/>
  <c r="R92" i="84"/>
  <c r="X263" i="15"/>
  <c r="P266" i="15"/>
  <c r="R263" i="15"/>
  <c r="T84" i="95"/>
  <c r="Z81" i="95"/>
  <c r="V81" i="95"/>
  <c r="N319" i="3"/>
  <c r="J319" i="3"/>
  <c r="X271" i="12"/>
  <c r="Z271" i="12" s="1"/>
  <c r="P274" i="12"/>
  <c r="R271" i="12"/>
  <c r="L84" i="93"/>
  <c r="F84" i="93"/>
  <c r="L36" i="35"/>
  <c r="N77" i="48"/>
  <c r="J77" i="48"/>
  <c r="X93" i="96"/>
  <c r="Z93" i="96" s="1"/>
  <c r="T91" i="98"/>
  <c r="V88" i="98"/>
  <c r="H110" i="21"/>
  <c r="N107" i="21"/>
  <c r="J107" i="21"/>
  <c r="L80" i="89" l="1"/>
  <c r="N80" i="89" s="1"/>
  <c r="F80" i="89"/>
  <c r="J156" i="30"/>
  <c r="L83" i="76"/>
  <c r="N83" i="76" s="1"/>
  <c r="F83" i="76"/>
  <c r="J80" i="89"/>
  <c r="X127" i="42"/>
  <c r="Z127" i="42" s="1"/>
  <c r="R127" i="42"/>
  <c r="V99" i="45"/>
  <c r="L74" i="94"/>
  <c r="N74" i="94" s="1"/>
  <c r="F74" i="94"/>
  <c r="X156" i="30"/>
  <c r="R156" i="30"/>
  <c r="X113" i="51"/>
  <c r="Z113" i="51" s="1"/>
  <c r="R113" i="51"/>
  <c r="L274" i="12"/>
  <c r="F274" i="12"/>
  <c r="X77" i="48"/>
  <c r="Z77" i="48" s="1"/>
  <c r="R77" i="48"/>
  <c r="J99" i="45"/>
  <c r="Z82" i="81"/>
  <c r="V82" i="81"/>
  <c r="Z80" i="89"/>
  <c r="V80" i="89"/>
  <c r="N96" i="74"/>
  <c r="J96" i="74"/>
  <c r="V294" i="18"/>
  <c r="L91" i="104"/>
  <c r="F91" i="104"/>
  <c r="L96" i="74"/>
  <c r="F96" i="74"/>
  <c r="X274" i="12"/>
  <c r="Z274" i="12" s="1"/>
  <c r="R274" i="12"/>
  <c r="Z156" i="30"/>
  <c r="V156" i="30"/>
  <c r="L92" i="108"/>
  <c r="N92" i="108" s="1"/>
  <c r="F92" i="108"/>
  <c r="L99" i="45"/>
  <c r="N99" i="45" s="1"/>
  <c r="N90" i="88"/>
  <c r="J90" i="88"/>
  <c r="J110" i="21"/>
  <c r="L77" i="110"/>
  <c r="N77" i="110" s="1"/>
  <c r="F77" i="110"/>
  <c r="Z126" i="69"/>
  <c r="V126" i="69"/>
  <c r="N72" i="79"/>
  <c r="J72" i="79"/>
  <c r="V127" i="42"/>
  <c r="V59" i="105"/>
  <c r="N266" i="15"/>
  <c r="J266" i="15"/>
  <c r="N84" i="93"/>
  <c r="J84" i="93"/>
  <c r="L156" i="30"/>
  <c r="N156" i="30" s="1"/>
  <c r="X124" i="71"/>
  <c r="Z124" i="71" s="1"/>
  <c r="R124" i="71"/>
  <c r="N91" i="104"/>
  <c r="J91" i="104"/>
  <c r="J83" i="76"/>
  <c r="Z87" i="73"/>
  <c r="V87" i="73"/>
  <c r="X100" i="33"/>
  <c r="Z100" i="33" s="1"/>
  <c r="R100" i="33"/>
  <c r="X89" i="102"/>
  <c r="R89" i="102"/>
  <c r="L59" i="105"/>
  <c r="N59" i="105" s="1"/>
  <c r="F59" i="105"/>
  <c r="Z89" i="102"/>
  <c r="V89" i="102"/>
  <c r="N113" i="51"/>
  <c r="J113" i="51"/>
  <c r="Z96" i="96"/>
  <c r="V96" i="96"/>
  <c r="L36" i="83"/>
  <c r="F36" i="83"/>
  <c r="X92" i="108"/>
  <c r="Z92" i="108" s="1"/>
  <c r="R92" i="108"/>
  <c r="L113" i="51"/>
  <c r="F113" i="51"/>
  <c r="L96" i="96"/>
  <c r="N96" i="96" s="1"/>
  <c r="F96" i="96"/>
  <c r="X266" i="15"/>
  <c r="R266" i="15"/>
  <c r="Z91" i="98"/>
  <c r="V91" i="98"/>
  <c r="J117" i="75"/>
  <c r="Z96" i="74"/>
  <c r="V96" i="74"/>
  <c r="N127" i="42"/>
  <c r="J127" i="42"/>
  <c r="Z72" i="79"/>
  <c r="V72" i="79"/>
  <c r="N294" i="18"/>
  <c r="J294" i="18"/>
  <c r="Z125" i="27"/>
  <c r="V125" i="27"/>
  <c r="X90" i="88"/>
  <c r="Z90" i="88" s="1"/>
  <c r="R90" i="88"/>
  <c r="N84" i="95"/>
  <c r="J84" i="95"/>
  <c r="X84" i="93"/>
  <c r="Z84" i="93" s="1"/>
  <c r="R84" i="93"/>
  <c r="L124" i="71"/>
  <c r="N124" i="71" s="1"/>
  <c r="F124" i="71"/>
  <c r="L125" i="27"/>
  <c r="N125" i="27" s="1"/>
  <c r="F125" i="27"/>
  <c r="L117" i="75"/>
  <c r="N117" i="75" s="1"/>
  <c r="F117" i="75"/>
  <c r="L266" i="15"/>
  <c r="F266" i="15"/>
  <c r="V143" i="24"/>
  <c r="L126" i="69"/>
  <c r="N126" i="69" s="1"/>
  <c r="F126" i="69"/>
  <c r="Z130" i="36"/>
  <c r="V130" i="36"/>
  <c r="J143" i="24"/>
  <c r="J124" i="71"/>
  <c r="V84" i="95"/>
  <c r="X143" i="24"/>
  <c r="Z143" i="24" s="1"/>
  <c r="L110" i="21"/>
  <c r="N110" i="21" s="1"/>
  <c r="F110" i="21"/>
  <c r="X117" i="75"/>
  <c r="Z117" i="75" s="1"/>
  <c r="R117" i="75"/>
  <c r="L92" i="84"/>
  <c r="N92" i="84" s="1"/>
  <c r="F92" i="84"/>
  <c r="L143" i="24"/>
  <c r="N143" i="24" s="1"/>
  <c r="N87" i="73"/>
  <c r="J87" i="73"/>
  <c r="X99" i="45"/>
  <c r="Z99" i="45" s="1"/>
  <c r="R99" i="45"/>
  <c r="Z110" i="21"/>
  <c r="V110" i="21"/>
  <c r="X91" i="98"/>
  <c r="R91" i="98"/>
  <c r="N36" i="83"/>
  <c r="J36" i="83"/>
  <c r="X83" i="76"/>
  <c r="R83" i="76"/>
  <c r="Z266" i="15"/>
  <c r="V266" i="15"/>
  <c r="X126" i="69"/>
  <c r="R126" i="69"/>
  <c r="N274" i="12"/>
  <c r="J274" i="12"/>
  <c r="V117" i="75"/>
  <c r="X294" i="18"/>
  <c r="Z294" i="18" s="1"/>
  <c r="R294" i="18"/>
  <c r="X110" i="21"/>
  <c r="R110" i="21"/>
  <c r="X59" i="105"/>
  <c r="Z59" i="105" s="1"/>
  <c r="R59" i="105"/>
  <c r="L92" i="106"/>
  <c r="N92" i="106" s="1"/>
  <c r="F92" i="106"/>
  <c r="X84" i="95"/>
  <c r="Z84" i="95" s="1"/>
  <c r="Z83" i="76"/>
  <c r="V83" i="76"/>
  <c r="V274" i="12"/>
  <c r="L87" i="73"/>
</calcChain>
</file>

<file path=xl/sharedStrings.xml><?xml version="1.0" encoding="utf-8"?>
<sst xmlns="http://schemas.openxmlformats.org/spreadsheetml/2006/main" count="2974" uniqueCount="314">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</sst>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0" applyNumberFormat="1" applyFill="1"/>
    <xf numFmtId="49" fontId="2" fillId="0" borderId="0" xfId="0" applyNumberFormat="1" applyFont="1" applyFill="1"/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Fill="1" applyBorder="1"/>
    <xf numFmtId="0" fontId="3" fillId="0" borderId="0" xfId="0" applyFont="1"/>
    <xf numFmtId="49" fontId="2" fillId="2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Fill="1"/>
    <xf numFmtId="0" fontId="2" fillId="0" borderId="0" xfId="0" applyFont="1" applyAlignment="1">
      <alignment horizontal="left"/>
    </xf>
    <xf numFmtId="165" fontId="0" fillId="0" borderId="0" xfId="0" applyNumberFormat="1"/>
    <xf numFmtId="0" fontId="0" fillId="0" borderId="0" xfId="0" applyFill="1" applyAlignment="1">
      <alignment horizontal="centerContinuous"/>
    </xf>
    <xf numFmtId="0" fontId="0" fillId="0" borderId="0" xfId="0" applyBorder="1"/>
    <xf numFmtId="166" fontId="4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307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307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308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308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304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304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302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302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303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303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312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312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24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1983421.1100000006</v>
      </c>
      <c r="E12" s="4"/>
      <c r="F12" s="12"/>
      <c r="G12" s="4"/>
      <c r="H12" s="4">
        <f>SUM(OSRRefH13x_0)</f>
        <v>2399169.39</v>
      </c>
      <c r="I12" s="4"/>
      <c r="J12" s="12"/>
      <c r="K12" s="4"/>
      <c r="L12" s="4">
        <f t="shared" ref="L12:L135" si="0">+D12-H12</f>
        <v>-415748.27999999956</v>
      </c>
      <c r="M12" s="4"/>
      <c r="N12" s="12">
        <f t="shared" ref="N12:N135" si="1">IF(H12=0,0,L12/H12)</f>
        <v>-0.17328842295707997</v>
      </c>
      <c r="O12" s="10"/>
      <c r="P12" s="4">
        <f>SUM(OSRRefP13x_0)</f>
        <v>18077831.070000008</v>
      </c>
      <c r="Q12" s="4"/>
      <c r="R12" s="12"/>
      <c r="S12" s="4"/>
      <c r="T12" s="4">
        <f>SUM(OSRRefT13x_0)</f>
        <v>18335260.380000003</v>
      </c>
      <c r="U12" s="4"/>
      <c r="V12" s="12"/>
      <c r="W12" s="4"/>
      <c r="X12" s="4">
        <f t="shared" ref="X12:X135" si="2">+P12-T12</f>
        <v>-257429.30999999493</v>
      </c>
      <c r="Y12" s="4"/>
      <c r="Z12" s="12">
        <f t="shared" ref="Z12:Z135" si="3">IF(T12=0,0,X12/T12)</f>
        <v>-1.4040122946974746E-2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--426.09</f>
        <v>426.09</v>
      </c>
      <c r="I13" s="2"/>
      <c r="J13" s="19"/>
      <c r="K13" s="2"/>
      <c r="L13" s="2">
        <f t="shared" si="0"/>
        <v>-426.09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--426.09</f>
        <v>426.09</v>
      </c>
      <c r="U13" s="2"/>
      <c r="V13" s="19"/>
      <c r="W13" s="2"/>
      <c r="X13" s="2">
        <f t="shared" si="2"/>
        <v>-426.09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--36689.95</f>
        <v>36689.949999999997</v>
      </c>
      <c r="E14" s="2"/>
      <c r="F14" s="19"/>
      <c r="G14" s="2"/>
      <c r="H14" s="2">
        <f>--19357.4</f>
        <v>19357.400000000001</v>
      </c>
      <c r="I14" s="2"/>
      <c r="J14" s="19"/>
      <c r="K14" s="2"/>
      <c r="L14" s="2">
        <f t="shared" si="0"/>
        <v>17332.549999999996</v>
      </c>
      <c r="M14" s="2"/>
      <c r="N14" s="19">
        <f t="shared" si="1"/>
        <v>0.89539659251758985</v>
      </c>
      <c r="O14" s="11"/>
      <c r="P14" s="2">
        <f>--1540034.38</f>
        <v>1540034.38</v>
      </c>
      <c r="Q14" s="2"/>
      <c r="R14" s="19"/>
      <c r="S14" s="2"/>
      <c r="T14" s="2">
        <f>--1869627.25</f>
        <v>1869627.25</v>
      </c>
      <c r="U14" s="2"/>
      <c r="V14" s="19"/>
      <c r="W14" s="2"/>
      <c r="X14" s="2">
        <f t="shared" si="2"/>
        <v>-329592.87000000011</v>
      </c>
      <c r="Y14" s="2"/>
      <c r="Z14" s="19">
        <f t="shared" si="3"/>
        <v>-0.17628801142045833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--10615.68</f>
        <v>10615.68</v>
      </c>
      <c r="E15" s="2"/>
      <c r="F15" s="19"/>
      <c r="G15" s="2"/>
      <c r="H15" s="2">
        <f>--14559.21</f>
        <v>14559.21</v>
      </c>
      <c r="I15" s="2"/>
      <c r="J15" s="19"/>
      <c r="K15" s="2"/>
      <c r="L15" s="2">
        <f t="shared" si="0"/>
        <v>-3943.5299999999988</v>
      </c>
      <c r="M15" s="2"/>
      <c r="N15" s="19">
        <f t="shared" si="1"/>
        <v>-0.27086153713010519</v>
      </c>
      <c r="O15" s="11"/>
      <c r="P15" s="2">
        <f>--681094.97</f>
        <v>681094.97</v>
      </c>
      <c r="Q15" s="2"/>
      <c r="R15" s="19"/>
      <c r="S15" s="2"/>
      <c r="T15" s="2">
        <f>--755941.45</f>
        <v>755941.45</v>
      </c>
      <c r="U15" s="2"/>
      <c r="V15" s="19"/>
      <c r="W15" s="2"/>
      <c r="X15" s="2">
        <f t="shared" si="2"/>
        <v>-74846.479999999981</v>
      </c>
      <c r="Y15" s="2"/>
      <c r="Z15" s="19">
        <f t="shared" si="3"/>
        <v>-9.9010948533117191E-2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--586.01</f>
        <v>586.01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586.01</v>
      </c>
      <c r="M16" s="2"/>
      <c r="N16" s="19">
        <f t="shared" si="1"/>
        <v>0</v>
      </c>
      <c r="O16" s="11"/>
      <c r="P16" s="2">
        <f>--16430.67</f>
        <v>16430.669999999998</v>
      </c>
      <c r="Q16" s="2"/>
      <c r="R16" s="19"/>
      <c r="S16" s="2"/>
      <c r="T16" s="2">
        <f>--9944.25</f>
        <v>9944.25</v>
      </c>
      <c r="U16" s="2"/>
      <c r="V16" s="19"/>
      <c r="W16" s="2"/>
      <c r="X16" s="2">
        <f t="shared" si="2"/>
        <v>6486.4199999999983</v>
      </c>
      <c r="Y16" s="2"/>
      <c r="Z16" s="19">
        <f t="shared" si="3"/>
        <v>0.65227845237197357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>
        <f>--56.78</f>
        <v>56.78</v>
      </c>
      <c r="I17" s="2"/>
      <c r="J17" s="19"/>
      <c r="K17" s="2"/>
      <c r="L17" s="2">
        <f t="shared" si="0"/>
        <v>-56.78</v>
      </c>
      <c r="M17" s="2"/>
      <c r="N17" s="19">
        <f t="shared" si="1"/>
        <v>-1</v>
      </c>
      <c r="O17" s="11"/>
      <c r="P17" s="2">
        <f>--30279.88</f>
        <v>30279.88</v>
      </c>
      <c r="Q17" s="2"/>
      <c r="R17" s="19"/>
      <c r="S17" s="2"/>
      <c r="T17" s="2">
        <f>--42682.1</f>
        <v>42682.1</v>
      </c>
      <c r="U17" s="2"/>
      <c r="V17" s="19"/>
      <c r="W17" s="2"/>
      <c r="X17" s="2">
        <f t="shared" si="2"/>
        <v>-12402.219999999998</v>
      </c>
      <c r="Y17" s="2"/>
      <c r="Z17" s="19">
        <f t="shared" si="3"/>
        <v>-0.29057192593616521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--3.62</f>
        <v>3.62</v>
      </c>
      <c r="E18" s="2"/>
      <c r="F18" s="19"/>
      <c r="G18" s="2"/>
      <c r="H18" s="2">
        <f>--0.52</f>
        <v>0.52</v>
      </c>
      <c r="I18" s="2"/>
      <c r="J18" s="19"/>
      <c r="K18" s="2"/>
      <c r="L18" s="2">
        <f t="shared" si="0"/>
        <v>3.1</v>
      </c>
      <c r="M18" s="2"/>
      <c r="N18" s="19">
        <f t="shared" si="1"/>
        <v>5.9615384615384617</v>
      </c>
      <c r="O18" s="11"/>
      <c r="P18" s="2">
        <f>--13.22</f>
        <v>13.22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7.3900000000000006</v>
      </c>
      <c r="Y18" s="2"/>
      <c r="Z18" s="19">
        <f t="shared" si="3"/>
        <v>1.2675814751286449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--167.6</f>
        <v>167.6</v>
      </c>
      <c r="E19" s="2"/>
      <c r="F19" s="19"/>
      <c r="G19" s="2"/>
      <c r="H19" s="2">
        <f>--192.11</f>
        <v>192.11</v>
      </c>
      <c r="I19" s="2"/>
      <c r="J19" s="19"/>
      <c r="K19" s="2"/>
      <c r="L19" s="2">
        <f t="shared" si="0"/>
        <v>-24.510000000000019</v>
      </c>
      <c r="M19" s="2"/>
      <c r="N19" s="19">
        <f t="shared" si="1"/>
        <v>-0.12758315548383747</v>
      </c>
      <c r="O19" s="11"/>
      <c r="P19" s="2">
        <f>--1280.32</f>
        <v>1280.32</v>
      </c>
      <c r="Q19" s="2"/>
      <c r="R19" s="19"/>
      <c r="S19" s="2"/>
      <c r="T19" s="2">
        <f>--2848.44</f>
        <v>2848.44</v>
      </c>
      <c r="U19" s="2"/>
      <c r="V19" s="19"/>
      <c r="W19" s="2"/>
      <c r="X19" s="2">
        <f t="shared" si="2"/>
        <v>-1568.1200000000001</v>
      </c>
      <c r="Y19" s="2"/>
      <c r="Z19" s="19">
        <f t="shared" si="3"/>
        <v>-0.55051888051003361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--109.34</f>
        <v>109.34</v>
      </c>
      <c r="E20" s="2"/>
      <c r="F20" s="19"/>
      <c r="G20" s="2"/>
      <c r="H20" s="2">
        <f>--66.52</f>
        <v>66.52</v>
      </c>
      <c r="I20" s="2"/>
      <c r="J20" s="19"/>
      <c r="K20" s="2"/>
      <c r="L20" s="2">
        <f t="shared" si="0"/>
        <v>42.820000000000007</v>
      </c>
      <c r="M20" s="2"/>
      <c r="N20" s="19">
        <f t="shared" si="1"/>
        <v>0.64371617558629002</v>
      </c>
      <c r="O20" s="11"/>
      <c r="P20" s="2">
        <f>--992.69</f>
        <v>992.69</v>
      </c>
      <c r="Q20" s="2"/>
      <c r="R20" s="19"/>
      <c r="S20" s="2"/>
      <c r="T20" s="2">
        <f>--1210.44</f>
        <v>1210.44</v>
      </c>
      <c r="U20" s="2"/>
      <c r="V20" s="19"/>
      <c r="W20" s="2"/>
      <c r="X20" s="2">
        <f t="shared" si="2"/>
        <v>-217.75</v>
      </c>
      <c r="Y20" s="2"/>
      <c r="Z20" s="19">
        <f t="shared" si="3"/>
        <v>-0.17989326195433064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>
        <f>--7.45</f>
        <v>7.45</v>
      </c>
      <c r="I21" s="2"/>
      <c r="J21" s="19"/>
      <c r="K21" s="2"/>
      <c r="L21" s="2">
        <f t="shared" si="0"/>
        <v>3.5300000000000002</v>
      </c>
      <c r="M21" s="2"/>
      <c r="N21" s="19">
        <f t="shared" si="1"/>
        <v>0.47382550335570472</v>
      </c>
      <c r="O21" s="11"/>
      <c r="P21" s="2">
        <f>--242.14</f>
        <v>242.14</v>
      </c>
      <c r="Q21" s="2"/>
      <c r="R21" s="19"/>
      <c r="S21" s="2"/>
      <c r="T21" s="2">
        <f>--651.02</f>
        <v>651.02</v>
      </c>
      <c r="U21" s="2"/>
      <c r="V21" s="19"/>
      <c r="W21" s="2"/>
      <c r="X21" s="2">
        <f t="shared" si="2"/>
        <v>-408.88</v>
      </c>
      <c r="Y21" s="2"/>
      <c r="Z21" s="19">
        <f t="shared" si="3"/>
        <v>-0.6280605818561642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--157.74</f>
        <v>157.74</v>
      </c>
      <c r="E22" s="2"/>
      <c r="F22" s="19"/>
      <c r="G22" s="2"/>
      <c r="H22" s="2">
        <f>--447.93</f>
        <v>447.93</v>
      </c>
      <c r="I22" s="2"/>
      <c r="J22" s="19"/>
      <c r="K22" s="2"/>
      <c r="L22" s="2">
        <f t="shared" si="0"/>
        <v>-290.19</v>
      </c>
      <c r="M22" s="2"/>
      <c r="N22" s="19">
        <f t="shared" si="1"/>
        <v>-0.64784676177081235</v>
      </c>
      <c r="O22" s="11"/>
      <c r="P22" s="2">
        <f>--2890.39</f>
        <v>2890.39</v>
      </c>
      <c r="Q22" s="2"/>
      <c r="R22" s="19"/>
      <c r="S22" s="2"/>
      <c r="T22" s="2">
        <f>--4167.48</f>
        <v>4167.4799999999996</v>
      </c>
      <c r="U22" s="2"/>
      <c r="V22" s="19"/>
      <c r="W22" s="2"/>
      <c r="X22" s="2">
        <f t="shared" si="2"/>
        <v>-1277.0899999999997</v>
      </c>
      <c r="Y22" s="2"/>
      <c r="Z22" s="19">
        <f t="shared" si="3"/>
        <v>-0.30644178256404347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--5.97</f>
        <v>5.97</v>
      </c>
      <c r="I23" s="2"/>
      <c r="J23" s="19"/>
      <c r="K23" s="2"/>
      <c r="L23" s="2">
        <f t="shared" si="0"/>
        <v>-5.97</v>
      </c>
      <c r="M23" s="2"/>
      <c r="N23" s="19">
        <f t="shared" si="1"/>
        <v>-1</v>
      </c>
      <c r="O23" s="11"/>
      <c r="P23" s="2">
        <f>--33.88</f>
        <v>33.880000000000003</v>
      </c>
      <c r="Q23" s="2"/>
      <c r="R23" s="19"/>
      <c r="S23" s="2"/>
      <c r="T23" s="2">
        <f>--60.45</f>
        <v>60.45</v>
      </c>
      <c r="U23" s="2"/>
      <c r="V23" s="19"/>
      <c r="W23" s="2"/>
      <c r="X23" s="2">
        <f t="shared" si="2"/>
        <v>-26.57</v>
      </c>
      <c r="Y23" s="2"/>
      <c r="Z23" s="19">
        <f t="shared" si="3"/>
        <v>-0.43953680727874272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--5588.38</f>
        <v>5588.38</v>
      </c>
      <c r="E24" s="2"/>
      <c r="F24" s="19"/>
      <c r="G24" s="2"/>
      <c r="H24" s="2">
        <f>--5824.07</f>
        <v>5824.07</v>
      </c>
      <c r="I24" s="2"/>
      <c r="J24" s="19"/>
      <c r="K24" s="2"/>
      <c r="L24" s="2">
        <f t="shared" si="0"/>
        <v>-235.6899999999996</v>
      </c>
      <c r="M24" s="2"/>
      <c r="N24" s="19">
        <f t="shared" si="1"/>
        <v>-4.0468263602600862E-2</v>
      </c>
      <c r="O24" s="11"/>
      <c r="P24" s="2">
        <f>--35133.1</f>
        <v>35133.1</v>
      </c>
      <c r="Q24" s="2"/>
      <c r="R24" s="19"/>
      <c r="S24" s="2"/>
      <c r="T24" s="2">
        <f>--33891.24</f>
        <v>33891.24</v>
      </c>
      <c r="U24" s="2"/>
      <c r="V24" s="19"/>
      <c r="W24" s="2"/>
      <c r="X24" s="2">
        <f t="shared" si="2"/>
        <v>1241.8600000000006</v>
      </c>
      <c r="Y24" s="2"/>
      <c r="Z24" s="19">
        <f t="shared" si="3"/>
        <v>3.6642507031315483E-2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--6254.22</f>
        <v>6254.22</v>
      </c>
      <c r="E25" s="2"/>
      <c r="F25" s="19"/>
      <c r="G25" s="2"/>
      <c r="H25" s="2">
        <f>--4791.23</f>
        <v>4791.2299999999996</v>
      </c>
      <c r="I25" s="2"/>
      <c r="J25" s="19"/>
      <c r="K25" s="2"/>
      <c r="L25" s="2">
        <f t="shared" si="0"/>
        <v>1462.9900000000007</v>
      </c>
      <c r="M25" s="2"/>
      <c r="N25" s="19">
        <f t="shared" si="1"/>
        <v>0.30534747862239986</v>
      </c>
      <c r="O25" s="11"/>
      <c r="P25" s="2">
        <f>--49928.17</f>
        <v>49928.17</v>
      </c>
      <c r="Q25" s="2"/>
      <c r="R25" s="19"/>
      <c r="S25" s="2"/>
      <c r="T25" s="2">
        <f>--42162.07</f>
        <v>42162.07</v>
      </c>
      <c r="U25" s="2"/>
      <c r="V25" s="19"/>
      <c r="W25" s="2"/>
      <c r="X25" s="2">
        <f t="shared" si="2"/>
        <v>7766.0999999999985</v>
      </c>
      <c r="Y25" s="2"/>
      <c r="Z25" s="19">
        <f t="shared" si="3"/>
        <v>0.18419636417282165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--10568.39</f>
        <v>10568.39</v>
      </c>
      <c r="E26" s="2"/>
      <c r="F26" s="19"/>
      <c r="G26" s="2"/>
      <c r="H26" s="2">
        <f>--8999.91</f>
        <v>8999.91</v>
      </c>
      <c r="I26" s="2"/>
      <c r="J26" s="19"/>
      <c r="K26" s="2"/>
      <c r="L26" s="2">
        <f t="shared" si="0"/>
        <v>1568.4799999999996</v>
      </c>
      <c r="M26" s="2"/>
      <c r="N26" s="19">
        <f t="shared" si="1"/>
        <v>0.1742772983285388</v>
      </c>
      <c r="O26" s="11"/>
      <c r="P26" s="2">
        <f>--165357.47</f>
        <v>165357.47</v>
      </c>
      <c r="Q26" s="2"/>
      <c r="R26" s="19"/>
      <c r="S26" s="2"/>
      <c r="T26" s="2">
        <f>--151191.99</f>
        <v>151191.99</v>
      </c>
      <c r="U26" s="2"/>
      <c r="V26" s="19"/>
      <c r="W26" s="2"/>
      <c r="X26" s="2">
        <f t="shared" si="2"/>
        <v>14165.48000000001</v>
      </c>
      <c r="Y26" s="2"/>
      <c r="Z26" s="19">
        <f t="shared" si="3"/>
        <v>9.3692000482300752E-2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--13684.86</f>
        <v>13684.86</v>
      </c>
      <c r="E27" s="2"/>
      <c r="F27" s="19"/>
      <c r="G27" s="2"/>
      <c r="H27" s="2">
        <f>--17860.47</f>
        <v>17860.47</v>
      </c>
      <c r="I27" s="2"/>
      <c r="J27" s="19"/>
      <c r="K27" s="2"/>
      <c r="L27" s="2">
        <f t="shared" si="0"/>
        <v>-4175.6100000000006</v>
      </c>
      <c r="M27" s="2"/>
      <c r="N27" s="19">
        <f t="shared" si="1"/>
        <v>-0.2337906001353828</v>
      </c>
      <c r="O27" s="11"/>
      <c r="P27" s="2">
        <f>--189637.57</f>
        <v>189637.57</v>
      </c>
      <c r="Q27" s="2"/>
      <c r="R27" s="19"/>
      <c r="S27" s="2"/>
      <c r="T27" s="2">
        <f>--196228.95</f>
        <v>196228.95</v>
      </c>
      <c r="U27" s="2"/>
      <c r="V27" s="19"/>
      <c r="W27" s="2"/>
      <c r="X27" s="2">
        <f t="shared" si="2"/>
        <v>-6591.3800000000047</v>
      </c>
      <c r="Y27" s="2"/>
      <c r="Z27" s="19">
        <f t="shared" si="3"/>
        <v>-3.3590252610534811E-2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--26.89</f>
        <v>26.89</v>
      </c>
      <c r="E28" s="2"/>
      <c r="F28" s="19"/>
      <c r="G28" s="2"/>
      <c r="H28" s="2">
        <f>--35.23</f>
        <v>35.229999999999997</v>
      </c>
      <c r="I28" s="2"/>
      <c r="J28" s="19"/>
      <c r="K28" s="2"/>
      <c r="L28" s="2">
        <f t="shared" si="0"/>
        <v>-8.3399999999999963</v>
      </c>
      <c r="M28" s="2"/>
      <c r="N28" s="19">
        <f t="shared" si="1"/>
        <v>-0.2367300596082883</v>
      </c>
      <c r="O28" s="11"/>
      <c r="P28" s="2">
        <f>--306.94</f>
        <v>306.94</v>
      </c>
      <c r="Q28" s="2"/>
      <c r="R28" s="19"/>
      <c r="S28" s="2"/>
      <c r="T28" s="2">
        <f>--323.52</f>
        <v>323.52</v>
      </c>
      <c r="U28" s="2"/>
      <c r="V28" s="19"/>
      <c r="W28" s="2"/>
      <c r="X28" s="2">
        <f t="shared" si="2"/>
        <v>-16.579999999999984</v>
      </c>
      <c r="Y28" s="2"/>
      <c r="Z28" s="19">
        <f t="shared" si="3"/>
        <v>-5.1248763600395604E-2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--28638.41</f>
        <v>28638.41</v>
      </c>
      <c r="E29" s="2"/>
      <c r="F29" s="19"/>
      <c r="G29" s="2"/>
      <c r="H29" s="2">
        <f>--33445.42</f>
        <v>33445.42</v>
      </c>
      <c r="I29" s="2"/>
      <c r="J29" s="19"/>
      <c r="K29" s="2"/>
      <c r="L29" s="2">
        <f t="shared" si="0"/>
        <v>-4807.0099999999984</v>
      </c>
      <c r="M29" s="2"/>
      <c r="N29" s="19">
        <f t="shared" si="1"/>
        <v>-0.14372700357776935</v>
      </c>
      <c r="O29" s="11"/>
      <c r="P29" s="2">
        <f>--190815.22</f>
        <v>190815.22</v>
      </c>
      <c r="Q29" s="2"/>
      <c r="R29" s="19"/>
      <c r="S29" s="2"/>
      <c r="T29" s="2">
        <f>--197715.38</f>
        <v>197715.38</v>
      </c>
      <c r="U29" s="2"/>
      <c r="V29" s="19"/>
      <c r="W29" s="2"/>
      <c r="X29" s="2">
        <f t="shared" si="2"/>
        <v>-6900.1600000000035</v>
      </c>
      <c r="Y29" s="2"/>
      <c r="Z29" s="19">
        <f t="shared" si="3"/>
        <v>-3.4899460021774749E-2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--22.41</f>
        <v>22.41</v>
      </c>
      <c r="E30" s="2"/>
      <c r="F30" s="19"/>
      <c r="G30" s="2"/>
      <c r="H30" s="2">
        <f>--20.19</f>
        <v>20.190000000000001</v>
      </c>
      <c r="I30" s="2"/>
      <c r="J30" s="19"/>
      <c r="K30" s="2"/>
      <c r="L30" s="2">
        <f t="shared" si="0"/>
        <v>2.2199999999999989</v>
      </c>
      <c r="M30" s="2"/>
      <c r="N30" s="19">
        <f t="shared" si="1"/>
        <v>0.10995542347696874</v>
      </c>
      <c r="O30" s="11"/>
      <c r="P30" s="2">
        <f>--131.02</f>
        <v>131.02000000000001</v>
      </c>
      <c r="Q30" s="2"/>
      <c r="R30" s="19"/>
      <c r="S30" s="2"/>
      <c r="T30" s="2">
        <f>--132.44</f>
        <v>132.44</v>
      </c>
      <c r="U30" s="2"/>
      <c r="V30" s="19"/>
      <c r="W30" s="2"/>
      <c r="X30" s="2">
        <f t="shared" si="2"/>
        <v>-1.4199999999999875</v>
      </c>
      <c r="Y30" s="2"/>
      <c r="Z30" s="19">
        <f t="shared" si="3"/>
        <v>-1.0721836303231558E-2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--830.01</f>
        <v>830.01</v>
      </c>
      <c r="E31" s="2"/>
      <c r="F31" s="19"/>
      <c r="G31" s="2"/>
      <c r="H31" s="2">
        <f>--864.1</f>
        <v>864.1</v>
      </c>
      <c r="I31" s="2"/>
      <c r="J31" s="19"/>
      <c r="K31" s="2"/>
      <c r="L31" s="2">
        <f t="shared" si="0"/>
        <v>-34.090000000000032</v>
      </c>
      <c r="M31" s="2"/>
      <c r="N31" s="19">
        <f t="shared" si="1"/>
        <v>-3.9451452378197006E-2</v>
      </c>
      <c r="O31" s="11"/>
      <c r="P31" s="2">
        <f>--7473.43</f>
        <v>7473.43</v>
      </c>
      <c r="Q31" s="2"/>
      <c r="R31" s="19"/>
      <c r="S31" s="2"/>
      <c r="T31" s="2">
        <f>--5746.7</f>
        <v>5746.7</v>
      </c>
      <c r="U31" s="2"/>
      <c r="V31" s="19"/>
      <c r="W31" s="2"/>
      <c r="X31" s="2">
        <f t="shared" si="2"/>
        <v>1726.7300000000005</v>
      </c>
      <c r="Y31" s="2"/>
      <c r="Z31" s="19">
        <f t="shared" si="3"/>
        <v>0.30047331511998199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--133.49</f>
        <v>133.49</v>
      </c>
      <c r="E32" s="2"/>
      <c r="F32" s="19"/>
      <c r="G32" s="2"/>
      <c r="H32" s="2">
        <f>--199.7</f>
        <v>199.7</v>
      </c>
      <c r="I32" s="2"/>
      <c r="J32" s="19"/>
      <c r="K32" s="2"/>
      <c r="L32" s="2">
        <f t="shared" si="0"/>
        <v>-66.20999999999998</v>
      </c>
      <c r="M32" s="2"/>
      <c r="N32" s="19">
        <f t="shared" si="1"/>
        <v>-0.3315473209814721</v>
      </c>
      <c r="O32" s="11"/>
      <c r="P32" s="2">
        <f>--1267.09</f>
        <v>1267.0899999999999</v>
      </c>
      <c r="Q32" s="2"/>
      <c r="R32" s="19"/>
      <c r="S32" s="2"/>
      <c r="T32" s="2">
        <f>--1589.63</f>
        <v>1589.63</v>
      </c>
      <c r="U32" s="2"/>
      <c r="V32" s="19"/>
      <c r="W32" s="2"/>
      <c r="X32" s="2">
        <f t="shared" si="2"/>
        <v>-322.54000000000019</v>
      </c>
      <c r="Y32" s="2"/>
      <c r="Z32" s="19">
        <f t="shared" si="3"/>
        <v>-0.20290256223146277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--19.09</f>
        <v>19.09</v>
      </c>
      <c r="E33" s="2"/>
      <c r="F33" s="19"/>
      <c r="G33" s="2"/>
      <c r="H33" s="2">
        <f>--35.98</f>
        <v>35.979999999999997</v>
      </c>
      <c r="I33" s="2"/>
      <c r="J33" s="19"/>
      <c r="K33" s="2"/>
      <c r="L33" s="2">
        <f t="shared" si="0"/>
        <v>-16.889999999999997</v>
      </c>
      <c r="M33" s="2"/>
      <c r="N33" s="19">
        <f t="shared" si="1"/>
        <v>-0.46942745969983318</v>
      </c>
      <c r="O33" s="11"/>
      <c r="P33" s="2">
        <f>--396.26</f>
        <v>396.26</v>
      </c>
      <c r="Q33" s="2"/>
      <c r="R33" s="19"/>
      <c r="S33" s="2"/>
      <c r="T33" s="2">
        <f>--417.83</f>
        <v>417.83</v>
      </c>
      <c r="U33" s="2"/>
      <c r="V33" s="19"/>
      <c r="W33" s="2"/>
      <c r="X33" s="2">
        <f t="shared" si="2"/>
        <v>-21.569999999999993</v>
      </c>
      <c r="Y33" s="2"/>
      <c r="Z33" s="19">
        <f t="shared" si="3"/>
        <v>-5.1623866165665451E-2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--193654.24</f>
        <v>193654.24</v>
      </c>
      <c r="E34" s="2"/>
      <c r="F34" s="19"/>
      <c r="G34" s="2"/>
      <c r="H34" s="2">
        <f>--284644.7</f>
        <v>284644.7</v>
      </c>
      <c r="I34" s="2"/>
      <c r="J34" s="19"/>
      <c r="K34" s="2"/>
      <c r="L34" s="2">
        <f t="shared" si="0"/>
        <v>-90990.460000000021</v>
      </c>
      <c r="M34" s="2"/>
      <c r="N34" s="19">
        <f t="shared" si="1"/>
        <v>-0.31966328549240514</v>
      </c>
      <c r="O34" s="11"/>
      <c r="P34" s="2">
        <f>--1291791.18</f>
        <v>1291791.18</v>
      </c>
      <c r="Q34" s="2"/>
      <c r="R34" s="19"/>
      <c r="S34" s="2"/>
      <c r="T34" s="2">
        <f>--1197113.16</f>
        <v>1197113.1599999999</v>
      </c>
      <c r="U34" s="2"/>
      <c r="V34" s="19"/>
      <c r="W34" s="2"/>
      <c r="X34" s="2">
        <f t="shared" si="2"/>
        <v>94678.020000000019</v>
      </c>
      <c r="Y34" s="2"/>
      <c r="Z34" s="19">
        <f t="shared" si="3"/>
        <v>7.9088613477442699E-2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--37979.16</f>
        <v>37979.160000000003</v>
      </c>
      <c r="E35" s="2"/>
      <c r="F35" s="19"/>
      <c r="G35" s="2"/>
      <c r="H35" s="2">
        <f>--48682.15</f>
        <v>48682.15</v>
      </c>
      <c r="I35" s="2"/>
      <c r="J35" s="19"/>
      <c r="K35" s="2"/>
      <c r="L35" s="2">
        <f t="shared" si="0"/>
        <v>-10702.989999999998</v>
      </c>
      <c r="M35" s="2"/>
      <c r="N35" s="19">
        <f t="shared" si="1"/>
        <v>-0.21985450519338193</v>
      </c>
      <c r="O35" s="11"/>
      <c r="P35" s="2">
        <f>--296126.81</f>
        <v>296126.81</v>
      </c>
      <c r="Q35" s="2"/>
      <c r="R35" s="19"/>
      <c r="S35" s="2"/>
      <c r="T35" s="2">
        <f>--315831.86</f>
        <v>315831.86</v>
      </c>
      <c r="U35" s="2"/>
      <c r="V35" s="19"/>
      <c r="W35" s="2"/>
      <c r="X35" s="2">
        <f t="shared" si="2"/>
        <v>-19705.049999999988</v>
      </c>
      <c r="Y35" s="2"/>
      <c r="Z35" s="19">
        <f t="shared" si="3"/>
        <v>-6.2390950678630042E-2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--44973.91</f>
        <v>44973.91</v>
      </c>
      <c r="E36" s="2"/>
      <c r="F36" s="19"/>
      <c r="G36" s="2"/>
      <c r="H36" s="2">
        <f>--38647.38</f>
        <v>38647.379999999997</v>
      </c>
      <c r="I36" s="2"/>
      <c r="J36" s="19"/>
      <c r="K36" s="2"/>
      <c r="L36" s="2">
        <f t="shared" si="0"/>
        <v>6326.5300000000061</v>
      </c>
      <c r="M36" s="2"/>
      <c r="N36" s="19">
        <f t="shared" si="1"/>
        <v>0.16369880700839246</v>
      </c>
      <c r="O36" s="11"/>
      <c r="P36" s="2">
        <f>--199952.1</f>
        <v>199952.1</v>
      </c>
      <c r="Q36" s="2"/>
      <c r="R36" s="19"/>
      <c r="S36" s="2"/>
      <c r="T36" s="2">
        <f>--159218.21</f>
        <v>159218.21</v>
      </c>
      <c r="U36" s="2"/>
      <c r="V36" s="19"/>
      <c r="W36" s="2"/>
      <c r="X36" s="2">
        <f t="shared" si="2"/>
        <v>40733.890000000014</v>
      </c>
      <c r="Y36" s="2"/>
      <c r="Z36" s="19">
        <f t="shared" si="3"/>
        <v>0.25583687946246864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--9497.44</f>
        <v>9497.44</v>
      </c>
      <c r="E37" s="2"/>
      <c r="F37" s="19"/>
      <c r="G37" s="2"/>
      <c r="H37" s="2">
        <f>--540.59</f>
        <v>540.59</v>
      </c>
      <c r="I37" s="2"/>
      <c r="J37" s="19"/>
      <c r="K37" s="2"/>
      <c r="L37" s="2">
        <f t="shared" si="0"/>
        <v>8956.85</v>
      </c>
      <c r="M37" s="2"/>
      <c r="N37" s="19">
        <f t="shared" si="1"/>
        <v>16.568656467933184</v>
      </c>
      <c r="O37" s="11"/>
      <c r="P37" s="2">
        <f>--14320.46</f>
        <v>14320.46</v>
      </c>
      <c r="Q37" s="2"/>
      <c r="R37" s="19"/>
      <c r="S37" s="2"/>
      <c r="T37" s="2">
        <f>--2173.67</f>
        <v>2173.67</v>
      </c>
      <c r="U37" s="2"/>
      <c r="V37" s="19"/>
      <c r="W37" s="2"/>
      <c r="X37" s="2">
        <f t="shared" si="2"/>
        <v>12146.789999999999</v>
      </c>
      <c r="Y37" s="2"/>
      <c r="Z37" s="19">
        <f t="shared" si="3"/>
        <v>5.588148154963724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--5438.42</f>
        <v>5438.42</v>
      </c>
      <c r="E38" s="2"/>
      <c r="F38" s="19"/>
      <c r="G38" s="2"/>
      <c r="H38" s="2">
        <f>--6002.11</f>
        <v>6002.11</v>
      </c>
      <c r="I38" s="2"/>
      <c r="J38" s="19"/>
      <c r="K38" s="2"/>
      <c r="L38" s="2">
        <f t="shared" si="0"/>
        <v>-563.6899999999996</v>
      </c>
      <c r="M38" s="2"/>
      <c r="N38" s="19">
        <f t="shared" si="1"/>
        <v>-9.3915306450564826E-2</v>
      </c>
      <c r="O38" s="11"/>
      <c r="P38" s="2">
        <f>--46736.2</f>
        <v>46736.2</v>
      </c>
      <c r="Q38" s="2"/>
      <c r="R38" s="19"/>
      <c r="S38" s="2"/>
      <c r="T38" s="2">
        <f>--45727.06</f>
        <v>45727.06</v>
      </c>
      <c r="U38" s="2"/>
      <c r="V38" s="19"/>
      <c r="W38" s="2"/>
      <c r="X38" s="2">
        <f t="shared" si="2"/>
        <v>1009.1399999999994</v>
      </c>
      <c r="Y38" s="2"/>
      <c r="Z38" s="19">
        <f t="shared" si="3"/>
        <v>2.2068770657899271E-2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--6487.38</f>
        <v>6487.38</v>
      </c>
      <c r="E39" s="2"/>
      <c r="F39" s="19"/>
      <c r="G39" s="2"/>
      <c r="H39" s="2">
        <f>--5090.77</f>
        <v>5090.7700000000004</v>
      </c>
      <c r="I39" s="2"/>
      <c r="J39" s="19"/>
      <c r="K39" s="2"/>
      <c r="L39" s="2">
        <f t="shared" si="0"/>
        <v>1396.6099999999997</v>
      </c>
      <c r="M39" s="2"/>
      <c r="N39" s="19">
        <f t="shared" si="1"/>
        <v>0.27434160254735523</v>
      </c>
      <c r="O39" s="11"/>
      <c r="P39" s="2">
        <f>--61005.82</f>
        <v>61005.82</v>
      </c>
      <c r="Q39" s="2"/>
      <c r="R39" s="19"/>
      <c r="S39" s="2"/>
      <c r="T39" s="2">
        <f>--68254.49</f>
        <v>68254.490000000005</v>
      </c>
      <c r="U39" s="2"/>
      <c r="V39" s="19"/>
      <c r="W39" s="2"/>
      <c r="X39" s="2">
        <f t="shared" si="2"/>
        <v>-7248.6700000000055</v>
      </c>
      <c r="Y39" s="2"/>
      <c r="Z39" s="19">
        <f t="shared" si="3"/>
        <v>-0.1062006323686545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--115.39</f>
        <v>115.39</v>
      </c>
      <c r="E40" s="2"/>
      <c r="F40" s="19"/>
      <c r="G40" s="2"/>
      <c r="H40" s="2">
        <f>--282.87</f>
        <v>282.87</v>
      </c>
      <c r="I40" s="2"/>
      <c r="J40" s="19"/>
      <c r="K40" s="2"/>
      <c r="L40" s="2">
        <f t="shared" si="0"/>
        <v>-167.48000000000002</v>
      </c>
      <c r="M40" s="2"/>
      <c r="N40" s="19">
        <f t="shared" si="1"/>
        <v>-0.59207409764202645</v>
      </c>
      <c r="O40" s="11"/>
      <c r="P40" s="2">
        <f>--1793.94</f>
        <v>1793.94</v>
      </c>
      <c r="Q40" s="2"/>
      <c r="R40" s="19"/>
      <c r="S40" s="2"/>
      <c r="T40" s="2">
        <f>--1892.28</f>
        <v>1892.28</v>
      </c>
      <c r="U40" s="2"/>
      <c r="V40" s="19"/>
      <c r="W40" s="2"/>
      <c r="X40" s="2">
        <f t="shared" si="2"/>
        <v>-98.339999999999918</v>
      </c>
      <c r="Y40" s="2"/>
      <c r="Z40" s="19">
        <f t="shared" si="3"/>
        <v>-5.1969053205656625E-2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--57092.23</f>
        <v>57092.23</v>
      </c>
      <c r="E41" s="2"/>
      <c r="F41" s="19"/>
      <c r="G41" s="2"/>
      <c r="H41" s="2">
        <f>--73269.55</f>
        <v>73269.55</v>
      </c>
      <c r="I41" s="2"/>
      <c r="J41" s="19"/>
      <c r="K41" s="2"/>
      <c r="L41" s="2">
        <f t="shared" si="0"/>
        <v>-16177.32</v>
      </c>
      <c r="M41" s="2"/>
      <c r="N41" s="19">
        <f t="shared" si="1"/>
        <v>-0.2207918569173688</v>
      </c>
      <c r="O41" s="11"/>
      <c r="P41" s="2">
        <f>--432096.75</f>
        <v>432096.75</v>
      </c>
      <c r="Q41" s="2"/>
      <c r="R41" s="19"/>
      <c r="S41" s="2"/>
      <c r="T41" s="2">
        <f>--471639.37</f>
        <v>471639.37</v>
      </c>
      <c r="U41" s="2"/>
      <c r="V41" s="19"/>
      <c r="W41" s="2"/>
      <c r="X41" s="2">
        <f t="shared" si="2"/>
        <v>-39542.619999999995</v>
      </c>
      <c r="Y41" s="2"/>
      <c r="Z41" s="19">
        <f t="shared" si="3"/>
        <v>-8.3840795563780005E-2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--82451.12</f>
        <v>82451.12</v>
      </c>
      <c r="E42" s="2"/>
      <c r="F42" s="19"/>
      <c r="G42" s="2"/>
      <c r="H42" s="2">
        <f>--105122.28</f>
        <v>105122.28</v>
      </c>
      <c r="I42" s="2"/>
      <c r="J42" s="19"/>
      <c r="K42" s="2"/>
      <c r="L42" s="2">
        <f t="shared" si="0"/>
        <v>-22671.160000000003</v>
      </c>
      <c r="M42" s="2"/>
      <c r="N42" s="19">
        <f t="shared" si="1"/>
        <v>-0.21566465263120249</v>
      </c>
      <c r="O42" s="11"/>
      <c r="P42" s="2">
        <f>--536296.65</f>
        <v>536296.65</v>
      </c>
      <c r="Q42" s="2"/>
      <c r="R42" s="19"/>
      <c r="S42" s="2"/>
      <c r="T42" s="2">
        <f>--673989.69</f>
        <v>673989.69</v>
      </c>
      <c r="U42" s="2"/>
      <c r="V42" s="19"/>
      <c r="W42" s="2"/>
      <c r="X42" s="2">
        <f t="shared" si="2"/>
        <v>-137693.03999999992</v>
      </c>
      <c r="Y42" s="2"/>
      <c r="Z42" s="19">
        <f t="shared" si="3"/>
        <v>-0.20429546926748973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--16599.9</f>
        <v>16599.900000000001</v>
      </c>
      <c r="E43" s="2"/>
      <c r="F43" s="19"/>
      <c r="G43" s="2"/>
      <c r="H43" s="2">
        <f>--26335.56</f>
        <v>26335.56</v>
      </c>
      <c r="I43" s="2"/>
      <c r="J43" s="19"/>
      <c r="K43" s="2"/>
      <c r="L43" s="2">
        <f t="shared" si="0"/>
        <v>-9735.66</v>
      </c>
      <c r="M43" s="2"/>
      <c r="N43" s="19">
        <f t="shared" si="1"/>
        <v>-0.36967734880139247</v>
      </c>
      <c r="O43" s="11"/>
      <c r="P43" s="2">
        <f>--106770.83</f>
        <v>106770.83</v>
      </c>
      <c r="Q43" s="2"/>
      <c r="R43" s="19"/>
      <c r="S43" s="2"/>
      <c r="T43" s="2">
        <f>--91454.05</f>
        <v>91454.05</v>
      </c>
      <c r="U43" s="2"/>
      <c r="V43" s="19"/>
      <c r="W43" s="2"/>
      <c r="X43" s="2">
        <f t="shared" si="2"/>
        <v>15316.779999999999</v>
      </c>
      <c r="Y43" s="2"/>
      <c r="Z43" s="19">
        <f t="shared" si="3"/>
        <v>0.16748060911463186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--36915.55</f>
        <v>36915.550000000003</v>
      </c>
      <c r="E44" s="2"/>
      <c r="F44" s="19"/>
      <c r="G44" s="2"/>
      <c r="H44" s="2">
        <f>--48863.42</f>
        <v>48863.42</v>
      </c>
      <c r="I44" s="2"/>
      <c r="J44" s="19"/>
      <c r="K44" s="2"/>
      <c r="L44" s="2">
        <f t="shared" si="0"/>
        <v>-11947.869999999995</v>
      </c>
      <c r="M44" s="2"/>
      <c r="N44" s="19">
        <f t="shared" si="1"/>
        <v>-0.24451563152967998</v>
      </c>
      <c r="O44" s="11"/>
      <c r="P44" s="2">
        <f>--272827.44</f>
        <v>272827.44</v>
      </c>
      <c r="Q44" s="2"/>
      <c r="R44" s="19"/>
      <c r="S44" s="2"/>
      <c r="T44" s="2">
        <f>--317064.74</f>
        <v>317064.74</v>
      </c>
      <c r="U44" s="2"/>
      <c r="V44" s="19"/>
      <c r="W44" s="2"/>
      <c r="X44" s="2">
        <f t="shared" si="2"/>
        <v>-44237.299999999988</v>
      </c>
      <c r="Y44" s="2"/>
      <c r="Z44" s="19">
        <f t="shared" si="3"/>
        <v>-0.13952134822686366</v>
      </c>
    </row>
    <row r="45" spans="1:26" s="24" customFormat="1" hidden="1" outlineLevel="1" x14ac:dyDescent="0.25">
      <c r="A45" s="44"/>
      <c r="B45" s="11" t="str">
        <f>CONCATENATE("          ", "4057", " - ", "TAXABLE SALES-FOOD")</f>
        <v xml:space="preserve">          4057 - TAXABLE SALES-FOOD</v>
      </c>
      <c r="C45" s="11"/>
      <c r="D45" s="2">
        <f>0</f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0</f>
        <v>0</v>
      </c>
      <c r="Q45" s="2"/>
      <c r="R45" s="19"/>
      <c r="S45" s="2"/>
      <c r="T45" s="2">
        <f>--11506.08</f>
        <v>11506.08</v>
      </c>
      <c r="U45" s="2"/>
      <c r="V45" s="19"/>
      <c r="W45" s="2"/>
      <c r="X45" s="2">
        <f t="shared" si="2"/>
        <v>-11506.08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"4058", " - ", "TAXABLE SALES-FOOD")</f>
        <v xml:space="preserve">          4058 - TAXABLE SALES-FOOD</v>
      </c>
      <c r="C46" s="11"/>
      <c r="D46" s="2">
        <f>--9096.8</f>
        <v>9096.7999999999993</v>
      </c>
      <c r="E46" s="2"/>
      <c r="F46" s="19"/>
      <c r="G46" s="2"/>
      <c r="H46" s="2">
        <f>--12611.6</f>
        <v>12611.6</v>
      </c>
      <c r="I46" s="2"/>
      <c r="J46" s="19"/>
      <c r="K46" s="2"/>
      <c r="L46" s="2">
        <f t="shared" si="0"/>
        <v>-3514.8000000000011</v>
      </c>
      <c r="M46" s="2"/>
      <c r="N46" s="19">
        <f t="shared" si="1"/>
        <v>-0.27869580386311021</v>
      </c>
      <c r="O46" s="11"/>
      <c r="P46" s="2">
        <f>--87899.21</f>
        <v>87899.21</v>
      </c>
      <c r="Q46" s="2"/>
      <c r="R46" s="19"/>
      <c r="S46" s="2"/>
      <c r="T46" s="2">
        <f>--121610.75</f>
        <v>121610.75</v>
      </c>
      <c r="U46" s="2"/>
      <c r="V46" s="19"/>
      <c r="W46" s="2"/>
      <c r="X46" s="2">
        <f t="shared" si="2"/>
        <v>-33711.539999999994</v>
      </c>
      <c r="Y46" s="2"/>
      <c r="Z46" s="19">
        <f t="shared" si="3"/>
        <v>-0.27720855269784944</v>
      </c>
    </row>
    <row r="47" spans="1:26" s="24" customFormat="1" hidden="1" outlineLevel="1" x14ac:dyDescent="0.25">
      <c r="A47" s="44"/>
      <c r="B47" s="11" t="str">
        <f>CONCATENATE("          ", "4081", " - ", "TAXABLE SALES-ELECTRONICS")</f>
        <v xml:space="preserve">          4081 - TAXABLE SALES-ELECTRONICS</v>
      </c>
      <c r="C47" s="11"/>
      <c r="D47" s="2">
        <f>--14865.23</f>
        <v>14865.23</v>
      </c>
      <c r="E47" s="2"/>
      <c r="F47" s="19"/>
      <c r="G47" s="2"/>
      <c r="H47" s="2">
        <f>--6064.72</f>
        <v>6064.72</v>
      </c>
      <c r="I47" s="2"/>
      <c r="J47" s="19"/>
      <c r="K47" s="2"/>
      <c r="L47" s="2">
        <f t="shared" si="0"/>
        <v>8800.5099999999984</v>
      </c>
      <c r="M47" s="2"/>
      <c r="N47" s="19">
        <f t="shared" si="1"/>
        <v>1.4510991439011196</v>
      </c>
      <c r="O47" s="11"/>
      <c r="P47" s="2">
        <f>--246669.48</f>
        <v>246669.48</v>
      </c>
      <c r="Q47" s="2"/>
      <c r="R47" s="19"/>
      <c r="S47" s="2"/>
      <c r="T47" s="2">
        <f>--183503.81</f>
        <v>183503.81</v>
      </c>
      <c r="U47" s="2"/>
      <c r="V47" s="19"/>
      <c r="W47" s="2"/>
      <c r="X47" s="2">
        <f t="shared" si="2"/>
        <v>63165.670000000013</v>
      </c>
      <c r="Y47" s="2"/>
      <c r="Z47" s="19">
        <f t="shared" si="3"/>
        <v>0.34421993744980017</v>
      </c>
    </row>
    <row r="48" spans="1:26" s="24" customFormat="1" hidden="1" outlineLevel="1" x14ac:dyDescent="0.25">
      <c r="A48" s="44"/>
      <c r="B48" s="11" t="str">
        <f>CONCATENATE("          ", "4082", " - ", "TAXABLE SALES-COMPUTER HARDWAR")</f>
        <v xml:space="preserve">          4082 - TAXABLE SALES-COMPUTER HARDWAR</v>
      </c>
      <c r="C48" s="11"/>
      <c r="D48" s="2">
        <f>--59585.42</f>
        <v>59585.42</v>
      </c>
      <c r="E48" s="2"/>
      <c r="F48" s="19"/>
      <c r="G48" s="2"/>
      <c r="H48" s="2">
        <f>--141900</f>
        <v>141900</v>
      </c>
      <c r="I48" s="2"/>
      <c r="J48" s="19"/>
      <c r="K48" s="2"/>
      <c r="L48" s="2">
        <f t="shared" si="0"/>
        <v>-82314.58</v>
      </c>
      <c r="M48" s="2"/>
      <c r="N48" s="19">
        <f t="shared" si="1"/>
        <v>-0.5800886539816773</v>
      </c>
      <c r="O48" s="11"/>
      <c r="P48" s="2">
        <f>--1342516.26</f>
        <v>1342516.26</v>
      </c>
      <c r="Q48" s="2"/>
      <c r="R48" s="19"/>
      <c r="S48" s="2"/>
      <c r="T48" s="2">
        <f>--1102345.91</f>
        <v>1102345.9099999999</v>
      </c>
      <c r="U48" s="2"/>
      <c r="V48" s="19"/>
      <c r="W48" s="2"/>
      <c r="X48" s="2">
        <f t="shared" si="2"/>
        <v>240170.35000000009</v>
      </c>
      <c r="Y48" s="2"/>
      <c r="Z48" s="19">
        <f t="shared" si="3"/>
        <v>0.21787203800665447</v>
      </c>
    </row>
    <row r="49" spans="1:26" s="24" customFormat="1" hidden="1" outlineLevel="1" x14ac:dyDescent="0.25">
      <c r="A49" s="44"/>
      <c r="B49" s="11" t="str">
        <f>CONCATENATE("          ", "4083", " - ", "TAXABLE SALES-COMPUTER EQUIPME")</f>
        <v xml:space="preserve">          4083 - TAXABLE SALES-COMPUTER EQUIPME</v>
      </c>
      <c r="C49" s="11"/>
      <c r="D49" s="2">
        <f>--7057.06</f>
        <v>7057.06</v>
      </c>
      <c r="E49" s="2"/>
      <c r="F49" s="19"/>
      <c r="G49" s="2"/>
      <c r="H49" s="2">
        <f>--8285.09</f>
        <v>8285.09</v>
      </c>
      <c r="I49" s="2"/>
      <c r="J49" s="19"/>
      <c r="K49" s="2"/>
      <c r="L49" s="2">
        <f t="shared" si="0"/>
        <v>-1228.0299999999997</v>
      </c>
      <c r="M49" s="2"/>
      <c r="N49" s="19">
        <f t="shared" si="1"/>
        <v>-0.14822168497867852</v>
      </c>
      <c r="O49" s="11"/>
      <c r="P49" s="2">
        <f>--71130.68</f>
        <v>71130.679999999993</v>
      </c>
      <c r="Q49" s="2"/>
      <c r="R49" s="19"/>
      <c r="S49" s="2"/>
      <c r="T49" s="2">
        <f>--78004.42</f>
        <v>78004.42</v>
      </c>
      <c r="U49" s="2"/>
      <c r="V49" s="19"/>
      <c r="W49" s="2"/>
      <c r="X49" s="2">
        <f t="shared" si="2"/>
        <v>-6873.7400000000052</v>
      </c>
      <c r="Y49" s="2"/>
      <c r="Z49" s="19">
        <f t="shared" si="3"/>
        <v>-8.8119878335099544E-2</v>
      </c>
    </row>
    <row r="50" spans="1:26" s="24" customFormat="1" hidden="1" outlineLevel="1" x14ac:dyDescent="0.25">
      <c r="A50" s="44"/>
      <c r="B50" s="11" t="str">
        <f>CONCATENATE("          ", "4084", " - ", "TAXABLE SALES-SOFTWARE LICENSE")</f>
        <v xml:space="preserve">          4084 - TAXABLE SALES-SOFTWARE LICENSE</v>
      </c>
      <c r="C50" s="11"/>
      <c r="D50" s="2">
        <f t="shared" ref="D50:D51" si="4">0</f>
        <v>0</v>
      </c>
      <c r="E50" s="2"/>
      <c r="F50" s="19"/>
      <c r="G50" s="2"/>
      <c r="H50" s="2">
        <f>--1077</f>
        <v>1077</v>
      </c>
      <c r="I50" s="2"/>
      <c r="J50" s="19"/>
      <c r="K50" s="2"/>
      <c r="L50" s="2">
        <f t="shared" si="0"/>
        <v>-1077</v>
      </c>
      <c r="M50" s="2"/>
      <c r="N50" s="19">
        <f t="shared" si="1"/>
        <v>-1</v>
      </c>
      <c r="O50" s="11"/>
      <c r="P50" s="2">
        <f>--129</f>
        <v>129</v>
      </c>
      <c r="Q50" s="2"/>
      <c r="R50" s="19"/>
      <c r="S50" s="2"/>
      <c r="T50" s="2">
        <f>--1484.99</f>
        <v>1484.99</v>
      </c>
      <c r="U50" s="2"/>
      <c r="V50" s="19"/>
      <c r="W50" s="2"/>
      <c r="X50" s="2">
        <f t="shared" si="2"/>
        <v>-1355.99</v>
      </c>
      <c r="Y50" s="2"/>
      <c r="Z50" s="19">
        <f t="shared" si="3"/>
        <v>-0.91313072815305152</v>
      </c>
    </row>
    <row r="51" spans="1:26" s="24" customFormat="1" hidden="1" outlineLevel="1" x14ac:dyDescent="0.25">
      <c r="A51" s="44"/>
      <c r="B51" s="11" t="str">
        <f>CONCATENATE("          ", "4085", " - ", "TAXABLE SALES-SOFTWARE")</f>
        <v xml:space="preserve">          4085 - TAXABLE SALES-SOFTWARE</v>
      </c>
      <c r="C51" s="11"/>
      <c r="D51" s="2">
        <f t="shared" si="4"/>
        <v>0</v>
      </c>
      <c r="E51" s="2"/>
      <c r="F51" s="19"/>
      <c r="G51" s="2"/>
      <c r="H51" s="2">
        <f>--389.97</f>
        <v>389.97</v>
      </c>
      <c r="I51" s="2"/>
      <c r="J51" s="19"/>
      <c r="K51" s="2"/>
      <c r="L51" s="2">
        <f t="shared" si="0"/>
        <v>-389.97</v>
      </c>
      <c r="M51" s="2"/>
      <c r="N51" s="19">
        <f t="shared" si="1"/>
        <v>-1</v>
      </c>
      <c r="O51" s="11"/>
      <c r="P51" s="2">
        <f>--4407.94</f>
        <v>4407.9399999999996</v>
      </c>
      <c r="Q51" s="2"/>
      <c r="R51" s="19"/>
      <c r="S51" s="2"/>
      <c r="T51" s="2">
        <f>--9828.81</f>
        <v>9828.81</v>
      </c>
      <c r="U51" s="2"/>
      <c r="V51" s="19"/>
      <c r="W51" s="2"/>
      <c r="X51" s="2">
        <f t="shared" si="2"/>
        <v>-5420.87</v>
      </c>
      <c r="Y51" s="2"/>
      <c r="Z51" s="19">
        <f t="shared" si="3"/>
        <v>-0.55152861841870993</v>
      </c>
    </row>
    <row r="52" spans="1:26" s="24" customFormat="1" hidden="1" outlineLevel="1" x14ac:dyDescent="0.25">
      <c r="A52" s="44"/>
      <c r="B52" s="11" t="str">
        <f>CONCATENATE("          ", "4086", " - ", "TAXABLE SALES-COMPUTER SUPPLIE")</f>
        <v xml:space="preserve">          4086 - TAXABLE SALES-COMPUTER SUPPLIE</v>
      </c>
      <c r="C52" s="11"/>
      <c r="D52" s="2">
        <f>--2769.54</f>
        <v>2769.54</v>
      </c>
      <c r="E52" s="2"/>
      <c r="F52" s="19"/>
      <c r="G52" s="2"/>
      <c r="H52" s="2">
        <f>--7080.49</f>
        <v>7080.49</v>
      </c>
      <c r="I52" s="2"/>
      <c r="J52" s="19"/>
      <c r="K52" s="2"/>
      <c r="L52" s="2">
        <f t="shared" si="0"/>
        <v>-4310.95</v>
      </c>
      <c r="M52" s="2"/>
      <c r="N52" s="19">
        <f t="shared" si="1"/>
        <v>-0.60884910507606116</v>
      </c>
      <c r="O52" s="11"/>
      <c r="P52" s="2">
        <f>--33777.24</f>
        <v>33777.24</v>
      </c>
      <c r="Q52" s="2"/>
      <c r="R52" s="19"/>
      <c r="S52" s="2"/>
      <c r="T52" s="2">
        <f>--43920.15</f>
        <v>43920.15</v>
      </c>
      <c r="U52" s="2"/>
      <c r="V52" s="19"/>
      <c r="W52" s="2"/>
      <c r="X52" s="2">
        <f t="shared" si="2"/>
        <v>-10142.910000000003</v>
      </c>
      <c r="Y52" s="2"/>
      <c r="Z52" s="19">
        <f t="shared" si="3"/>
        <v>-0.23093978504171783</v>
      </c>
    </row>
    <row r="53" spans="1:26" s="24" customFormat="1" hidden="1" outlineLevel="1" x14ac:dyDescent="0.25">
      <c r="A53" s="44"/>
      <c r="B53" s="11" t="str">
        <f>CONCATENATE("          ", "4088", " - ", "TAXABLE SALES-MUSIC")</f>
        <v xml:space="preserve">          4088 - TAXABLE SALES-MUSIC</v>
      </c>
      <c r="C53" s="11"/>
      <c r="D53" s="2">
        <f>0</f>
        <v>0</v>
      </c>
      <c r="E53" s="2"/>
      <c r="F53" s="19"/>
      <c r="G53" s="2"/>
      <c r="H53" s="2">
        <f>--4.99</f>
        <v>4.99</v>
      </c>
      <c r="I53" s="2"/>
      <c r="J53" s="19"/>
      <c r="K53" s="2"/>
      <c r="L53" s="2">
        <f t="shared" si="0"/>
        <v>-4.99</v>
      </c>
      <c r="M53" s="2"/>
      <c r="N53" s="19">
        <f t="shared" si="1"/>
        <v>-1</v>
      </c>
      <c r="O53" s="11"/>
      <c r="P53" s="2">
        <f>--936.91</f>
        <v>936.91</v>
      </c>
      <c r="Q53" s="2"/>
      <c r="R53" s="19"/>
      <c r="S53" s="2"/>
      <c r="T53" s="2">
        <f>--1284.85</f>
        <v>1284.8499999999999</v>
      </c>
      <c r="U53" s="2"/>
      <c r="V53" s="19"/>
      <c r="W53" s="2"/>
      <c r="X53" s="2">
        <f t="shared" si="2"/>
        <v>-347.93999999999994</v>
      </c>
      <c r="Y53" s="2"/>
      <c r="Z53" s="19">
        <f t="shared" si="3"/>
        <v>-0.27080203914853873</v>
      </c>
    </row>
    <row r="54" spans="1:26" s="24" customFormat="1" hidden="1" outlineLevel="1" x14ac:dyDescent="0.25">
      <c r="A54" s="44"/>
      <c r="B54" s="11" t="str">
        <f>CONCATENATE("          ", "4092", " - ", "TAXABLE SALES-GRAD MERCH")</f>
        <v xml:space="preserve">          4092 - TAXABLE SALES-GRAD MERCH</v>
      </c>
      <c r="C54" s="11"/>
      <c r="D54" s="2">
        <f>--218.75</f>
        <v>218.75</v>
      </c>
      <c r="E54" s="2"/>
      <c r="F54" s="19"/>
      <c r="G54" s="2"/>
      <c r="H54" s="2">
        <f>--334.6</f>
        <v>334.6</v>
      </c>
      <c r="I54" s="2"/>
      <c r="J54" s="19"/>
      <c r="K54" s="2"/>
      <c r="L54" s="2">
        <f t="shared" si="0"/>
        <v>-115.85000000000002</v>
      </c>
      <c r="M54" s="2"/>
      <c r="N54" s="19">
        <f t="shared" si="1"/>
        <v>-0.34623430962343099</v>
      </c>
      <c r="O54" s="11"/>
      <c r="P54" s="2">
        <f>--7659.37</f>
        <v>7659.37</v>
      </c>
      <c r="Q54" s="2"/>
      <c r="R54" s="19"/>
      <c r="S54" s="2"/>
      <c r="T54" s="2">
        <f>--6961.06</f>
        <v>6961.06</v>
      </c>
      <c r="U54" s="2"/>
      <c r="V54" s="19"/>
      <c r="W54" s="2"/>
      <c r="X54" s="2">
        <f t="shared" si="2"/>
        <v>698.30999999999949</v>
      </c>
      <c r="Y54" s="2"/>
      <c r="Z54" s="19">
        <f t="shared" si="3"/>
        <v>0.10031661844604119</v>
      </c>
    </row>
    <row r="55" spans="1:26" s="24" customFormat="1" hidden="1" outlineLevel="1" x14ac:dyDescent="0.25">
      <c r="A55" s="44"/>
      <c r="B55" s="11" t="str">
        <f>CONCATENATE("          ", "4095", " - ", "TAXABLE SALES-CUSTOMER SERVICE")</f>
        <v xml:space="preserve">          4095 - TAXABLE SALES-CUSTOMER SERVICE</v>
      </c>
      <c r="C55" s="11"/>
      <c r="D55" s="2">
        <f>--20.89</f>
        <v>20.89</v>
      </c>
      <c r="E55" s="2"/>
      <c r="F55" s="19"/>
      <c r="G55" s="2"/>
      <c r="H55" s="2">
        <f>--95.14</f>
        <v>95.14</v>
      </c>
      <c r="I55" s="2"/>
      <c r="J55" s="19"/>
      <c r="K55" s="2"/>
      <c r="L55" s="2">
        <f t="shared" si="0"/>
        <v>-74.25</v>
      </c>
      <c r="M55" s="2"/>
      <c r="N55" s="19">
        <f t="shared" si="1"/>
        <v>-0.78042884170695814</v>
      </c>
      <c r="O55" s="11"/>
      <c r="P55" s="2">
        <f>--297.33</f>
        <v>297.33</v>
      </c>
      <c r="Q55" s="2"/>
      <c r="R55" s="19"/>
      <c r="S55" s="2"/>
      <c r="T55" s="2">
        <f>--1332.78</f>
        <v>1332.78</v>
      </c>
      <c r="U55" s="2"/>
      <c r="V55" s="19"/>
      <c r="W55" s="2"/>
      <c r="X55" s="2">
        <f t="shared" si="2"/>
        <v>-1035.45</v>
      </c>
      <c r="Y55" s="2"/>
      <c r="Z55" s="19">
        <f t="shared" si="3"/>
        <v>-0.77690991761581063</v>
      </c>
    </row>
    <row r="56" spans="1:26" s="24" customFormat="1" hidden="1" outlineLevel="1" x14ac:dyDescent="0.25">
      <c r="A56" s="44"/>
      <c r="B56" s="11" t="str">
        <f>CONCATENATE("          ", "4100", " - ", "NON-TAXABLE SALES")</f>
        <v xml:space="preserve">          4100 - NON-TAXABLE SALES</v>
      </c>
      <c r="C56" s="11"/>
      <c r="D56" s="2">
        <f>--21437.99</f>
        <v>21437.99</v>
      </c>
      <c r="E56" s="2"/>
      <c r="F56" s="19"/>
      <c r="G56" s="2"/>
      <c r="H56" s="2">
        <f>--39304.65</f>
        <v>39304.65</v>
      </c>
      <c r="I56" s="2"/>
      <c r="J56" s="19"/>
      <c r="K56" s="2"/>
      <c r="L56" s="2">
        <f t="shared" si="0"/>
        <v>-17866.66</v>
      </c>
      <c r="M56" s="2"/>
      <c r="N56" s="19">
        <f t="shared" si="1"/>
        <v>-0.45456860702232432</v>
      </c>
      <c r="O56" s="11"/>
      <c r="P56" s="2">
        <f>--502729.55</f>
        <v>502729.55</v>
      </c>
      <c r="Q56" s="2"/>
      <c r="R56" s="19"/>
      <c r="S56" s="2"/>
      <c r="T56" s="2">
        <f>--590854.92</f>
        <v>590854.92000000004</v>
      </c>
      <c r="U56" s="2"/>
      <c r="V56" s="19"/>
      <c r="W56" s="2"/>
      <c r="X56" s="2">
        <f t="shared" si="2"/>
        <v>-88125.370000000054</v>
      </c>
      <c r="Y56" s="2"/>
      <c r="Z56" s="19">
        <f t="shared" si="3"/>
        <v>-0.14914891459311205</v>
      </c>
    </row>
    <row r="57" spans="1:26" s="24" customFormat="1" hidden="1" outlineLevel="1" x14ac:dyDescent="0.25">
      <c r="A57" s="44"/>
      <c r="B57" s="11" t="str">
        <f>CONCATENATE("          ", "4101", " - ", "NON-TAXABLE SALES-NEW TEXT")</f>
        <v xml:space="preserve">          4101 - NON-TAXABLE SALES-NEW TEXT</v>
      </c>
      <c r="C57" s="11"/>
      <c r="D57" s="2">
        <f>--2606.82</f>
        <v>2606.8200000000002</v>
      </c>
      <c r="E57" s="2"/>
      <c r="F57" s="19"/>
      <c r="G57" s="2"/>
      <c r="H57" s="2">
        <f>--45608.9</f>
        <v>45608.9</v>
      </c>
      <c r="I57" s="2"/>
      <c r="J57" s="19"/>
      <c r="K57" s="2"/>
      <c r="L57" s="2">
        <f t="shared" si="0"/>
        <v>-43002.080000000002</v>
      </c>
      <c r="M57" s="2"/>
      <c r="N57" s="19">
        <f t="shared" si="1"/>
        <v>-0.94284405017441775</v>
      </c>
      <c r="O57" s="11"/>
      <c r="P57" s="2">
        <f>--95287.57</f>
        <v>95287.57</v>
      </c>
      <c r="Q57" s="2"/>
      <c r="R57" s="19"/>
      <c r="S57" s="2"/>
      <c r="T57" s="2">
        <f>--194261.23</f>
        <v>194261.23</v>
      </c>
      <c r="U57" s="2"/>
      <c r="V57" s="19"/>
      <c r="W57" s="2"/>
      <c r="X57" s="2">
        <f t="shared" si="2"/>
        <v>-98973.66</v>
      </c>
      <c r="Y57" s="2"/>
      <c r="Z57" s="19">
        <f t="shared" si="3"/>
        <v>-0.50948745665823281</v>
      </c>
    </row>
    <row r="58" spans="1:26" s="24" customFormat="1" hidden="1" outlineLevel="1" x14ac:dyDescent="0.25">
      <c r="A58" s="44"/>
      <c r="B58" s="11" t="str">
        <f>CONCATENATE("          ", "4102", " - ", "NON-TAXABLE SALES-USED TEXT")</f>
        <v xml:space="preserve">          4102 - NON-TAXABLE SALES-USED TEXT</v>
      </c>
      <c r="C58" s="11"/>
      <c r="D58" s="2">
        <f>--595.75</f>
        <v>595.75</v>
      </c>
      <c r="E58" s="2"/>
      <c r="F58" s="19"/>
      <c r="G58" s="2"/>
      <c r="H58" s="2">
        <f>--3095.04</f>
        <v>3095.04</v>
      </c>
      <c r="I58" s="2"/>
      <c r="J58" s="19"/>
      <c r="K58" s="2"/>
      <c r="L58" s="2">
        <f t="shared" si="0"/>
        <v>-2499.29</v>
      </c>
      <c r="M58" s="2"/>
      <c r="N58" s="19">
        <f t="shared" si="1"/>
        <v>-0.80751460401157982</v>
      </c>
      <c r="O58" s="11"/>
      <c r="P58" s="2">
        <f>--38202.59</f>
        <v>38202.589999999997</v>
      </c>
      <c r="Q58" s="2"/>
      <c r="R58" s="19"/>
      <c r="S58" s="2"/>
      <c r="T58" s="2">
        <f>--53955.66</f>
        <v>53955.66</v>
      </c>
      <c r="U58" s="2"/>
      <c r="V58" s="19"/>
      <c r="W58" s="2"/>
      <c r="X58" s="2">
        <f t="shared" si="2"/>
        <v>-15753.070000000007</v>
      </c>
      <c r="Y58" s="2"/>
      <c r="Z58" s="19">
        <f t="shared" si="3"/>
        <v>-0.29196325278942015</v>
      </c>
    </row>
    <row r="59" spans="1:26" s="24" customFormat="1" hidden="1" outlineLevel="1" x14ac:dyDescent="0.25">
      <c r="A59" s="44"/>
      <c r="B59" s="11" t="str">
        <f>CONCATENATE("          ", "4103", " - ", "NON-TAXABLE SALES-RENTAL TEXT")</f>
        <v xml:space="preserve">          4103 - NON-TAXABLE SALES-RENTAL TEXT</v>
      </c>
      <c r="C59" s="11"/>
      <c r="D59" s="2">
        <f>0</f>
        <v>0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>--329.98</f>
        <v>329.98</v>
      </c>
      <c r="Q59" s="2"/>
      <c r="R59" s="19"/>
      <c r="S59" s="2"/>
      <c r="T59" s="2">
        <f>--509.85</f>
        <v>509.85</v>
      </c>
      <c r="U59" s="2"/>
      <c r="V59" s="19"/>
      <c r="W59" s="2"/>
      <c r="X59" s="2">
        <f t="shared" si="2"/>
        <v>-179.87</v>
      </c>
      <c r="Y59" s="2"/>
      <c r="Z59" s="19">
        <f t="shared" si="3"/>
        <v>-0.35279003628518191</v>
      </c>
    </row>
    <row r="60" spans="1:26" s="24" customFormat="1" hidden="1" outlineLevel="1" x14ac:dyDescent="0.25">
      <c r="A60" s="44"/>
      <c r="B60" s="11" t="str">
        <f>CONCATENATE("          ", "4104", " - ", "NON-TAXABLE SALES-DIGITAL TEXT")</f>
        <v xml:space="preserve">          4104 - NON-TAXABLE SALES-DIGITAL TEXT</v>
      </c>
      <c r="C60" s="11"/>
      <c r="D60" s="2">
        <f>--12189.74</f>
        <v>12189.74</v>
      </c>
      <c r="E60" s="2"/>
      <c r="F60" s="19"/>
      <c r="G60" s="2"/>
      <c r="H60" s="2">
        <f>--3241.51</f>
        <v>3241.51</v>
      </c>
      <c r="I60" s="2"/>
      <c r="J60" s="19"/>
      <c r="K60" s="2"/>
      <c r="L60" s="2">
        <f t="shared" si="0"/>
        <v>8948.23</v>
      </c>
      <c r="M60" s="2"/>
      <c r="N60" s="19">
        <f t="shared" si="1"/>
        <v>2.7605128474075351</v>
      </c>
      <c r="O60" s="11"/>
      <c r="P60" s="2">
        <f>--332888.83</f>
        <v>332888.83</v>
      </c>
      <c r="Q60" s="2"/>
      <c r="R60" s="19"/>
      <c r="S60" s="2"/>
      <c r="T60" s="2">
        <f>--340965.12</f>
        <v>340965.12</v>
      </c>
      <c r="U60" s="2"/>
      <c r="V60" s="19"/>
      <c r="W60" s="2"/>
      <c r="X60" s="2">
        <f t="shared" si="2"/>
        <v>-8076.289999999979</v>
      </c>
      <c r="Y60" s="2"/>
      <c r="Z60" s="19">
        <f t="shared" si="3"/>
        <v>-2.3686557733529984E-2</v>
      </c>
    </row>
    <row r="61" spans="1:26" s="24" customFormat="1" hidden="1" outlineLevel="1" x14ac:dyDescent="0.25">
      <c r="A61" s="44"/>
      <c r="B61" s="11" t="str">
        <f>CONCATENATE("          ", "4111", " - ", "NON-TAXABLE SALES-NO VALUE TEX")</f>
        <v xml:space="preserve">          4111 - NON-TAXABLE SALES-NO VALUE TEX</v>
      </c>
      <c r="C61" s="11"/>
      <c r="D61" s="2">
        <f>--431.78</f>
        <v>431.78</v>
      </c>
      <c r="E61" s="2"/>
      <c r="F61" s="19"/>
      <c r="G61" s="2"/>
      <c r="H61" s="2">
        <f>--1236.5</f>
        <v>1236.5</v>
      </c>
      <c r="I61" s="2"/>
      <c r="J61" s="19"/>
      <c r="K61" s="2"/>
      <c r="L61" s="2">
        <f t="shared" si="0"/>
        <v>-804.72</v>
      </c>
      <c r="M61" s="2"/>
      <c r="N61" s="19">
        <f t="shared" si="1"/>
        <v>-0.6508046906591185</v>
      </c>
      <c r="O61" s="11"/>
      <c r="P61" s="2">
        <f>--8023.97</f>
        <v>8023.97</v>
      </c>
      <c r="Q61" s="2"/>
      <c r="R61" s="19"/>
      <c r="S61" s="2"/>
      <c r="T61" s="2">
        <f>--11154.48</f>
        <v>11154.48</v>
      </c>
      <c r="U61" s="2"/>
      <c r="V61" s="19"/>
      <c r="W61" s="2"/>
      <c r="X61" s="2">
        <f t="shared" si="2"/>
        <v>-3130.5099999999993</v>
      </c>
      <c r="Y61" s="2"/>
      <c r="Z61" s="19">
        <f t="shared" si="3"/>
        <v>-0.28065046510460367</v>
      </c>
    </row>
    <row r="62" spans="1:26" s="24" customFormat="1" hidden="1" outlineLevel="1" x14ac:dyDescent="0.25">
      <c r="A62" s="44"/>
      <c r="B62" s="11" t="str">
        <f>CONCATENATE("          ", "4113", " - ", "NON-TAXABLE SALES-TRADE BOOKS")</f>
        <v xml:space="preserve">          4113 - NON-TAXABLE SALES-TRADE BOOKS</v>
      </c>
      <c r="C62" s="11"/>
      <c r="D62" s="2">
        <f>0</f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--1146.72</f>
        <v>1146.72</v>
      </c>
      <c r="Q62" s="2"/>
      <c r="R62" s="19"/>
      <c r="S62" s="2"/>
      <c r="T62" s="2">
        <f>--38.23</f>
        <v>38.229999999999997</v>
      </c>
      <c r="U62" s="2"/>
      <c r="V62" s="19"/>
      <c r="W62" s="2"/>
      <c r="X62" s="2">
        <f t="shared" si="2"/>
        <v>1108.49</v>
      </c>
      <c r="Y62" s="2"/>
      <c r="Z62" s="19">
        <f t="shared" si="3"/>
        <v>28.995291655767723</v>
      </c>
    </row>
    <row r="63" spans="1:26" s="24" customFormat="1" hidden="1" outlineLevel="1" x14ac:dyDescent="0.25">
      <c r="A63" s="44"/>
      <c r="B63" s="11" t="str">
        <f>CONCATENATE("          ", "4118", " - ", "NON-TAXABLE SALES-STUDY GUIDES")</f>
        <v xml:space="preserve">          4118 - NON-TAXABLE SALES-STUDY GUIDES</v>
      </c>
      <c r="C63" s="11"/>
      <c r="D63" s="2">
        <f>--6.95</f>
        <v>6.95</v>
      </c>
      <c r="E63" s="2"/>
      <c r="F63" s="19"/>
      <c r="G63" s="2"/>
      <c r="H63" s="2">
        <f>--10.89</f>
        <v>10.89</v>
      </c>
      <c r="I63" s="2"/>
      <c r="J63" s="19"/>
      <c r="K63" s="2"/>
      <c r="L63" s="2">
        <f t="shared" si="0"/>
        <v>-3.9400000000000004</v>
      </c>
      <c r="M63" s="2"/>
      <c r="N63" s="19">
        <f t="shared" si="1"/>
        <v>-0.36179981634527092</v>
      </c>
      <c r="O63" s="11"/>
      <c r="P63" s="2">
        <f>--41.91</f>
        <v>41.91</v>
      </c>
      <c r="Q63" s="2"/>
      <c r="R63" s="19"/>
      <c r="S63" s="2"/>
      <c r="T63" s="2">
        <f>--132.64</f>
        <v>132.63999999999999</v>
      </c>
      <c r="U63" s="2"/>
      <c r="V63" s="19"/>
      <c r="W63" s="2"/>
      <c r="X63" s="2">
        <f t="shared" si="2"/>
        <v>-90.72999999999999</v>
      </c>
      <c r="Y63" s="2"/>
      <c r="Z63" s="19">
        <f t="shared" si="3"/>
        <v>-0.68403196622436668</v>
      </c>
    </row>
    <row r="64" spans="1:26" s="24" customFormat="1" hidden="1" outlineLevel="1" x14ac:dyDescent="0.25">
      <c r="A64" s="44"/>
      <c r="B64" s="11" t="str">
        <f>CONCATENATE("          ", "4125", " - ", "NON-TAXABLE SALES-TEST FORMS")</f>
        <v xml:space="preserve">          4125 - NON-TAXABLE SALES-TEST FORMS</v>
      </c>
      <c r="C64" s="11"/>
      <c r="D64" s="2">
        <f>0</f>
        <v>0</v>
      </c>
      <c r="E64" s="2"/>
      <c r="F64" s="19"/>
      <c r="G64" s="2"/>
      <c r="H64" s="2">
        <f>--11.31</f>
        <v>11.31</v>
      </c>
      <c r="I64" s="2"/>
      <c r="J64" s="19"/>
      <c r="K64" s="2"/>
      <c r="L64" s="2">
        <f t="shared" si="0"/>
        <v>-11.31</v>
      </c>
      <c r="M64" s="2"/>
      <c r="N64" s="19">
        <f t="shared" si="1"/>
        <v>-1</v>
      </c>
      <c r="O64" s="11"/>
      <c r="P64" s="2">
        <f>--124.18</f>
        <v>124.18</v>
      </c>
      <c r="Q64" s="2"/>
      <c r="R64" s="19"/>
      <c r="S64" s="2"/>
      <c r="T64" s="2">
        <f>--172.04</f>
        <v>172.04</v>
      </c>
      <c r="U64" s="2"/>
      <c r="V64" s="19"/>
      <c r="W64" s="2"/>
      <c r="X64" s="2">
        <f t="shared" si="2"/>
        <v>-47.859999999999985</v>
      </c>
      <c r="Y64" s="2"/>
      <c r="Z64" s="19">
        <f t="shared" si="3"/>
        <v>-0.27819111834457094</v>
      </c>
    </row>
    <row r="65" spans="1:26" s="24" customFormat="1" hidden="1" outlineLevel="1" x14ac:dyDescent="0.25">
      <c r="A65" s="44"/>
      <c r="B65" s="11" t="str">
        <f>CONCATENATE("          ", "4126", " - ", "NON-TAXABLE SALES-WRITING INST")</f>
        <v xml:space="preserve">          4126 - NON-TAXABLE SALES-WRITING INST</v>
      </c>
      <c r="C65" s="11"/>
      <c r="D65" s="2">
        <f>--38.73</f>
        <v>38.729999999999997</v>
      </c>
      <c r="E65" s="2"/>
      <c r="F65" s="19"/>
      <c r="G65" s="2"/>
      <c r="H65" s="2">
        <f>--192.74</f>
        <v>192.74</v>
      </c>
      <c r="I65" s="2"/>
      <c r="J65" s="19"/>
      <c r="K65" s="2"/>
      <c r="L65" s="2">
        <f t="shared" si="0"/>
        <v>-154.01000000000002</v>
      </c>
      <c r="M65" s="2"/>
      <c r="N65" s="19">
        <f t="shared" si="1"/>
        <v>-0.79905572273529113</v>
      </c>
      <c r="O65" s="11"/>
      <c r="P65" s="2">
        <f>--1509.11</f>
        <v>1509.11</v>
      </c>
      <c r="Q65" s="2"/>
      <c r="R65" s="19"/>
      <c r="S65" s="2"/>
      <c r="T65" s="2">
        <f>--2005.43</f>
        <v>2005.43</v>
      </c>
      <c r="U65" s="2"/>
      <c r="V65" s="19"/>
      <c r="W65" s="2"/>
      <c r="X65" s="2">
        <f t="shared" si="2"/>
        <v>-496.32000000000016</v>
      </c>
      <c r="Y65" s="2"/>
      <c r="Z65" s="19">
        <f t="shared" si="3"/>
        <v>-0.24748806989024805</v>
      </c>
    </row>
    <row r="66" spans="1:26" s="24" customFormat="1" hidden="1" outlineLevel="1" x14ac:dyDescent="0.25">
      <c r="A66" s="44"/>
      <c r="B66" s="11" t="str">
        <f>CONCATENATE("          ", "4127", " - ", "NON-TAXABLE SALES-SCHOOL SUPPL")</f>
        <v xml:space="preserve">          4127 - NON-TAXABLE SALES-SCHOOL SUPPL</v>
      </c>
      <c r="C66" s="11"/>
      <c r="D66" s="2">
        <f t="shared" ref="D66:D67" si="5">0</f>
        <v>0</v>
      </c>
      <c r="E66" s="2"/>
      <c r="F66" s="19"/>
      <c r="G66" s="2"/>
      <c r="H66" s="2">
        <f>--721.23</f>
        <v>721.23</v>
      </c>
      <c r="I66" s="2"/>
      <c r="J66" s="19"/>
      <c r="K66" s="2"/>
      <c r="L66" s="2">
        <f t="shared" si="0"/>
        <v>-721.23</v>
      </c>
      <c r="M66" s="2"/>
      <c r="N66" s="19">
        <f t="shared" si="1"/>
        <v>-1</v>
      </c>
      <c r="O66" s="11"/>
      <c r="P66" s="2">
        <f>--2603.4</f>
        <v>2603.4</v>
      </c>
      <c r="Q66" s="2"/>
      <c r="R66" s="19"/>
      <c r="S66" s="2"/>
      <c r="T66" s="2">
        <f>--9446.53</f>
        <v>9446.5300000000007</v>
      </c>
      <c r="U66" s="2"/>
      <c r="V66" s="19"/>
      <c r="W66" s="2"/>
      <c r="X66" s="2">
        <f t="shared" si="2"/>
        <v>-6843.130000000001</v>
      </c>
      <c r="Y66" s="2"/>
      <c r="Z66" s="19">
        <f t="shared" si="3"/>
        <v>-0.72440673982933423</v>
      </c>
    </row>
    <row r="67" spans="1:26" s="24" customFormat="1" hidden="1" outlineLevel="1" x14ac:dyDescent="0.25">
      <c r="A67" s="44"/>
      <c r="B67" s="11" t="str">
        <f>CONCATENATE("          ", "4128", " - ", "NON-TAXABLE SALES-ART/TECH")</f>
        <v xml:space="preserve">          4128 - NON-TAXABLE SALES-ART/TECH</v>
      </c>
      <c r="C67" s="11"/>
      <c r="D67" s="2">
        <f t="shared" si="5"/>
        <v>0</v>
      </c>
      <c r="E67" s="2"/>
      <c r="F67" s="19"/>
      <c r="G67" s="2"/>
      <c r="H67" s="2">
        <f>--31.29</f>
        <v>31.29</v>
      </c>
      <c r="I67" s="2"/>
      <c r="J67" s="19"/>
      <c r="K67" s="2"/>
      <c r="L67" s="2">
        <f t="shared" si="0"/>
        <v>-31.29</v>
      </c>
      <c r="M67" s="2"/>
      <c r="N67" s="19">
        <f t="shared" si="1"/>
        <v>-1</v>
      </c>
      <c r="O67" s="11"/>
      <c r="P67" s="2">
        <f>--348.72</f>
        <v>348.72</v>
      </c>
      <c r="Q67" s="2"/>
      <c r="R67" s="19"/>
      <c r="S67" s="2"/>
      <c r="T67" s="2">
        <f>--656.99</f>
        <v>656.99</v>
      </c>
      <c r="U67" s="2"/>
      <c r="V67" s="19"/>
      <c r="W67" s="2"/>
      <c r="X67" s="2">
        <f t="shared" si="2"/>
        <v>-308.27</v>
      </c>
      <c r="Y67" s="2"/>
      <c r="Z67" s="19">
        <f t="shared" si="3"/>
        <v>-0.46921566538303472</v>
      </c>
    </row>
    <row r="68" spans="1:26" s="24" customFormat="1" hidden="1" outlineLevel="1" x14ac:dyDescent="0.25">
      <c r="A68" s="44"/>
      <c r="B68" s="11" t="str">
        <f>CONCATENATE("          ", "4131", " - ", "NON-TAXABLE SALES-FOOD")</f>
        <v xml:space="preserve">          4131 - NON-TAXABLE SALES-FOOD</v>
      </c>
      <c r="C68" s="11"/>
      <c r="D68" s="2">
        <f>--4058.22</f>
        <v>4058.22</v>
      </c>
      <c r="E68" s="2"/>
      <c r="F68" s="19"/>
      <c r="G68" s="2"/>
      <c r="H68" s="2">
        <f>--5535.53</f>
        <v>5535.53</v>
      </c>
      <c r="I68" s="2"/>
      <c r="J68" s="19"/>
      <c r="K68" s="2"/>
      <c r="L68" s="2">
        <f t="shared" si="0"/>
        <v>-1477.31</v>
      </c>
      <c r="M68" s="2"/>
      <c r="N68" s="19">
        <f t="shared" si="1"/>
        <v>-0.26687778767344772</v>
      </c>
      <c r="O68" s="11"/>
      <c r="P68" s="2">
        <f>--39085.73</f>
        <v>39085.730000000003</v>
      </c>
      <c r="Q68" s="2"/>
      <c r="R68" s="19"/>
      <c r="S68" s="2"/>
      <c r="T68" s="2">
        <f>--39059.72</f>
        <v>39059.72</v>
      </c>
      <c r="U68" s="2"/>
      <c r="V68" s="19"/>
      <c r="W68" s="2"/>
      <c r="X68" s="2">
        <f t="shared" si="2"/>
        <v>26.010000000002037</v>
      </c>
      <c r="Y68" s="2"/>
      <c r="Z68" s="19">
        <f t="shared" si="3"/>
        <v>6.6590339101258366E-4</v>
      </c>
    </row>
    <row r="69" spans="1:26" s="24" customFormat="1" hidden="1" outlineLevel="1" x14ac:dyDescent="0.25">
      <c r="A69" s="44"/>
      <c r="B69" s="11" t="str">
        <f>CONCATENATE("          ", "4132", " - ", "NON-TAXABLE SALES-JUICE")</f>
        <v xml:space="preserve">          4132 - NON-TAXABLE SALES-JUICE</v>
      </c>
      <c r="C69" s="11"/>
      <c r="D69" s="2">
        <f>--85222.13</f>
        <v>85222.13</v>
      </c>
      <c r="E69" s="2"/>
      <c r="F69" s="19"/>
      <c r="G69" s="2"/>
      <c r="H69" s="2">
        <f>--85417.73</f>
        <v>85417.73</v>
      </c>
      <c r="I69" s="2"/>
      <c r="J69" s="19"/>
      <c r="K69" s="2"/>
      <c r="L69" s="2">
        <f t="shared" si="0"/>
        <v>-195.59999999999127</v>
      </c>
      <c r="M69" s="2"/>
      <c r="N69" s="19">
        <f t="shared" si="1"/>
        <v>-2.2899227127669078E-3</v>
      </c>
      <c r="O69" s="11"/>
      <c r="P69" s="2">
        <f>--750566.92</f>
        <v>750566.92</v>
      </c>
      <c r="Q69" s="2"/>
      <c r="R69" s="19"/>
      <c r="S69" s="2"/>
      <c r="T69" s="2">
        <f>--679905.53</f>
        <v>679905.53</v>
      </c>
      <c r="U69" s="2"/>
      <c r="V69" s="19"/>
      <c r="W69" s="2"/>
      <c r="X69" s="2">
        <f t="shared" si="2"/>
        <v>70661.390000000014</v>
      </c>
      <c r="Y69" s="2"/>
      <c r="Z69" s="19">
        <f t="shared" si="3"/>
        <v>0.10392824720810848</v>
      </c>
    </row>
    <row r="70" spans="1:26" s="24" customFormat="1" hidden="1" outlineLevel="1" x14ac:dyDescent="0.25">
      <c r="A70" s="44"/>
      <c r="B70" s="11" t="str">
        <f>CONCATENATE("          ", "4133", " - ", "NON-TAXABLE SALES-CANDY")</f>
        <v xml:space="preserve">          4133 - NON-TAXABLE SALES-CANDY</v>
      </c>
      <c r="C70" s="11"/>
      <c r="D70" s="2">
        <f>--1305.22</f>
        <v>1305.22</v>
      </c>
      <c r="E70" s="2"/>
      <c r="F70" s="19"/>
      <c r="G70" s="2"/>
      <c r="H70" s="2">
        <f>--1560.42</f>
        <v>1560.42</v>
      </c>
      <c r="I70" s="2"/>
      <c r="J70" s="19"/>
      <c r="K70" s="2"/>
      <c r="L70" s="2">
        <f t="shared" si="0"/>
        <v>-255.20000000000005</v>
      </c>
      <c r="M70" s="2"/>
      <c r="N70" s="19">
        <f t="shared" si="1"/>
        <v>-0.16354571205188348</v>
      </c>
      <c r="O70" s="11"/>
      <c r="P70" s="2">
        <f>--12121.78</f>
        <v>12121.78</v>
      </c>
      <c r="Q70" s="2"/>
      <c r="R70" s="19"/>
      <c r="S70" s="2"/>
      <c r="T70" s="2">
        <f>--10466.71</f>
        <v>10466.709999999999</v>
      </c>
      <c r="U70" s="2"/>
      <c r="V70" s="19"/>
      <c r="W70" s="2"/>
      <c r="X70" s="2">
        <f t="shared" si="2"/>
        <v>1655.0700000000015</v>
      </c>
      <c r="Y70" s="2"/>
      <c r="Z70" s="19">
        <f t="shared" si="3"/>
        <v>0.15812705234022933</v>
      </c>
    </row>
    <row r="71" spans="1:26" s="24" customFormat="1" hidden="1" outlineLevel="1" x14ac:dyDescent="0.25">
      <c r="A71" s="44"/>
      <c r="B71" s="11" t="str">
        <f>CONCATENATE("          ", "4134", " - ", "NON-TAXABLE SALES-SODA")</f>
        <v xml:space="preserve">          4134 - NON-TAXABLE SALES-SODA</v>
      </c>
      <c r="C71" s="11"/>
      <c r="D71" s="2">
        <f>0</f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--0.39</f>
        <v>0.39</v>
      </c>
      <c r="Q71" s="2"/>
      <c r="R71" s="19"/>
      <c r="S71" s="2"/>
      <c r="T71" s="2">
        <f>--163.41</f>
        <v>163.41</v>
      </c>
      <c r="U71" s="2"/>
      <c r="V71" s="19"/>
      <c r="W71" s="2"/>
      <c r="X71" s="2">
        <f t="shared" si="2"/>
        <v>-163.02000000000001</v>
      </c>
      <c r="Y71" s="2"/>
      <c r="Z71" s="19">
        <f t="shared" si="3"/>
        <v>-0.99761336515513133</v>
      </c>
    </row>
    <row r="72" spans="1:26" s="24" customFormat="1" hidden="1" outlineLevel="1" x14ac:dyDescent="0.25">
      <c r="A72" s="44"/>
      <c r="B72" s="11" t="str">
        <f>CONCATENATE("          ", "4135", " - ", "NON-TAXABLE SALES")</f>
        <v xml:space="preserve">          4135 - NON-TAXABLE SALES</v>
      </c>
      <c r="C72" s="11"/>
      <c r="D72" s="2">
        <f>--3.59</f>
        <v>3.59</v>
      </c>
      <c r="E72" s="2"/>
      <c r="F72" s="19"/>
      <c r="G72" s="2"/>
      <c r="H72" s="2">
        <f>--49.18</f>
        <v>49.18</v>
      </c>
      <c r="I72" s="2"/>
      <c r="J72" s="19"/>
      <c r="K72" s="2"/>
      <c r="L72" s="2">
        <f t="shared" si="0"/>
        <v>-45.59</v>
      </c>
      <c r="M72" s="2"/>
      <c r="N72" s="19">
        <f t="shared" si="1"/>
        <v>-0.9270028466856447</v>
      </c>
      <c r="O72" s="11"/>
      <c r="P72" s="2">
        <f>--118.32</f>
        <v>118.32</v>
      </c>
      <c r="Q72" s="2"/>
      <c r="R72" s="19"/>
      <c r="S72" s="2"/>
      <c r="T72" s="2">
        <f>--172.6</f>
        <v>172.6</v>
      </c>
      <c r="U72" s="2"/>
      <c r="V72" s="19"/>
      <c r="W72" s="2"/>
      <c r="X72" s="2">
        <f t="shared" si="2"/>
        <v>-54.28</v>
      </c>
      <c r="Y72" s="2"/>
      <c r="Z72" s="19">
        <f t="shared" si="3"/>
        <v>-0.3144843568945539</v>
      </c>
    </row>
    <row r="73" spans="1:26" s="24" customFormat="1" hidden="1" outlineLevel="1" x14ac:dyDescent="0.25">
      <c r="A73" s="44"/>
      <c r="B73" s="11" t="str">
        <f>CONCATENATE("          ", "4137", " - ", "NON-TAXABLE SALES-WATER")</f>
        <v xml:space="preserve">          4137 - NON-TAXABLE SALES-WATER</v>
      </c>
      <c r="C73" s="11"/>
      <c r="D73" s="2">
        <f>--749.29</f>
        <v>749.29</v>
      </c>
      <c r="E73" s="2"/>
      <c r="F73" s="19"/>
      <c r="G73" s="2"/>
      <c r="H73" s="2">
        <f>--890.93</f>
        <v>890.93</v>
      </c>
      <c r="I73" s="2"/>
      <c r="J73" s="19"/>
      <c r="K73" s="2"/>
      <c r="L73" s="2">
        <f t="shared" si="0"/>
        <v>-141.63999999999999</v>
      </c>
      <c r="M73" s="2"/>
      <c r="N73" s="19">
        <f t="shared" si="1"/>
        <v>-0.15897994230747645</v>
      </c>
      <c r="O73" s="11"/>
      <c r="P73" s="2">
        <f>--7063.17</f>
        <v>7063.17</v>
      </c>
      <c r="Q73" s="2"/>
      <c r="R73" s="19"/>
      <c r="S73" s="2"/>
      <c r="T73" s="2">
        <f>--6936.6</f>
        <v>6936.6</v>
      </c>
      <c r="U73" s="2"/>
      <c r="V73" s="19"/>
      <c r="W73" s="2"/>
      <c r="X73" s="2">
        <f t="shared" si="2"/>
        <v>126.56999999999971</v>
      </c>
      <c r="Y73" s="2"/>
      <c r="Z73" s="19">
        <f t="shared" si="3"/>
        <v>1.8246691462676195E-2</v>
      </c>
    </row>
    <row r="74" spans="1:26" s="24" customFormat="1" hidden="1" outlineLevel="1" x14ac:dyDescent="0.25">
      <c r="A74" s="44"/>
      <c r="B74" s="11" t="str">
        <f>CONCATENATE("          ", "4140", " - ", "NON-TAXABLE SALES-LOGO CLOTHIN")</f>
        <v xml:space="preserve">          4140 - NON-TAXABLE SALES-LOGO CLOTHIN</v>
      </c>
      <c r="C74" s="11"/>
      <c r="D74" s="2">
        <f>--18815.05</f>
        <v>18815.05</v>
      </c>
      <c r="E74" s="2"/>
      <c r="F74" s="19"/>
      <c r="G74" s="2"/>
      <c r="H74" s="2">
        <f>--5726.91</f>
        <v>5726.91</v>
      </c>
      <c r="I74" s="2"/>
      <c r="J74" s="19"/>
      <c r="K74" s="2"/>
      <c r="L74" s="2">
        <f t="shared" si="0"/>
        <v>13088.14</v>
      </c>
      <c r="M74" s="2"/>
      <c r="N74" s="19">
        <f t="shared" si="1"/>
        <v>2.2853755341012869</v>
      </c>
      <c r="O74" s="11"/>
      <c r="P74" s="2">
        <f>--38823.84</f>
        <v>38823.839999999997</v>
      </c>
      <c r="Q74" s="2"/>
      <c r="R74" s="19"/>
      <c r="S74" s="2"/>
      <c r="T74" s="2">
        <f>--20388.07</f>
        <v>20388.07</v>
      </c>
      <c r="U74" s="2"/>
      <c r="V74" s="19"/>
      <c r="W74" s="2"/>
      <c r="X74" s="2">
        <f t="shared" si="2"/>
        <v>18435.769999999997</v>
      </c>
      <c r="Y74" s="2"/>
      <c r="Z74" s="19">
        <f t="shared" si="3"/>
        <v>0.90424302055074346</v>
      </c>
    </row>
    <row r="75" spans="1:26" s="24" customFormat="1" hidden="1" outlineLevel="1" x14ac:dyDescent="0.25">
      <c r="A75" s="44"/>
      <c r="B75" s="11" t="str">
        <f>CONCATENATE("          ", "4141", " - ", "NON-TAXABLE SALES-LOGO GIFTS")</f>
        <v xml:space="preserve">          4141 - NON-TAXABLE SALES-LOGO GIFTS</v>
      </c>
      <c r="C75" s="11"/>
      <c r="D75" s="2">
        <f>--699.6</f>
        <v>699.6</v>
      </c>
      <c r="E75" s="2"/>
      <c r="F75" s="19"/>
      <c r="G75" s="2"/>
      <c r="H75" s="2">
        <f>--699.55</f>
        <v>699.55</v>
      </c>
      <c r="I75" s="2"/>
      <c r="J75" s="19"/>
      <c r="K75" s="2"/>
      <c r="L75" s="2">
        <f t="shared" si="0"/>
        <v>5.0000000000068212E-2</v>
      </c>
      <c r="M75" s="2"/>
      <c r="N75" s="19">
        <f t="shared" si="1"/>
        <v>7.1474519333954991E-5</v>
      </c>
      <c r="O75" s="11"/>
      <c r="P75" s="2">
        <f>--2529.88</f>
        <v>2529.88</v>
      </c>
      <c r="Q75" s="2"/>
      <c r="R75" s="19"/>
      <c r="S75" s="2"/>
      <c r="T75" s="2">
        <f>--3372.33</f>
        <v>3372.33</v>
      </c>
      <c r="U75" s="2"/>
      <c r="V75" s="19"/>
      <c r="W75" s="2"/>
      <c r="X75" s="2">
        <f t="shared" si="2"/>
        <v>-842.44999999999982</v>
      </c>
      <c r="Y75" s="2"/>
      <c r="Z75" s="19">
        <f t="shared" si="3"/>
        <v>-0.24981244421512719</v>
      </c>
    </row>
    <row r="76" spans="1:26" s="24" customFormat="1" hidden="1" outlineLevel="1" x14ac:dyDescent="0.25">
      <c r="A76" s="44"/>
      <c r="B76" s="11" t="str">
        <f>CONCATENATE("          ", "4142", " - ", "NON-TAXABLE SALES-EVERYDAY GIF")</f>
        <v xml:space="preserve">          4142 - NON-TAXABLE SALES-EVERYDAY GIF</v>
      </c>
      <c r="C76" s="11"/>
      <c r="D76" s="2">
        <f>--2554.55</f>
        <v>2554.5500000000002</v>
      </c>
      <c r="E76" s="2"/>
      <c r="F76" s="19"/>
      <c r="G76" s="2"/>
      <c r="H76" s="2">
        <f>--4284.55</f>
        <v>4284.55</v>
      </c>
      <c r="I76" s="2"/>
      <c r="J76" s="19"/>
      <c r="K76" s="2"/>
      <c r="L76" s="2">
        <f t="shared" si="0"/>
        <v>-1730</v>
      </c>
      <c r="M76" s="2"/>
      <c r="N76" s="19">
        <f t="shared" si="1"/>
        <v>-0.40377635924426136</v>
      </c>
      <c r="O76" s="11"/>
      <c r="P76" s="2">
        <f>--10487.38</f>
        <v>10487.38</v>
      </c>
      <c r="Q76" s="2"/>
      <c r="R76" s="19"/>
      <c r="S76" s="2"/>
      <c r="T76" s="2">
        <f>--11845.75</f>
        <v>11845.75</v>
      </c>
      <c r="U76" s="2"/>
      <c r="V76" s="19"/>
      <c r="W76" s="2"/>
      <c r="X76" s="2">
        <f t="shared" si="2"/>
        <v>-1358.3700000000008</v>
      </c>
      <c r="Y76" s="2"/>
      <c r="Z76" s="19">
        <f t="shared" si="3"/>
        <v>-0.11467150665850628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--351.29</f>
        <v>351.29</v>
      </c>
      <c r="E77" s="2"/>
      <c r="F77" s="19"/>
      <c r="G77" s="2"/>
      <c r="H77" s="2">
        <f>--19.94</f>
        <v>19.940000000000001</v>
      </c>
      <c r="I77" s="2"/>
      <c r="J77" s="19"/>
      <c r="K77" s="2"/>
      <c r="L77" s="2">
        <f t="shared" si="0"/>
        <v>331.35</v>
      </c>
      <c r="M77" s="2"/>
      <c r="N77" s="19">
        <f t="shared" si="1"/>
        <v>16.617352056168507</v>
      </c>
      <c r="O77" s="11"/>
      <c r="P77" s="2">
        <f>--592.85</f>
        <v>592.85</v>
      </c>
      <c r="Q77" s="2"/>
      <c r="R77" s="19"/>
      <c r="S77" s="2"/>
      <c r="T77" s="2">
        <f>--360.54</f>
        <v>360.54</v>
      </c>
      <c r="U77" s="2"/>
      <c r="V77" s="19"/>
      <c r="W77" s="2"/>
      <c r="X77" s="2">
        <f t="shared" si="2"/>
        <v>232.31</v>
      </c>
      <c r="Y77" s="2"/>
      <c r="Z77" s="19">
        <f t="shared" si="3"/>
        <v>0.64433904698507793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0</f>
        <v>0</v>
      </c>
      <c r="E78" s="2"/>
      <c r="F78" s="19"/>
      <c r="G78" s="2"/>
      <c r="H78" s="2">
        <f>--89.8</f>
        <v>89.8</v>
      </c>
      <c r="I78" s="2"/>
      <c r="J78" s="19"/>
      <c r="K78" s="2"/>
      <c r="L78" s="2">
        <f t="shared" si="0"/>
        <v>-89.8</v>
      </c>
      <c r="M78" s="2"/>
      <c r="N78" s="19">
        <f t="shared" si="1"/>
        <v>-1</v>
      </c>
      <c r="O78" s="11"/>
      <c r="P78" s="2">
        <f>--140</f>
        <v>140</v>
      </c>
      <c r="Q78" s="2"/>
      <c r="R78" s="19"/>
      <c r="S78" s="2"/>
      <c r="T78" s="2">
        <f>--1747.4</f>
        <v>1747.4</v>
      </c>
      <c r="U78" s="2"/>
      <c r="V78" s="19"/>
      <c r="W78" s="2"/>
      <c r="X78" s="2">
        <f t="shared" si="2"/>
        <v>-1607.4</v>
      </c>
      <c r="Y78" s="2"/>
      <c r="Z78" s="19">
        <f t="shared" si="3"/>
        <v>-0.91988096600663849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--27126.9</f>
        <v>27126.9</v>
      </c>
      <c r="E79" s="2"/>
      <c r="F79" s="19"/>
      <c r="G79" s="2"/>
      <c r="H79" s="2">
        <f>--31432.85</f>
        <v>31432.85</v>
      </c>
      <c r="I79" s="2"/>
      <c r="J79" s="19"/>
      <c r="K79" s="2"/>
      <c r="L79" s="2">
        <f t="shared" si="0"/>
        <v>-4305.9499999999971</v>
      </c>
      <c r="M79" s="2"/>
      <c r="N79" s="19">
        <f t="shared" si="1"/>
        <v>-0.13698885083598838</v>
      </c>
      <c r="O79" s="11"/>
      <c r="P79" s="2">
        <f>--146467.95</f>
        <v>146467.95000000001</v>
      </c>
      <c r="Q79" s="2"/>
      <c r="R79" s="19"/>
      <c r="S79" s="2"/>
      <c r="T79" s="2">
        <f>--149484</f>
        <v>149484</v>
      </c>
      <c r="U79" s="2"/>
      <c r="V79" s="19"/>
      <c r="W79" s="2"/>
      <c r="X79" s="2">
        <f t="shared" si="2"/>
        <v>-3016.0499999999884</v>
      </c>
      <c r="Y79" s="2"/>
      <c r="Z79" s="19">
        <f t="shared" si="3"/>
        <v>-2.0176406839527899E-2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--57.5</f>
        <v>57.5</v>
      </c>
      <c r="E80" s="2"/>
      <c r="F80" s="19"/>
      <c r="G80" s="2"/>
      <c r="H80" s="2">
        <f>--38.5</f>
        <v>38.5</v>
      </c>
      <c r="I80" s="2"/>
      <c r="J80" s="19"/>
      <c r="K80" s="2"/>
      <c r="L80" s="2">
        <f t="shared" si="0"/>
        <v>19</v>
      </c>
      <c r="M80" s="2"/>
      <c r="N80" s="19">
        <f t="shared" si="1"/>
        <v>0.4935064935064935</v>
      </c>
      <c r="O80" s="11"/>
      <c r="P80" s="2">
        <f>--307.4</f>
        <v>307.39999999999998</v>
      </c>
      <c r="Q80" s="2"/>
      <c r="R80" s="19"/>
      <c r="S80" s="2"/>
      <c r="T80" s="2">
        <f>--408.5</f>
        <v>408.5</v>
      </c>
      <c r="U80" s="2"/>
      <c r="V80" s="19"/>
      <c r="W80" s="2"/>
      <c r="X80" s="2">
        <f t="shared" si="2"/>
        <v>-101.10000000000002</v>
      </c>
      <c r="Y80" s="2"/>
      <c r="Z80" s="19">
        <f t="shared" si="3"/>
        <v>-0.24749082007343948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--991045.96</f>
        <v>991045.96</v>
      </c>
      <c r="E81" s="2"/>
      <c r="F81" s="19"/>
      <c r="G81" s="2"/>
      <c r="H81" s="2">
        <f>--1115314.32</f>
        <v>1115314.32</v>
      </c>
      <c r="I81" s="2"/>
      <c r="J81" s="19"/>
      <c r="K81" s="2"/>
      <c r="L81" s="2">
        <f t="shared" si="0"/>
        <v>-124268.3600000001</v>
      </c>
      <c r="M81" s="2"/>
      <c r="N81" s="19">
        <f t="shared" si="1"/>
        <v>-0.11142003448857367</v>
      </c>
      <c r="O81" s="11"/>
      <c r="P81" s="2">
        <f>--7370128.48</f>
        <v>7370128.4800000004</v>
      </c>
      <c r="Q81" s="2"/>
      <c r="R81" s="19"/>
      <c r="S81" s="2"/>
      <c r="T81" s="2">
        <f>--7116543.41</f>
        <v>7116543.4100000001</v>
      </c>
      <c r="U81" s="2"/>
      <c r="V81" s="19"/>
      <c r="W81" s="2"/>
      <c r="X81" s="2">
        <f t="shared" si="2"/>
        <v>253585.0700000003</v>
      </c>
      <c r="Y81" s="2"/>
      <c r="Z81" s="19">
        <f t="shared" si="3"/>
        <v>3.5633179675918017E-2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--4293.35</f>
        <v>4293.3500000000004</v>
      </c>
      <c r="E82" s="2"/>
      <c r="F82" s="19"/>
      <c r="G82" s="2"/>
      <c r="H82" s="2">
        <f>--6226.42</f>
        <v>6226.42</v>
      </c>
      <c r="I82" s="2"/>
      <c r="J82" s="19"/>
      <c r="K82" s="2"/>
      <c r="L82" s="2">
        <f t="shared" si="0"/>
        <v>-1933.0699999999997</v>
      </c>
      <c r="M82" s="2"/>
      <c r="N82" s="19">
        <f t="shared" si="1"/>
        <v>-0.31046251296892913</v>
      </c>
      <c r="O82" s="11"/>
      <c r="P82" s="2">
        <f>--34634.8</f>
        <v>34634.800000000003</v>
      </c>
      <c r="Q82" s="2"/>
      <c r="R82" s="19"/>
      <c r="S82" s="2"/>
      <c r="T82" s="2">
        <f>--40503.52</f>
        <v>40503.519999999997</v>
      </c>
      <c r="U82" s="2"/>
      <c r="V82" s="19"/>
      <c r="W82" s="2"/>
      <c r="X82" s="2">
        <f t="shared" si="2"/>
        <v>-5868.7199999999939</v>
      </c>
      <c r="Y82" s="2"/>
      <c r="Z82" s="19">
        <f t="shared" si="3"/>
        <v>-0.14489407340399044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--13493.38</f>
        <v>13493.38</v>
      </c>
      <c r="E83" s="2"/>
      <c r="F83" s="19"/>
      <c r="G83" s="2"/>
      <c r="H83" s="2">
        <f>--14682.73</f>
        <v>14682.73</v>
      </c>
      <c r="I83" s="2"/>
      <c r="J83" s="19"/>
      <c r="K83" s="2"/>
      <c r="L83" s="2">
        <f t="shared" si="0"/>
        <v>-1189.3500000000004</v>
      </c>
      <c r="M83" s="2"/>
      <c r="N83" s="19">
        <f t="shared" si="1"/>
        <v>-8.1003328400100008E-2</v>
      </c>
      <c r="O83" s="11"/>
      <c r="P83" s="2">
        <f>--232316.54</f>
        <v>232316.54</v>
      </c>
      <c r="Q83" s="2"/>
      <c r="R83" s="19"/>
      <c r="S83" s="2"/>
      <c r="T83" s="2">
        <f>--199936.26</f>
        <v>199936.26</v>
      </c>
      <c r="U83" s="2"/>
      <c r="V83" s="19"/>
      <c r="W83" s="2"/>
      <c r="X83" s="2">
        <f t="shared" si="2"/>
        <v>32380.28</v>
      </c>
      <c r="Y83" s="2"/>
      <c r="Z83" s="19">
        <f t="shared" si="3"/>
        <v>0.16195301442569746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>--63957.35</f>
        <v>63957.35</v>
      </c>
      <c r="E84" s="2"/>
      <c r="F84" s="19"/>
      <c r="G84" s="2"/>
      <c r="H84" s="2">
        <f>--71062.1</f>
        <v>71062.100000000006</v>
      </c>
      <c r="I84" s="2"/>
      <c r="J84" s="19"/>
      <c r="K84" s="2"/>
      <c r="L84" s="2">
        <f t="shared" si="0"/>
        <v>-7104.7500000000073</v>
      </c>
      <c r="M84" s="2"/>
      <c r="N84" s="19">
        <f t="shared" si="1"/>
        <v>-9.9979454589718103E-2</v>
      </c>
      <c r="O84" s="11"/>
      <c r="P84" s="2">
        <f>--488454.35</f>
        <v>488454.35</v>
      </c>
      <c r="Q84" s="2"/>
      <c r="R84" s="19"/>
      <c r="S84" s="2"/>
      <c r="T84" s="2">
        <f>--452410.09</f>
        <v>452410.09</v>
      </c>
      <c r="U84" s="2"/>
      <c r="V84" s="19"/>
      <c r="W84" s="2"/>
      <c r="X84" s="2">
        <f t="shared" si="2"/>
        <v>36044.259999999951</v>
      </c>
      <c r="Y84" s="2"/>
      <c r="Z84" s="19">
        <f t="shared" si="3"/>
        <v>7.9671653653878391E-2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>--45728.68</f>
        <v>45728.68</v>
      </c>
      <c r="E85" s="2"/>
      <c r="F85" s="19"/>
      <c r="G85" s="2"/>
      <c r="H85" s="2">
        <f>--47902.06</f>
        <v>47902.06</v>
      </c>
      <c r="I85" s="2"/>
      <c r="J85" s="19"/>
      <c r="K85" s="2"/>
      <c r="L85" s="2">
        <f t="shared" si="0"/>
        <v>-2173.3799999999974</v>
      </c>
      <c r="M85" s="2"/>
      <c r="N85" s="19">
        <f t="shared" si="1"/>
        <v>-4.53713264105969E-2</v>
      </c>
      <c r="O85" s="11"/>
      <c r="P85" s="2">
        <f>--318615.94</f>
        <v>318615.94</v>
      </c>
      <c r="Q85" s="2"/>
      <c r="R85" s="19"/>
      <c r="S85" s="2"/>
      <c r="T85" s="2">
        <f>--312383.86</f>
        <v>312383.86</v>
      </c>
      <c r="U85" s="2"/>
      <c r="V85" s="19"/>
      <c r="W85" s="2"/>
      <c r="X85" s="2">
        <f t="shared" si="2"/>
        <v>6232.0800000000163</v>
      </c>
      <c r="Y85" s="2"/>
      <c r="Z85" s="19">
        <f t="shared" si="3"/>
        <v>1.9950070403765473E-2</v>
      </c>
    </row>
    <row r="86" spans="1:26" s="24" customFormat="1" hidden="1" outlineLevel="1" x14ac:dyDescent="0.25">
      <c r="A86" s="44"/>
      <c r="B86" s="11" t="str">
        <f>CONCATENATE("          ", "4159", " - ", "NON-TAXABLE SALES-FOOD")</f>
        <v xml:space="preserve">          4159 - NON-TAXABLE SALES-FOOD</v>
      </c>
      <c r="C86" s="11"/>
      <c r="D86" s="2">
        <f t="shared" ref="D86:D87" si="6">0</f>
        <v>0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0</f>
        <v>0</v>
      </c>
      <c r="Q86" s="2"/>
      <c r="R86" s="19"/>
      <c r="S86" s="2"/>
      <c r="T86" s="2">
        <f>--1054.9</f>
        <v>1054.9000000000001</v>
      </c>
      <c r="U86" s="2"/>
      <c r="V86" s="19"/>
      <c r="W86" s="2"/>
      <c r="X86" s="2">
        <f t="shared" si="2"/>
        <v>-1054.9000000000001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"4181", " - ", "NON-TAXABLE SALES-ELECTRONICS")</f>
        <v xml:space="preserve">          4181 - NON-TAXABLE SALES-ELECTRONICS</v>
      </c>
      <c r="C87" s="11"/>
      <c r="D87" s="2">
        <f t="shared" si="6"/>
        <v>0</v>
      </c>
      <c r="E87" s="2"/>
      <c r="F87" s="19"/>
      <c r="G87" s="2"/>
      <c r="H87" s="2">
        <f>--4487.6</f>
        <v>4487.6000000000004</v>
      </c>
      <c r="I87" s="2"/>
      <c r="J87" s="19"/>
      <c r="K87" s="2"/>
      <c r="L87" s="2">
        <f t="shared" si="0"/>
        <v>-4487.6000000000004</v>
      </c>
      <c r="M87" s="2"/>
      <c r="N87" s="19">
        <f t="shared" si="1"/>
        <v>-1</v>
      </c>
      <c r="O87" s="11"/>
      <c r="P87" s="2">
        <f>--1462.51</f>
        <v>1462.51</v>
      </c>
      <c r="Q87" s="2"/>
      <c r="R87" s="19"/>
      <c r="S87" s="2"/>
      <c r="T87" s="2">
        <f>--6266.46</f>
        <v>6266.46</v>
      </c>
      <c r="U87" s="2"/>
      <c r="V87" s="19"/>
      <c r="W87" s="2"/>
      <c r="X87" s="2">
        <f t="shared" si="2"/>
        <v>-4803.95</v>
      </c>
      <c r="Y87" s="2"/>
      <c r="Z87" s="19">
        <f t="shared" si="3"/>
        <v>-0.76661304787711082</v>
      </c>
    </row>
    <row r="88" spans="1:26" s="24" customFormat="1" hidden="1" outlineLevel="1" x14ac:dyDescent="0.25">
      <c r="A88" s="44"/>
      <c r="B88" s="11" t="str">
        <f>CONCATENATE("          ", "4182", " - ", "NON-TAXABLE SALES-COMPUTER HAR")</f>
        <v xml:space="preserve">          4182 - NON-TAXABLE SALES-COMPUTER HAR</v>
      </c>
      <c r="C88" s="11"/>
      <c r="D88" s="2">
        <f>--8486</f>
        <v>8486</v>
      </c>
      <c r="E88" s="2"/>
      <c r="F88" s="19"/>
      <c r="G88" s="2"/>
      <c r="H88" s="2">
        <f>--17809</f>
        <v>17809</v>
      </c>
      <c r="I88" s="2"/>
      <c r="J88" s="19"/>
      <c r="K88" s="2"/>
      <c r="L88" s="2">
        <f t="shared" si="0"/>
        <v>-9323</v>
      </c>
      <c r="M88" s="2"/>
      <c r="N88" s="19">
        <f t="shared" si="1"/>
        <v>-0.52349935425908245</v>
      </c>
      <c r="O88" s="11"/>
      <c r="P88" s="2">
        <f>--70795</f>
        <v>70795</v>
      </c>
      <c r="Q88" s="2"/>
      <c r="R88" s="19"/>
      <c r="S88" s="2"/>
      <c r="T88" s="2">
        <f>--166621.85</f>
        <v>166621.85</v>
      </c>
      <c r="U88" s="2"/>
      <c r="V88" s="19"/>
      <c r="W88" s="2"/>
      <c r="X88" s="2">
        <f t="shared" si="2"/>
        <v>-95826.85</v>
      </c>
      <c r="Y88" s="2"/>
      <c r="Z88" s="19">
        <f t="shared" si="3"/>
        <v>-0.57511574862480519</v>
      </c>
    </row>
    <row r="89" spans="1:26" s="24" customFormat="1" hidden="1" outlineLevel="1" x14ac:dyDescent="0.25">
      <c r="A89" s="44"/>
      <c r="B89" s="11" t="str">
        <f>CONCATENATE("          ", "4183", " - ", "NON-TAXABLE SALES-COMPUTER EQU")</f>
        <v xml:space="preserve">          4183 - NON-TAXABLE SALES-COMPUTER EQU</v>
      </c>
      <c r="C89" s="11"/>
      <c r="D89" s="2">
        <f>--266.75</f>
        <v>266.75</v>
      </c>
      <c r="E89" s="2"/>
      <c r="F89" s="19"/>
      <c r="G89" s="2"/>
      <c r="H89" s="2">
        <f>--829.73</f>
        <v>829.73</v>
      </c>
      <c r="I89" s="2"/>
      <c r="J89" s="19"/>
      <c r="K89" s="2"/>
      <c r="L89" s="2">
        <f t="shared" si="0"/>
        <v>-562.98</v>
      </c>
      <c r="M89" s="2"/>
      <c r="N89" s="19">
        <f t="shared" si="1"/>
        <v>-0.67850987670688057</v>
      </c>
      <c r="O89" s="11"/>
      <c r="P89" s="2">
        <f>--3571.63</f>
        <v>3571.63</v>
      </c>
      <c r="Q89" s="2"/>
      <c r="R89" s="19"/>
      <c r="S89" s="2"/>
      <c r="T89" s="2">
        <f>--5430.48</f>
        <v>5430.48</v>
      </c>
      <c r="U89" s="2"/>
      <c r="V89" s="19"/>
      <c r="W89" s="2"/>
      <c r="X89" s="2">
        <f t="shared" si="2"/>
        <v>-1858.8499999999995</v>
      </c>
      <c r="Y89" s="2"/>
      <c r="Z89" s="19">
        <f t="shared" si="3"/>
        <v>-0.34229939158232781</v>
      </c>
    </row>
    <row r="90" spans="1:26" s="24" customFormat="1" hidden="1" outlineLevel="1" x14ac:dyDescent="0.25">
      <c r="A90" s="44"/>
      <c r="B90" s="11" t="str">
        <f>CONCATENATE("          ", "4184", " - ", "NON-TAXABLE SALES-SOFTWARE LIC")</f>
        <v xml:space="preserve">          4184 - NON-TAXABLE SALES-SOFTWARE LIC</v>
      </c>
      <c r="C90" s="11"/>
      <c r="D90" s="2">
        <f>0</f>
        <v>0</v>
      </c>
      <c r="E90" s="2"/>
      <c r="F90" s="19"/>
      <c r="G90" s="2"/>
      <c r="H90" s="2">
        <f>--129</f>
        <v>129</v>
      </c>
      <c r="I90" s="2"/>
      <c r="J90" s="19"/>
      <c r="K90" s="2"/>
      <c r="L90" s="2">
        <f t="shared" si="0"/>
        <v>-129</v>
      </c>
      <c r="M90" s="2"/>
      <c r="N90" s="19">
        <f t="shared" si="1"/>
        <v>-1</v>
      </c>
      <c r="O90" s="11"/>
      <c r="P90" s="2">
        <f>--2728</f>
        <v>2728</v>
      </c>
      <c r="Q90" s="2"/>
      <c r="R90" s="19"/>
      <c r="S90" s="2"/>
      <c r="T90" s="2">
        <f>--486</f>
        <v>486</v>
      </c>
      <c r="U90" s="2"/>
      <c r="V90" s="19"/>
      <c r="W90" s="2"/>
      <c r="X90" s="2">
        <f t="shared" si="2"/>
        <v>2242</v>
      </c>
      <c r="Y90" s="2"/>
      <c r="Z90" s="19">
        <f t="shared" si="3"/>
        <v>4.6131687242798352</v>
      </c>
    </row>
    <row r="91" spans="1:26" s="24" customFormat="1" hidden="1" outlineLevel="1" x14ac:dyDescent="0.25">
      <c r="A91" s="44"/>
      <c r="B91" s="11" t="str">
        <f>CONCATENATE("          ", "4185", " - ", "NON-TAXABLE SALES-SOFTWARE")</f>
        <v xml:space="preserve">          4185 - NON-TAXABLE SALES-SOFTWARE</v>
      </c>
      <c r="C91" s="11"/>
      <c r="D91" s="2">
        <f>--437.97</f>
        <v>437.97</v>
      </c>
      <c r="E91" s="2"/>
      <c r="F91" s="19"/>
      <c r="G91" s="2"/>
      <c r="H91" s="2">
        <f>--275</f>
        <v>275</v>
      </c>
      <c r="I91" s="2"/>
      <c r="J91" s="19"/>
      <c r="K91" s="2"/>
      <c r="L91" s="2">
        <f t="shared" si="0"/>
        <v>162.97000000000003</v>
      </c>
      <c r="M91" s="2"/>
      <c r="N91" s="19">
        <f t="shared" si="1"/>
        <v>0.59261818181818193</v>
      </c>
      <c r="O91" s="11"/>
      <c r="P91" s="2">
        <f>--9401.84</f>
        <v>9401.84</v>
      </c>
      <c r="Q91" s="2"/>
      <c r="R91" s="19"/>
      <c r="S91" s="2"/>
      <c r="T91" s="2">
        <f>--2924.91</f>
        <v>2924.91</v>
      </c>
      <c r="U91" s="2"/>
      <c r="V91" s="19"/>
      <c r="W91" s="2"/>
      <c r="X91" s="2">
        <f t="shared" si="2"/>
        <v>6476.93</v>
      </c>
      <c r="Y91" s="2"/>
      <c r="Z91" s="19">
        <f t="shared" si="3"/>
        <v>2.2144031782174496</v>
      </c>
    </row>
    <row r="92" spans="1:26" s="24" customFormat="1" hidden="1" outlineLevel="1" x14ac:dyDescent="0.25">
      <c r="A92" s="44"/>
      <c r="B92" s="11" t="str">
        <f>CONCATENATE("          ", "4186", " - ", "NON-TAXABLE SALES-COMPUTER SUP")</f>
        <v xml:space="preserve">          4186 - NON-TAXABLE SALES-COMPUTER SUP</v>
      </c>
      <c r="C92" s="11"/>
      <c r="D92" s="2">
        <f>--49.99</f>
        <v>49.99</v>
      </c>
      <c r="E92" s="2"/>
      <c r="F92" s="19"/>
      <c r="G92" s="2"/>
      <c r="H92" s="2">
        <f>--46.01</f>
        <v>46.01</v>
      </c>
      <c r="I92" s="2"/>
      <c r="J92" s="19"/>
      <c r="K92" s="2"/>
      <c r="L92" s="2">
        <f t="shared" si="0"/>
        <v>3.980000000000004</v>
      </c>
      <c r="M92" s="2"/>
      <c r="N92" s="19">
        <f t="shared" si="1"/>
        <v>8.6502934144751228E-2</v>
      </c>
      <c r="O92" s="11"/>
      <c r="P92" s="2">
        <f>--1622.39</f>
        <v>1622.39</v>
      </c>
      <c r="Q92" s="2"/>
      <c r="R92" s="19"/>
      <c r="S92" s="2"/>
      <c r="T92" s="2">
        <f>--2877.05</f>
        <v>2877.05</v>
      </c>
      <c r="U92" s="2"/>
      <c r="V92" s="19"/>
      <c r="W92" s="2"/>
      <c r="X92" s="2">
        <f t="shared" si="2"/>
        <v>-1254.6600000000001</v>
      </c>
      <c r="Y92" s="2"/>
      <c r="Z92" s="19">
        <f t="shared" si="3"/>
        <v>-0.43609252532976489</v>
      </c>
    </row>
    <row r="93" spans="1:26" s="24" customFormat="1" hidden="1" outlineLevel="1" x14ac:dyDescent="0.25">
      <c r="A93" s="44"/>
      <c r="B93" s="11" t="str">
        <f>CONCATENATE("          ", "4188", " - ", "NON-TAXABLE SALES-MUSIC")</f>
        <v xml:space="preserve">          4188 - NON-TAXABLE SALES-MUSIC</v>
      </c>
      <c r="C93" s="11"/>
      <c r="D93" s="2">
        <f>0</f>
        <v>0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--219.96</f>
        <v>219.96</v>
      </c>
      <c r="Q93" s="2"/>
      <c r="R93" s="19"/>
      <c r="S93" s="2"/>
      <c r="T93" s="2">
        <f>--199.98</f>
        <v>199.98</v>
      </c>
      <c r="U93" s="2"/>
      <c r="V93" s="19"/>
      <c r="W93" s="2"/>
      <c r="X93" s="2">
        <f t="shared" si="2"/>
        <v>19.980000000000018</v>
      </c>
      <c r="Y93" s="2"/>
      <c r="Z93" s="19">
        <f t="shared" si="3"/>
        <v>9.9909990999100001E-2</v>
      </c>
    </row>
    <row r="94" spans="1:26" s="24" customFormat="1" hidden="1" outlineLevel="1" x14ac:dyDescent="0.25">
      <c r="A94" s="44"/>
      <c r="B94" s="11" t="str">
        <f>CONCATENATE("          ", "4201", " - ", "SALES RETURN TAXABLE-NEW TEXT")</f>
        <v xml:space="preserve">          4201 - SALES RETURN TAXABLE-NEW TEXT</v>
      </c>
      <c r="C94" s="11"/>
      <c r="D94" s="2">
        <f>-631.8</f>
        <v>-631.79999999999995</v>
      </c>
      <c r="E94" s="2"/>
      <c r="F94" s="19"/>
      <c r="G94" s="2"/>
      <c r="H94" s="2">
        <f>-1458.3</f>
        <v>-1458.3</v>
      </c>
      <c r="I94" s="2"/>
      <c r="J94" s="19"/>
      <c r="K94" s="2"/>
      <c r="L94" s="2">
        <f t="shared" si="0"/>
        <v>826.5</v>
      </c>
      <c r="M94" s="2"/>
      <c r="N94" s="19">
        <f t="shared" si="1"/>
        <v>-0.56675581156140709</v>
      </c>
      <c r="O94" s="11"/>
      <c r="P94" s="2">
        <f>-78730.37</f>
        <v>-78730.37</v>
      </c>
      <c r="Q94" s="2"/>
      <c r="R94" s="19"/>
      <c r="S94" s="2"/>
      <c r="T94" s="2">
        <f>-114020.87</f>
        <v>-114020.87</v>
      </c>
      <c r="U94" s="2"/>
      <c r="V94" s="19"/>
      <c r="W94" s="2"/>
      <c r="X94" s="2">
        <f t="shared" si="2"/>
        <v>35290.5</v>
      </c>
      <c r="Y94" s="2"/>
      <c r="Z94" s="19">
        <f t="shared" si="3"/>
        <v>-0.30950912758339766</v>
      </c>
    </row>
    <row r="95" spans="1:26" s="24" customFormat="1" hidden="1" outlineLevel="1" x14ac:dyDescent="0.25">
      <c r="A95" s="44"/>
      <c r="B95" s="11" t="str">
        <f>CONCATENATE("          ", "4202", " - ", "SALES RETURN TAXABLE-USED TEXT")</f>
        <v xml:space="preserve">          4202 - SALES RETURN TAXABLE-USED TEXT</v>
      </c>
      <c r="C95" s="11"/>
      <c r="D95" s="2">
        <f>-166.15</f>
        <v>-166.15</v>
      </c>
      <c r="E95" s="2"/>
      <c r="F95" s="19"/>
      <c r="G95" s="2"/>
      <c r="H95" s="2">
        <f>-493.55</f>
        <v>-493.55</v>
      </c>
      <c r="I95" s="2"/>
      <c r="J95" s="19"/>
      <c r="K95" s="2"/>
      <c r="L95" s="2">
        <f t="shared" si="0"/>
        <v>327.39999999999998</v>
      </c>
      <c r="M95" s="2"/>
      <c r="N95" s="19">
        <f t="shared" si="1"/>
        <v>-0.66335730928983883</v>
      </c>
      <c r="O95" s="11"/>
      <c r="P95" s="2">
        <f>-27208.35</f>
        <v>-27208.35</v>
      </c>
      <c r="Q95" s="2"/>
      <c r="R95" s="19"/>
      <c r="S95" s="2"/>
      <c r="T95" s="2">
        <f>-29961.95</f>
        <v>-29961.95</v>
      </c>
      <c r="U95" s="2"/>
      <c r="V95" s="19"/>
      <c r="W95" s="2"/>
      <c r="X95" s="2">
        <f t="shared" si="2"/>
        <v>2753.6000000000022</v>
      </c>
      <c r="Y95" s="2"/>
      <c r="Z95" s="19">
        <f t="shared" si="3"/>
        <v>-9.1903230597474531E-2</v>
      </c>
    </row>
    <row r="96" spans="1:26" s="24" customFormat="1" hidden="1" outlineLevel="1" x14ac:dyDescent="0.25">
      <c r="A96" s="44"/>
      <c r="B96" s="11" t="str">
        <f>CONCATENATE("          ", "4203", " - ", "SALES RETURN TAXABLE-RENTAL TE")</f>
        <v xml:space="preserve">          4203 - SALES RETURN TAXABLE-RENTAL TE</v>
      </c>
      <c r="C96" s="11"/>
      <c r="D96" s="2">
        <f t="shared" ref="D96:D98" si="7">0</f>
        <v>0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-144.99</f>
        <v>-144.99</v>
      </c>
      <c r="Q96" s="2"/>
      <c r="R96" s="19"/>
      <c r="S96" s="2"/>
      <c r="T96" s="2">
        <f>-1699.5</f>
        <v>-1699.5</v>
      </c>
      <c r="U96" s="2"/>
      <c r="V96" s="19"/>
      <c r="W96" s="2"/>
      <c r="X96" s="2">
        <f t="shared" si="2"/>
        <v>1554.51</v>
      </c>
      <c r="Y96" s="2"/>
      <c r="Z96" s="19">
        <f t="shared" si="3"/>
        <v>-0.9146866725507502</v>
      </c>
    </row>
    <row r="97" spans="1:26" s="24" customFormat="1" hidden="1" outlineLevel="1" x14ac:dyDescent="0.25">
      <c r="A97" s="44"/>
      <c r="B97" s="11" t="str">
        <f>CONCATENATE("          ", "4204", " - ", "SALES RETURN TAXABLE-DIGITAL T")</f>
        <v xml:space="preserve">          4204 - SALES RETURN TAXABLE-DIGITAL T</v>
      </c>
      <c r="C97" s="11"/>
      <c r="D97" s="2">
        <f t="shared" si="7"/>
        <v>0</v>
      </c>
      <c r="E97" s="2"/>
      <c r="F97" s="19"/>
      <c r="G97" s="2"/>
      <c r="H97" s="2">
        <f>-56.78</f>
        <v>-56.78</v>
      </c>
      <c r="I97" s="2"/>
      <c r="J97" s="19"/>
      <c r="K97" s="2"/>
      <c r="L97" s="2">
        <f t="shared" si="0"/>
        <v>56.78</v>
      </c>
      <c r="M97" s="2"/>
      <c r="N97" s="19">
        <f t="shared" si="1"/>
        <v>-1</v>
      </c>
      <c r="O97" s="11"/>
      <c r="P97" s="2">
        <f>-11369.46</f>
        <v>-11369.46</v>
      </c>
      <c r="Q97" s="2"/>
      <c r="R97" s="19"/>
      <c r="S97" s="2"/>
      <c r="T97" s="2">
        <f>-16043.85</f>
        <v>-16043.85</v>
      </c>
      <c r="U97" s="2"/>
      <c r="V97" s="19"/>
      <c r="W97" s="2"/>
      <c r="X97" s="2">
        <f t="shared" si="2"/>
        <v>4674.3900000000012</v>
      </c>
      <c r="Y97" s="2"/>
      <c r="Z97" s="19">
        <f t="shared" si="3"/>
        <v>-0.29135089146308407</v>
      </c>
    </row>
    <row r="98" spans="1:26" s="24" customFormat="1" hidden="1" outlineLevel="1" x14ac:dyDescent="0.25">
      <c r="A98" s="44"/>
      <c r="B98" s="11" t="str">
        <f>CONCATENATE("          ", "4213", " - ", "NON-TAXABLE SALES-TRADE BOOKS")</f>
        <v xml:space="preserve">          4213 - NON-TAXABLE SALES-TRADE BOOKS</v>
      </c>
      <c r="C98" s="11"/>
      <c r="D98" s="2">
        <f t="shared" si="7"/>
        <v>0</v>
      </c>
      <c r="E98" s="2"/>
      <c r="F98" s="19"/>
      <c r="G98" s="2"/>
      <c r="H98" s="2">
        <f t="shared" ref="H98:H100" si="8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-102.71</f>
        <v>-102.71</v>
      </c>
      <c r="Q98" s="2"/>
      <c r="R98" s="19"/>
      <c r="S98" s="2"/>
      <c r="T98" s="2">
        <f>-96.96</f>
        <v>-96.96</v>
      </c>
      <c r="U98" s="2"/>
      <c r="V98" s="19"/>
      <c r="W98" s="2"/>
      <c r="X98" s="2">
        <f t="shared" si="2"/>
        <v>-5.75</v>
      </c>
      <c r="Y98" s="2"/>
      <c r="Z98" s="19">
        <f t="shared" si="3"/>
        <v>5.9302805280528059E-2</v>
      </c>
    </row>
    <row r="99" spans="1:26" s="24" customFormat="1" hidden="1" outlineLevel="1" x14ac:dyDescent="0.25">
      <c r="A99" s="44"/>
      <c r="B99" s="11" t="str">
        <f>CONCATENATE("          ", "4214", " - ", "SALES RETURN TAXABLE-REMAINDER")</f>
        <v xml:space="preserve">          4214 - SALES RETURN TAXABLE-REMAINDER</v>
      </c>
      <c r="C99" s="11"/>
      <c r="D99" s="2">
        <f>-11.94</f>
        <v>-11.94</v>
      </c>
      <c r="E99" s="2"/>
      <c r="F99" s="19"/>
      <c r="G99" s="2"/>
      <c r="H99" s="2">
        <f t="shared" si="8"/>
        <v>0</v>
      </c>
      <c r="I99" s="2"/>
      <c r="J99" s="19"/>
      <c r="K99" s="2"/>
      <c r="L99" s="2">
        <f t="shared" si="0"/>
        <v>-11.94</v>
      </c>
      <c r="M99" s="2"/>
      <c r="N99" s="19">
        <f t="shared" si="1"/>
        <v>0</v>
      </c>
      <c r="O99" s="11"/>
      <c r="P99" s="2">
        <f>-11.94</f>
        <v>-11.94</v>
      </c>
      <c r="Q99" s="2"/>
      <c r="R99" s="19"/>
      <c r="S99" s="2"/>
      <c r="T99" s="2">
        <f>-3.95</f>
        <v>-3.95</v>
      </c>
      <c r="U99" s="2"/>
      <c r="V99" s="19"/>
      <c r="W99" s="2"/>
      <c r="X99" s="2">
        <f t="shared" si="2"/>
        <v>-7.9899999999999993</v>
      </c>
      <c r="Y99" s="2"/>
      <c r="Z99" s="19">
        <f t="shared" si="3"/>
        <v>2.022784810126582</v>
      </c>
    </row>
    <row r="100" spans="1:26" s="24" customFormat="1" hidden="1" outlineLevel="1" x14ac:dyDescent="0.25">
      <c r="A100" s="44"/>
      <c r="B100" s="11" t="str">
        <f>CONCATENATE("          ", "4217", " - ", "NON-TAXABLE SALES-DORM/HOUSEWA")</f>
        <v xml:space="preserve">          4217 - NON-TAXABLE SALES-DORM/HOUSEWA</v>
      </c>
      <c r="C100" s="11"/>
      <c r="D100" s="2">
        <f t="shared" ref="D100:D101" si="9">0</f>
        <v>0</v>
      </c>
      <c r="E100" s="2"/>
      <c r="F100" s="19"/>
      <c r="G100" s="2"/>
      <c r="H100" s="2">
        <f t="shared" si="8"/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-2.98</f>
        <v>-2.98</v>
      </c>
      <c r="Q100" s="2"/>
      <c r="R100" s="19"/>
      <c r="S100" s="2"/>
      <c r="T100" s="2">
        <f>-1.5</f>
        <v>-1.5</v>
      </c>
      <c r="U100" s="2"/>
      <c r="V100" s="19"/>
      <c r="W100" s="2"/>
      <c r="X100" s="2">
        <f t="shared" si="2"/>
        <v>-1.48</v>
      </c>
      <c r="Y100" s="2"/>
      <c r="Z100" s="19">
        <f t="shared" si="3"/>
        <v>0.98666666666666669</v>
      </c>
    </row>
    <row r="101" spans="1:26" s="24" customFormat="1" hidden="1" outlineLevel="1" x14ac:dyDescent="0.25">
      <c r="A101" s="44"/>
      <c r="B101" s="11" t="str">
        <f>CONCATENATE("          ", "4218", " - ", "SALES RETURN TAXABLE-STUDY GUI")</f>
        <v xml:space="preserve">          4218 - SALES RETURN TAXABLE-STUDY GUI</v>
      </c>
      <c r="C101" s="11"/>
      <c r="D101" s="2">
        <f t="shared" si="9"/>
        <v>0</v>
      </c>
      <c r="E101" s="2"/>
      <c r="F101" s="19"/>
      <c r="G101" s="2"/>
      <c r="H101" s="2">
        <f>-16.9</f>
        <v>-16.899999999999999</v>
      </c>
      <c r="I101" s="2"/>
      <c r="J101" s="19"/>
      <c r="K101" s="2"/>
      <c r="L101" s="2">
        <f t="shared" si="0"/>
        <v>16.899999999999999</v>
      </c>
      <c r="M101" s="2"/>
      <c r="N101" s="19">
        <f t="shared" si="1"/>
        <v>-1</v>
      </c>
      <c r="O101" s="11"/>
      <c r="P101" s="2">
        <f>-32.75</f>
        <v>-32.75</v>
      </c>
      <c r="Q101" s="2"/>
      <c r="R101" s="19"/>
      <c r="S101" s="2"/>
      <c r="T101" s="2">
        <f>-39.8</f>
        <v>-39.799999999999997</v>
      </c>
      <c r="U101" s="2"/>
      <c r="V101" s="19"/>
      <c r="W101" s="2"/>
      <c r="X101" s="2">
        <f t="shared" si="2"/>
        <v>7.0499999999999972</v>
      </c>
      <c r="Y101" s="2"/>
      <c r="Z101" s="19">
        <f t="shared" si="3"/>
        <v>-0.17713567839195973</v>
      </c>
    </row>
    <row r="102" spans="1:26" s="24" customFormat="1" hidden="1" outlineLevel="1" x14ac:dyDescent="0.25">
      <c r="A102" s="44"/>
      <c r="B102" s="11" t="str">
        <f>CONCATENATE("          ", "4225", " - ", "SALES RETURN TAXABLE-TEST FORM")</f>
        <v xml:space="preserve">          4225 - SALES RETURN TAXABLE-TEST FORM</v>
      </c>
      <c r="C102" s="11"/>
      <c r="D102" s="2">
        <f>-15.51</f>
        <v>-15.51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-15.51</v>
      </c>
      <c r="M102" s="2"/>
      <c r="N102" s="19">
        <f t="shared" si="1"/>
        <v>0</v>
      </c>
      <c r="O102" s="11"/>
      <c r="P102" s="2">
        <f>-80.97</f>
        <v>-80.97</v>
      </c>
      <c r="Q102" s="2"/>
      <c r="R102" s="19"/>
      <c r="S102" s="2"/>
      <c r="T102" s="2">
        <f>-62.42</f>
        <v>-62.42</v>
      </c>
      <c r="U102" s="2"/>
      <c r="V102" s="19"/>
      <c r="W102" s="2"/>
      <c r="X102" s="2">
        <f t="shared" si="2"/>
        <v>-18.549999999999997</v>
      </c>
      <c r="Y102" s="2"/>
      <c r="Z102" s="19">
        <f t="shared" si="3"/>
        <v>0.29718039090035242</v>
      </c>
    </row>
    <row r="103" spans="1:26" s="24" customFormat="1" hidden="1" outlineLevel="1" x14ac:dyDescent="0.25">
      <c r="A103" s="44"/>
      <c r="B103" s="11" t="str">
        <f>CONCATENATE("          ", "4226", " - ", "SALES RETURN TAXABLE-WRITING I")</f>
        <v xml:space="preserve">          4226 - SALES RETURN TAXABLE-WRITING I</v>
      </c>
      <c r="C103" s="11"/>
      <c r="D103" s="2">
        <f>-41.65</f>
        <v>-41.65</v>
      </c>
      <c r="E103" s="2"/>
      <c r="F103" s="19"/>
      <c r="G103" s="2"/>
      <c r="H103" s="2">
        <f>-23.11</f>
        <v>-23.11</v>
      </c>
      <c r="I103" s="2"/>
      <c r="J103" s="19"/>
      <c r="K103" s="2"/>
      <c r="L103" s="2">
        <f t="shared" si="0"/>
        <v>-18.54</v>
      </c>
      <c r="M103" s="2"/>
      <c r="N103" s="19">
        <f t="shared" si="1"/>
        <v>0.8022501081782778</v>
      </c>
      <c r="O103" s="11"/>
      <c r="P103" s="2">
        <f>-531.36</f>
        <v>-531.36</v>
      </c>
      <c r="Q103" s="2"/>
      <c r="R103" s="19"/>
      <c r="S103" s="2"/>
      <c r="T103" s="2">
        <f>-284.54</f>
        <v>-284.54000000000002</v>
      </c>
      <c r="U103" s="2"/>
      <c r="V103" s="19"/>
      <c r="W103" s="2"/>
      <c r="X103" s="2">
        <f t="shared" si="2"/>
        <v>-246.82</v>
      </c>
      <c r="Y103" s="2"/>
      <c r="Z103" s="19">
        <f t="shared" si="3"/>
        <v>0.86743515850144082</v>
      </c>
    </row>
    <row r="104" spans="1:26" s="24" customFormat="1" hidden="1" outlineLevel="1" x14ac:dyDescent="0.25">
      <c r="A104" s="44"/>
      <c r="B104" s="11" t="str">
        <f>CONCATENATE("          ", "4227", " - ", "SALES RETURN TAXABLE-SCHOOL SU")</f>
        <v xml:space="preserve">          4227 - SALES RETURN TAXABLE-SCHOOL SU</v>
      </c>
      <c r="C104" s="11"/>
      <c r="D104" s="2">
        <f>-204.76</f>
        <v>-204.76</v>
      </c>
      <c r="E104" s="2"/>
      <c r="F104" s="19"/>
      <c r="G104" s="2"/>
      <c r="H104" s="2">
        <f>-195.37</f>
        <v>-195.37</v>
      </c>
      <c r="I104" s="2"/>
      <c r="J104" s="19"/>
      <c r="K104" s="2"/>
      <c r="L104" s="2">
        <f t="shared" si="0"/>
        <v>-9.3899999999999864</v>
      </c>
      <c r="M104" s="2"/>
      <c r="N104" s="19">
        <f t="shared" si="1"/>
        <v>4.8062650355735204E-2</v>
      </c>
      <c r="O104" s="11"/>
      <c r="P104" s="2">
        <f>-5948.58</f>
        <v>-5948.58</v>
      </c>
      <c r="Q104" s="2"/>
      <c r="R104" s="19"/>
      <c r="S104" s="2"/>
      <c r="T104" s="2">
        <f>-2694.37</f>
        <v>-2694.37</v>
      </c>
      <c r="U104" s="2"/>
      <c r="V104" s="19"/>
      <c r="W104" s="2"/>
      <c r="X104" s="2">
        <f t="shared" si="2"/>
        <v>-3254.21</v>
      </c>
      <c r="Y104" s="2"/>
      <c r="Z104" s="19">
        <f t="shared" si="3"/>
        <v>1.2077814108678466</v>
      </c>
    </row>
    <row r="105" spans="1:26" s="24" customFormat="1" hidden="1" outlineLevel="1" x14ac:dyDescent="0.25">
      <c r="A105" s="44"/>
      <c r="B105" s="11" t="str">
        <f>CONCATENATE("          ", "4228", " - ", "SALES RETURN TAXABLE-ART/TECH")</f>
        <v xml:space="preserve">          4228 - SALES RETURN TAXABLE-ART/TECH</v>
      </c>
      <c r="C105" s="11"/>
      <c r="D105" s="2">
        <f>-277.33</f>
        <v>-277.33</v>
      </c>
      <c r="E105" s="2"/>
      <c r="F105" s="19"/>
      <c r="G105" s="2"/>
      <c r="H105" s="2">
        <f>-450.83</f>
        <v>-450.83</v>
      </c>
      <c r="I105" s="2"/>
      <c r="J105" s="19"/>
      <c r="K105" s="2"/>
      <c r="L105" s="2">
        <f t="shared" si="0"/>
        <v>173.5</v>
      </c>
      <c r="M105" s="2"/>
      <c r="N105" s="19">
        <f t="shared" si="1"/>
        <v>-0.38484572898875408</v>
      </c>
      <c r="O105" s="11"/>
      <c r="P105" s="2">
        <f>-3148.62</f>
        <v>-3148.62</v>
      </c>
      <c r="Q105" s="2"/>
      <c r="R105" s="19"/>
      <c r="S105" s="2"/>
      <c r="T105" s="2">
        <f>-4598.8</f>
        <v>-4598.8</v>
      </c>
      <c r="U105" s="2"/>
      <c r="V105" s="19"/>
      <c r="W105" s="2"/>
      <c r="X105" s="2">
        <f t="shared" si="2"/>
        <v>1450.1800000000003</v>
      </c>
      <c r="Y105" s="2"/>
      <c r="Z105" s="19">
        <f t="shared" si="3"/>
        <v>-0.31533878403061671</v>
      </c>
    </row>
    <row r="106" spans="1:26" s="24" customFormat="1" hidden="1" outlineLevel="1" x14ac:dyDescent="0.25">
      <c r="A106" s="44"/>
      <c r="B106" s="11" t="str">
        <f>CONCATENATE("          ", "4233", " - ", "SALES RETURN TAXABLE-CANDY")</f>
        <v xml:space="preserve">          4233 - SALES RETURN TAXABLE-CANDY</v>
      </c>
      <c r="C106" s="11"/>
      <c r="D106" s="2">
        <f>0</f>
        <v>0</v>
      </c>
      <c r="E106" s="2"/>
      <c r="F106" s="19"/>
      <c r="G106" s="2"/>
      <c r="H106" s="2">
        <f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-1.29</f>
        <v>-1.29</v>
      </c>
      <c r="Q106" s="2"/>
      <c r="R106" s="19"/>
      <c r="S106" s="2"/>
      <c r="T106" s="2">
        <f>-3.58</f>
        <v>-3.58</v>
      </c>
      <c r="U106" s="2"/>
      <c r="V106" s="19"/>
      <c r="W106" s="2"/>
      <c r="X106" s="2">
        <f t="shared" si="2"/>
        <v>2.29</v>
      </c>
      <c r="Y106" s="2"/>
      <c r="Z106" s="19">
        <f t="shared" si="3"/>
        <v>-0.63966480446927376</v>
      </c>
    </row>
    <row r="107" spans="1:26" s="24" customFormat="1" hidden="1" outlineLevel="1" x14ac:dyDescent="0.25">
      <c r="A107" s="44"/>
      <c r="B107" s="11" t="str">
        <f>CONCATENATE("          ", "4240", " - ", "SALES RETURN TAXABLE-LOGO CLOT")</f>
        <v xml:space="preserve">          4240 - SALES RETURN TAXABLE-LOGO CLOT</v>
      </c>
      <c r="C107" s="11"/>
      <c r="D107" s="2">
        <f>-8212.91</f>
        <v>-8212.91</v>
      </c>
      <c r="E107" s="2"/>
      <c r="F107" s="19"/>
      <c r="G107" s="2"/>
      <c r="H107" s="2">
        <f>-12111.55</f>
        <v>-12111.55</v>
      </c>
      <c r="I107" s="2"/>
      <c r="J107" s="19"/>
      <c r="K107" s="2"/>
      <c r="L107" s="2">
        <f t="shared" si="0"/>
        <v>3898.6399999999994</v>
      </c>
      <c r="M107" s="2"/>
      <c r="N107" s="19">
        <f t="shared" si="1"/>
        <v>-0.3218943900656811</v>
      </c>
      <c r="O107" s="11"/>
      <c r="P107" s="2">
        <f>-49321.94</f>
        <v>-49321.94</v>
      </c>
      <c r="Q107" s="2"/>
      <c r="R107" s="19"/>
      <c r="S107" s="2"/>
      <c r="T107" s="2">
        <f>-48708.08</f>
        <v>-48708.08</v>
      </c>
      <c r="U107" s="2"/>
      <c r="V107" s="19"/>
      <c r="W107" s="2"/>
      <c r="X107" s="2">
        <f t="shared" si="2"/>
        <v>-613.86000000000058</v>
      </c>
      <c r="Y107" s="2"/>
      <c r="Z107" s="19">
        <f t="shared" si="3"/>
        <v>1.2602837147348049E-2</v>
      </c>
    </row>
    <row r="108" spans="1:26" s="24" customFormat="1" hidden="1" outlineLevel="1" x14ac:dyDescent="0.25">
      <c r="A108" s="44"/>
      <c r="B108" s="11" t="str">
        <f>CONCATENATE("          ", "4241", " - ", "SALES RETURN TAXABLE-LOGO GIFT")</f>
        <v xml:space="preserve">          4241 - SALES RETURN TAXABLE-LOGO GIFT</v>
      </c>
      <c r="C108" s="11"/>
      <c r="D108" s="2">
        <f>-939.28</f>
        <v>-939.28</v>
      </c>
      <c r="E108" s="2"/>
      <c r="F108" s="19"/>
      <c r="G108" s="2"/>
      <c r="H108" s="2">
        <f>-909.08</f>
        <v>-909.08</v>
      </c>
      <c r="I108" s="2"/>
      <c r="J108" s="19"/>
      <c r="K108" s="2"/>
      <c r="L108" s="2">
        <f t="shared" si="0"/>
        <v>-30.199999999999932</v>
      </c>
      <c r="M108" s="2"/>
      <c r="N108" s="19">
        <f t="shared" si="1"/>
        <v>3.3220398644783662E-2</v>
      </c>
      <c r="O108" s="11"/>
      <c r="P108" s="2">
        <f>-4148.87</f>
        <v>-4148.87</v>
      </c>
      <c r="Q108" s="2"/>
      <c r="R108" s="19"/>
      <c r="S108" s="2"/>
      <c r="T108" s="2">
        <f>-4700.64</f>
        <v>-4700.6400000000003</v>
      </c>
      <c r="U108" s="2"/>
      <c r="V108" s="19"/>
      <c r="W108" s="2"/>
      <c r="X108" s="2">
        <f t="shared" si="2"/>
        <v>551.77000000000044</v>
      </c>
      <c r="Y108" s="2"/>
      <c r="Z108" s="19">
        <f t="shared" si="3"/>
        <v>-0.11738188842370409</v>
      </c>
    </row>
    <row r="109" spans="1:26" s="24" customFormat="1" hidden="1" outlineLevel="1" x14ac:dyDescent="0.25">
      <c r="A109" s="44"/>
      <c r="B109" s="11" t="str">
        <f>CONCATENATE("          ", "4242", " - ", "SALES RETURN TAXABLE-EVERYDAY")</f>
        <v xml:space="preserve">          4242 - SALES RETURN TAXABLE-EVERYDAY</v>
      </c>
      <c r="C109" s="11"/>
      <c r="D109" s="2">
        <f>-1097.55</f>
        <v>-1097.55</v>
      </c>
      <c r="E109" s="2"/>
      <c r="F109" s="19"/>
      <c r="G109" s="2"/>
      <c r="H109" s="2">
        <f>-407.79</f>
        <v>-407.79</v>
      </c>
      <c r="I109" s="2"/>
      <c r="J109" s="19"/>
      <c r="K109" s="2"/>
      <c r="L109" s="2">
        <f t="shared" si="0"/>
        <v>-689.76</v>
      </c>
      <c r="M109" s="2"/>
      <c r="N109" s="19">
        <f t="shared" si="1"/>
        <v>1.6914588391083645</v>
      </c>
      <c r="O109" s="11"/>
      <c r="P109" s="2">
        <f>-2789.42</f>
        <v>-2789.42</v>
      </c>
      <c r="Q109" s="2"/>
      <c r="R109" s="19"/>
      <c r="S109" s="2"/>
      <c r="T109" s="2">
        <f>-1717.09</f>
        <v>-1717.09</v>
      </c>
      <c r="U109" s="2"/>
      <c r="V109" s="19"/>
      <c r="W109" s="2"/>
      <c r="X109" s="2">
        <f t="shared" si="2"/>
        <v>-1072.3300000000002</v>
      </c>
      <c r="Y109" s="2"/>
      <c r="Z109" s="19">
        <f t="shared" si="3"/>
        <v>0.62450424846688302</v>
      </c>
    </row>
    <row r="110" spans="1:26" s="24" customFormat="1" hidden="1" outlineLevel="1" x14ac:dyDescent="0.25">
      <c r="A110" s="44"/>
      <c r="B110" s="11" t="str">
        <f>CONCATENATE("          ", "4243", " - ", "SALES RETURN TAXABLE-CARDS")</f>
        <v xml:space="preserve">          4243 - SALES RETURN TAXABLE-CARDS</v>
      </c>
      <c r="C110" s="11"/>
      <c r="D110" s="2">
        <f>-558.63</f>
        <v>-558.63</v>
      </c>
      <c r="E110" s="2"/>
      <c r="F110" s="19"/>
      <c r="G110" s="2"/>
      <c r="H110" s="2">
        <f>-5.99</f>
        <v>-5.99</v>
      </c>
      <c r="I110" s="2"/>
      <c r="J110" s="19"/>
      <c r="K110" s="2"/>
      <c r="L110" s="2">
        <f t="shared" si="0"/>
        <v>-552.64</v>
      </c>
      <c r="M110" s="2"/>
      <c r="N110" s="19">
        <f t="shared" si="1"/>
        <v>92.26043405676127</v>
      </c>
      <c r="O110" s="11"/>
      <c r="P110" s="2">
        <f>-879.47</f>
        <v>-879.47</v>
      </c>
      <c r="Q110" s="2"/>
      <c r="R110" s="19"/>
      <c r="S110" s="2"/>
      <c r="T110" s="2">
        <f>-25.94</f>
        <v>-25.94</v>
      </c>
      <c r="U110" s="2"/>
      <c r="V110" s="19"/>
      <c r="W110" s="2"/>
      <c r="X110" s="2">
        <f t="shared" si="2"/>
        <v>-853.53</v>
      </c>
      <c r="Y110" s="2"/>
      <c r="Z110" s="19">
        <f t="shared" si="3"/>
        <v>32.904009252120275</v>
      </c>
    </row>
    <row r="111" spans="1:26" s="24" customFormat="1" hidden="1" outlineLevel="1" x14ac:dyDescent="0.25">
      <c r="A111" s="44"/>
      <c r="B111" s="11" t="str">
        <f>CONCATENATE("          ", "4244", " - ", "SALES RETURN TAXABLE-ACCESSORI")</f>
        <v xml:space="preserve">          4244 - SALES RETURN TAXABLE-ACCESSORI</v>
      </c>
      <c r="C111" s="11"/>
      <c r="D111" s="2">
        <f>-202.71</f>
        <v>-202.71</v>
      </c>
      <c r="E111" s="2"/>
      <c r="F111" s="19"/>
      <c r="G111" s="2"/>
      <c r="H111" s="2">
        <f>-154.5</f>
        <v>-154.5</v>
      </c>
      <c r="I111" s="2"/>
      <c r="J111" s="19"/>
      <c r="K111" s="2"/>
      <c r="L111" s="2">
        <f t="shared" si="0"/>
        <v>-48.210000000000008</v>
      </c>
      <c r="M111" s="2"/>
      <c r="N111" s="19">
        <f t="shared" si="1"/>
        <v>0.31203883495145635</v>
      </c>
      <c r="O111" s="11"/>
      <c r="P111" s="2">
        <f>-1731.77</f>
        <v>-1731.77</v>
      </c>
      <c r="Q111" s="2"/>
      <c r="R111" s="19"/>
      <c r="S111" s="2"/>
      <c r="T111" s="2">
        <f>-2744.37</f>
        <v>-2744.37</v>
      </c>
      <c r="U111" s="2"/>
      <c r="V111" s="19"/>
      <c r="W111" s="2"/>
      <c r="X111" s="2">
        <f t="shared" si="2"/>
        <v>1012.5999999999999</v>
      </c>
      <c r="Y111" s="2"/>
      <c r="Z111" s="19">
        <f t="shared" si="3"/>
        <v>-0.36897357134788672</v>
      </c>
    </row>
    <row r="112" spans="1:26" s="24" customFormat="1" hidden="1" outlineLevel="1" x14ac:dyDescent="0.25">
      <c r="A112" s="44"/>
      <c r="B112" s="11" t="str">
        <f>CONCATENATE("          ", "4245", " - ", "SALES RETURN TAXABLE-SPECIAL O")</f>
        <v xml:space="preserve">          4245 - SALES RETURN TAXABLE-SPECIAL O</v>
      </c>
      <c r="C112" s="11"/>
      <c r="D112" s="2">
        <f>0</f>
        <v>0</v>
      </c>
      <c r="E112" s="2"/>
      <c r="F112" s="19"/>
      <c r="G112" s="2"/>
      <c r="H112" s="2">
        <f>-5.91</f>
        <v>-5.91</v>
      </c>
      <c r="I112" s="2"/>
      <c r="J112" s="19"/>
      <c r="K112" s="2"/>
      <c r="L112" s="2">
        <f t="shared" si="0"/>
        <v>5.91</v>
      </c>
      <c r="M112" s="2"/>
      <c r="N112" s="19">
        <f t="shared" si="1"/>
        <v>-1</v>
      </c>
      <c r="O112" s="11"/>
      <c r="P112" s="2">
        <f>-91.96</f>
        <v>-91.96</v>
      </c>
      <c r="Q112" s="2"/>
      <c r="R112" s="19"/>
      <c r="S112" s="2"/>
      <c r="T112" s="2">
        <f>-225.7</f>
        <v>-225.7</v>
      </c>
      <c r="U112" s="2"/>
      <c r="V112" s="19"/>
      <c r="W112" s="2"/>
      <c r="X112" s="2">
        <f t="shared" si="2"/>
        <v>133.74</v>
      </c>
      <c r="Y112" s="2"/>
      <c r="Z112" s="19">
        <f t="shared" si="3"/>
        <v>-0.59255649091714668</v>
      </c>
    </row>
    <row r="113" spans="1:26" s="24" customFormat="1" hidden="1" outlineLevel="1" x14ac:dyDescent="0.25">
      <c r="A113" s="44"/>
      <c r="B113" s="11" t="str">
        <f>CONCATENATE("          ", "4281", " - ", "SALES RETURN TAXABLE-ELECTRONI")</f>
        <v xml:space="preserve">          4281 - SALES RETURN TAXABLE-ELECTRONI</v>
      </c>
      <c r="C113" s="11"/>
      <c r="D113" s="2">
        <f>-814.9</f>
        <v>-814.9</v>
      </c>
      <c r="E113" s="2"/>
      <c r="F113" s="19"/>
      <c r="G113" s="2"/>
      <c r="H113" s="2">
        <f>-1014.74</f>
        <v>-1014.74</v>
      </c>
      <c r="I113" s="2"/>
      <c r="J113" s="19"/>
      <c r="K113" s="2"/>
      <c r="L113" s="2">
        <f t="shared" si="0"/>
        <v>199.84000000000003</v>
      </c>
      <c r="M113" s="2"/>
      <c r="N113" s="19">
        <f t="shared" si="1"/>
        <v>-0.1969371464611625</v>
      </c>
      <c r="O113" s="11"/>
      <c r="P113" s="2">
        <f>-5861.96</f>
        <v>-5861.96</v>
      </c>
      <c r="Q113" s="2"/>
      <c r="R113" s="19"/>
      <c r="S113" s="2"/>
      <c r="T113" s="2">
        <f>-5527.76</f>
        <v>-5527.76</v>
      </c>
      <c r="U113" s="2"/>
      <c r="V113" s="19"/>
      <c r="W113" s="2"/>
      <c r="X113" s="2">
        <f t="shared" si="2"/>
        <v>-334.19999999999982</v>
      </c>
      <c r="Y113" s="2"/>
      <c r="Z113" s="19">
        <f t="shared" si="3"/>
        <v>6.0458485896638027E-2</v>
      </c>
    </row>
    <row r="114" spans="1:26" s="24" customFormat="1" hidden="1" outlineLevel="1" x14ac:dyDescent="0.25">
      <c r="A114" s="44"/>
      <c r="B114" s="11" t="str">
        <f>CONCATENATE("          ", "4282", " - ", "SALES RETURN TAXABLE-COMPUTER")</f>
        <v xml:space="preserve">          4282 - SALES RETURN TAXABLE-COMPUTER</v>
      </c>
      <c r="C114" s="11"/>
      <c r="D114" s="2">
        <f>-7175.99</f>
        <v>-7175.99</v>
      </c>
      <c r="E114" s="2"/>
      <c r="F114" s="19"/>
      <c r="G114" s="2"/>
      <c r="H114" s="2">
        <f>-7470.3</f>
        <v>-7470.3</v>
      </c>
      <c r="I114" s="2"/>
      <c r="J114" s="19"/>
      <c r="K114" s="2"/>
      <c r="L114" s="2">
        <f t="shared" si="0"/>
        <v>294.3100000000004</v>
      </c>
      <c r="M114" s="2"/>
      <c r="N114" s="19">
        <f t="shared" si="1"/>
        <v>-3.9397346826767383E-2</v>
      </c>
      <c r="O114" s="11"/>
      <c r="P114" s="2">
        <f>-187653.58</f>
        <v>-187653.58</v>
      </c>
      <c r="Q114" s="2"/>
      <c r="R114" s="19"/>
      <c r="S114" s="2"/>
      <c r="T114" s="2">
        <f>-45046.97</f>
        <v>-45046.97</v>
      </c>
      <c r="U114" s="2"/>
      <c r="V114" s="19"/>
      <c r="W114" s="2"/>
      <c r="X114" s="2">
        <f t="shared" si="2"/>
        <v>-142606.60999999999</v>
      </c>
      <c r="Y114" s="2"/>
      <c r="Z114" s="19">
        <f t="shared" si="3"/>
        <v>3.1657314576318893</v>
      </c>
    </row>
    <row r="115" spans="1:26" s="24" customFormat="1" hidden="1" outlineLevel="1" x14ac:dyDescent="0.25">
      <c r="A115" s="44"/>
      <c r="B115" s="11" t="str">
        <f>CONCATENATE("          ", "4283", " - ", "SALES RETURN TAXABLE-COMPUTER")</f>
        <v xml:space="preserve">          4283 - SALES RETURN TAXABLE-COMPUTER</v>
      </c>
      <c r="C115" s="11"/>
      <c r="D115" s="2">
        <f>-325.91</f>
        <v>-325.91000000000003</v>
      </c>
      <c r="E115" s="2"/>
      <c r="F115" s="19"/>
      <c r="G115" s="2"/>
      <c r="H115" s="2">
        <f>-396.94</f>
        <v>-396.94</v>
      </c>
      <c r="I115" s="2"/>
      <c r="J115" s="19"/>
      <c r="K115" s="2"/>
      <c r="L115" s="2">
        <f t="shared" si="0"/>
        <v>71.029999999999973</v>
      </c>
      <c r="M115" s="2"/>
      <c r="N115" s="19">
        <f t="shared" si="1"/>
        <v>-0.1789439209956164</v>
      </c>
      <c r="O115" s="11"/>
      <c r="P115" s="2">
        <f>-3282.15</f>
        <v>-3282.15</v>
      </c>
      <c r="Q115" s="2"/>
      <c r="R115" s="19"/>
      <c r="S115" s="2"/>
      <c r="T115" s="2">
        <f>-4005.47</f>
        <v>-4005.47</v>
      </c>
      <c r="U115" s="2"/>
      <c r="V115" s="19"/>
      <c r="W115" s="2"/>
      <c r="X115" s="2">
        <f t="shared" si="2"/>
        <v>723.31999999999971</v>
      </c>
      <c r="Y115" s="2"/>
      <c r="Z115" s="19">
        <f t="shared" si="3"/>
        <v>-0.18058305267546623</v>
      </c>
    </row>
    <row r="116" spans="1:26" s="24" customFormat="1" hidden="1" outlineLevel="1" x14ac:dyDescent="0.25">
      <c r="A116" s="44"/>
      <c r="B116" s="11" t="str">
        <f>CONCATENATE("          ", "4284", " - ", "SALES RETURN TAXABLE-SOFTWARE")</f>
        <v xml:space="preserve">          4284 - SALES RETURN TAXABLE-SOFTWARE</v>
      </c>
      <c r="C116" s="11"/>
      <c r="D116" s="2">
        <f t="shared" ref="D116:D117" si="10">0</f>
        <v>0</v>
      </c>
      <c r="E116" s="2"/>
      <c r="F116" s="19"/>
      <c r="G116" s="2"/>
      <c r="H116" s="2">
        <f t="shared" ref="H116:H117" si="11"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-129</f>
        <v>-129</v>
      </c>
      <c r="Q116" s="2"/>
      <c r="R116" s="19"/>
      <c r="S116" s="2"/>
      <c r="T116" s="2">
        <f t="shared" ref="T116:T117" si="12">0</f>
        <v>0</v>
      </c>
      <c r="U116" s="2"/>
      <c r="V116" s="19"/>
      <c r="W116" s="2"/>
      <c r="X116" s="2">
        <f t="shared" si="2"/>
        <v>-129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"4285", " - ", "SALES RETURN TAXABLE-SOFTWARE")</f>
        <v xml:space="preserve">          4285 - SALES RETURN TAXABLE-SOFTWARE</v>
      </c>
      <c r="C117" s="11"/>
      <c r="D117" s="2">
        <f t="shared" si="10"/>
        <v>0</v>
      </c>
      <c r="E117" s="2"/>
      <c r="F117" s="19"/>
      <c r="G117" s="2"/>
      <c r="H117" s="2">
        <f t="shared" si="11"/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-655.98</f>
        <v>-655.98</v>
      </c>
      <c r="Q117" s="2"/>
      <c r="R117" s="19"/>
      <c r="S117" s="2"/>
      <c r="T117" s="2">
        <f t="shared" si="12"/>
        <v>0</v>
      </c>
      <c r="U117" s="2"/>
      <c r="V117" s="19"/>
      <c r="W117" s="2"/>
      <c r="X117" s="2">
        <f t="shared" si="2"/>
        <v>-655.98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"4286", " - ", "SALES RETURN TAXABLE-COMPUTER")</f>
        <v xml:space="preserve">          4286 - SALES RETURN TAXABLE-COMPUTER</v>
      </c>
      <c r="C118" s="11"/>
      <c r="D118" s="2">
        <f>-195.9</f>
        <v>-195.9</v>
      </c>
      <c r="E118" s="2"/>
      <c r="F118" s="19"/>
      <c r="G118" s="2"/>
      <c r="H118" s="2">
        <f>-424.13</f>
        <v>-424.13</v>
      </c>
      <c r="I118" s="2"/>
      <c r="J118" s="19"/>
      <c r="K118" s="2"/>
      <c r="L118" s="2">
        <f t="shared" si="0"/>
        <v>228.23</v>
      </c>
      <c r="M118" s="2"/>
      <c r="N118" s="19">
        <f t="shared" si="1"/>
        <v>-0.53811331431400744</v>
      </c>
      <c r="O118" s="11"/>
      <c r="P118" s="2">
        <f>-2987.89</f>
        <v>-2987.89</v>
      </c>
      <c r="Q118" s="2"/>
      <c r="R118" s="19"/>
      <c r="S118" s="2"/>
      <c r="T118" s="2">
        <f>-2937.75</f>
        <v>-2937.75</v>
      </c>
      <c r="U118" s="2"/>
      <c r="V118" s="19"/>
      <c r="W118" s="2"/>
      <c r="X118" s="2">
        <f t="shared" si="2"/>
        <v>-50.139999999999873</v>
      </c>
      <c r="Y118" s="2"/>
      <c r="Z118" s="19">
        <f t="shared" si="3"/>
        <v>1.7067483618415411E-2</v>
      </c>
    </row>
    <row r="119" spans="1:26" s="24" customFormat="1" hidden="1" outlineLevel="1" x14ac:dyDescent="0.25">
      <c r="A119" s="44"/>
      <c r="B119" s="11" t="str">
        <f>CONCATENATE("          ", "4288", " - ", "TAXABLE SALES RETURN-MUSIC")</f>
        <v xml:space="preserve">          4288 - TAXABLE SALES RETURN-MUSIC</v>
      </c>
      <c r="C119" s="11"/>
      <c r="D119" s="2">
        <f t="shared" ref="D119:D122" si="13">0</f>
        <v>0</v>
      </c>
      <c r="E119" s="2"/>
      <c r="F119" s="19"/>
      <c r="G119" s="2"/>
      <c r="H119" s="2">
        <f>0</f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-3.99</f>
        <v>-3.99</v>
      </c>
      <c r="Q119" s="2"/>
      <c r="R119" s="19"/>
      <c r="S119" s="2"/>
      <c r="T119" s="2">
        <f>0</f>
        <v>0</v>
      </c>
      <c r="U119" s="2"/>
      <c r="V119" s="19"/>
      <c r="W119" s="2"/>
      <c r="X119" s="2">
        <f t="shared" si="2"/>
        <v>-3.99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"4292", " - ", "SALES RETURN TAXABLE-GRAD MERC")</f>
        <v xml:space="preserve">          4292 - SALES RETURN TAXABLE-GRAD MERC</v>
      </c>
      <c r="C120" s="11"/>
      <c r="D120" s="2">
        <f t="shared" si="13"/>
        <v>0</v>
      </c>
      <c r="E120" s="2"/>
      <c r="F120" s="19"/>
      <c r="G120" s="2"/>
      <c r="H120" s="2">
        <f>-60</f>
        <v>-60</v>
      </c>
      <c r="I120" s="2"/>
      <c r="J120" s="19"/>
      <c r="K120" s="2"/>
      <c r="L120" s="2">
        <f t="shared" si="0"/>
        <v>60</v>
      </c>
      <c r="M120" s="2"/>
      <c r="N120" s="19">
        <f t="shared" si="1"/>
        <v>-1</v>
      </c>
      <c r="O120" s="11"/>
      <c r="P120" s="2">
        <f>-419.05</f>
        <v>-419.05</v>
      </c>
      <c r="Q120" s="2"/>
      <c r="R120" s="19"/>
      <c r="S120" s="2"/>
      <c r="T120" s="2">
        <f>-548.24</f>
        <v>-548.24</v>
      </c>
      <c r="U120" s="2"/>
      <c r="V120" s="19"/>
      <c r="W120" s="2"/>
      <c r="X120" s="2">
        <f t="shared" si="2"/>
        <v>129.19</v>
      </c>
      <c r="Y120" s="2"/>
      <c r="Z120" s="19">
        <f t="shared" si="3"/>
        <v>-0.23564497300452356</v>
      </c>
    </row>
    <row r="121" spans="1:26" s="24" customFormat="1" hidden="1" outlineLevel="1" x14ac:dyDescent="0.25">
      <c r="A121" s="44"/>
      <c r="B121" s="11" t="str">
        <f>CONCATENATE("          ", "4295", " - ", "SALES RETURN TAXABLE-CUSTOMER")</f>
        <v xml:space="preserve">          4295 - SALES RETURN TAXABLE-CUSTOMER</v>
      </c>
      <c r="C121" s="11"/>
      <c r="D121" s="2">
        <f t="shared" si="13"/>
        <v>0</v>
      </c>
      <c r="E121" s="2"/>
      <c r="F121" s="19"/>
      <c r="G121" s="2"/>
      <c r="H121" s="2">
        <f>0</f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--0.99</f>
        <v>0.99</v>
      </c>
      <c r="Q121" s="2"/>
      <c r="R121" s="19"/>
      <c r="S121" s="2"/>
      <c r="T121" s="2">
        <f>-126.72</f>
        <v>-126.72</v>
      </c>
      <c r="U121" s="2"/>
      <c r="V121" s="19"/>
      <c r="W121" s="2"/>
      <c r="X121" s="2">
        <f t="shared" si="2"/>
        <v>127.71</v>
      </c>
      <c r="Y121" s="2"/>
      <c r="Z121" s="19">
        <f t="shared" si="3"/>
        <v>-1.0078125</v>
      </c>
    </row>
    <row r="122" spans="1:26" s="24" customFormat="1" hidden="1" outlineLevel="1" x14ac:dyDescent="0.25">
      <c r="A122" s="44"/>
      <c r="B122" s="11" t="str">
        <f>CONCATENATE("          ", "4301", " - ", "SALES RETURN NON TAXABLE-NEW T")</f>
        <v xml:space="preserve">          4301 - SALES RETURN NON TAXABLE-NEW T</v>
      </c>
      <c r="C122" s="11"/>
      <c r="D122" s="2">
        <f t="shared" si="13"/>
        <v>0</v>
      </c>
      <c r="E122" s="2"/>
      <c r="F122" s="19"/>
      <c r="G122" s="2"/>
      <c r="H122" s="2">
        <f>-5102.08</f>
        <v>-5102.08</v>
      </c>
      <c r="I122" s="2"/>
      <c r="J122" s="19"/>
      <c r="K122" s="2"/>
      <c r="L122" s="2">
        <f t="shared" si="0"/>
        <v>5102.08</v>
      </c>
      <c r="M122" s="2"/>
      <c r="N122" s="19">
        <f t="shared" si="1"/>
        <v>-1</v>
      </c>
      <c r="O122" s="11"/>
      <c r="P122" s="2">
        <f>-12310.98</f>
        <v>-12310.98</v>
      </c>
      <c r="Q122" s="2"/>
      <c r="R122" s="19"/>
      <c r="S122" s="2"/>
      <c r="T122" s="2">
        <f>-30135.07</f>
        <v>-30135.07</v>
      </c>
      <c r="U122" s="2"/>
      <c r="V122" s="19"/>
      <c r="W122" s="2"/>
      <c r="X122" s="2">
        <f t="shared" si="2"/>
        <v>17824.09</v>
      </c>
      <c r="Y122" s="2"/>
      <c r="Z122" s="19">
        <f t="shared" si="3"/>
        <v>-0.59147332327417856</v>
      </c>
    </row>
    <row r="123" spans="1:26" s="24" customFormat="1" hidden="1" outlineLevel="1" x14ac:dyDescent="0.25">
      <c r="A123" s="44"/>
      <c r="B123" s="11" t="str">
        <f>CONCATENATE("          ", "4302", " - ", "SALES RETURN NON TAXABLE-TEXT")</f>
        <v xml:space="preserve">          4302 - SALES RETURN NON TAXABLE-TEXT</v>
      </c>
      <c r="C123" s="11"/>
      <c r="D123" s="2">
        <f>-14.1</f>
        <v>-14.1</v>
      </c>
      <c r="E123" s="2"/>
      <c r="F123" s="19"/>
      <c r="G123" s="2"/>
      <c r="H123" s="2">
        <f>-307.4</f>
        <v>-307.39999999999998</v>
      </c>
      <c r="I123" s="2"/>
      <c r="J123" s="19"/>
      <c r="K123" s="2"/>
      <c r="L123" s="2">
        <f t="shared" si="0"/>
        <v>293.29999999999995</v>
      </c>
      <c r="M123" s="2"/>
      <c r="N123" s="19">
        <f t="shared" si="1"/>
        <v>-0.9541314248536108</v>
      </c>
      <c r="O123" s="11"/>
      <c r="P123" s="2">
        <f>-697.9</f>
        <v>-697.9</v>
      </c>
      <c r="Q123" s="2"/>
      <c r="R123" s="19"/>
      <c r="S123" s="2"/>
      <c r="T123" s="2">
        <f>-2513.44</f>
        <v>-2513.44</v>
      </c>
      <c r="U123" s="2"/>
      <c r="V123" s="19"/>
      <c r="W123" s="2"/>
      <c r="X123" s="2">
        <f t="shared" si="2"/>
        <v>1815.54</v>
      </c>
      <c r="Y123" s="2"/>
      <c r="Z123" s="19">
        <f t="shared" si="3"/>
        <v>-0.72233273919409258</v>
      </c>
    </row>
    <row r="124" spans="1:26" s="24" customFormat="1" hidden="1" outlineLevel="1" x14ac:dyDescent="0.25">
      <c r="A124" s="44"/>
      <c r="B124" s="11" t="str">
        <f>CONCATENATE("          ", "4303", " - ", "SALES RETURN NON-TAXABLE-RENTA")</f>
        <v xml:space="preserve">          4303 - SALES RETURN NON-TAXABLE-RENTA</v>
      </c>
      <c r="C124" s="11"/>
      <c r="D124" s="2">
        <f>0</f>
        <v>0</v>
      </c>
      <c r="E124" s="2"/>
      <c r="F124" s="19"/>
      <c r="G124" s="2"/>
      <c r="H124" s="2">
        <f t="shared" ref="H124:H125" si="14">0</f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-184.99</f>
        <v>-184.99</v>
      </c>
      <c r="Q124" s="2"/>
      <c r="R124" s="19"/>
      <c r="S124" s="2"/>
      <c r="T124" s="2">
        <f>-509.85</f>
        <v>-509.85</v>
      </c>
      <c r="U124" s="2"/>
      <c r="V124" s="19"/>
      <c r="W124" s="2"/>
      <c r="X124" s="2">
        <f t="shared" si="2"/>
        <v>324.86</v>
      </c>
      <c r="Y124" s="2"/>
      <c r="Z124" s="19">
        <f t="shared" si="3"/>
        <v>-0.63716779444934779</v>
      </c>
    </row>
    <row r="125" spans="1:26" s="24" customFormat="1" hidden="1" outlineLevel="1" x14ac:dyDescent="0.25">
      <c r="A125" s="44"/>
      <c r="B125" s="11" t="str">
        <f>CONCATENATE("          ", "4304", " - ", "SALES RETURN NON TAXABLE-DIGIT")</f>
        <v xml:space="preserve">          4304 - SALES RETURN NON TAXABLE-DIGIT</v>
      </c>
      <c r="C125" s="11"/>
      <c r="D125" s="2">
        <f>-226.45</f>
        <v>-226.45</v>
      </c>
      <c r="E125" s="2"/>
      <c r="F125" s="19"/>
      <c r="G125" s="2"/>
      <c r="H125" s="2">
        <f t="shared" si="14"/>
        <v>0</v>
      </c>
      <c r="I125" s="2"/>
      <c r="J125" s="19"/>
      <c r="K125" s="2"/>
      <c r="L125" s="2">
        <f t="shared" si="0"/>
        <v>-226.45</v>
      </c>
      <c r="M125" s="2"/>
      <c r="N125" s="19">
        <f t="shared" si="1"/>
        <v>0</v>
      </c>
      <c r="O125" s="11"/>
      <c r="P125" s="2">
        <f>-13430.32</f>
        <v>-13430.32</v>
      </c>
      <c r="Q125" s="2"/>
      <c r="R125" s="19"/>
      <c r="S125" s="2"/>
      <c r="T125" s="2">
        <f>-3743.75</f>
        <v>-3743.75</v>
      </c>
      <c r="U125" s="2"/>
      <c r="V125" s="19"/>
      <c r="W125" s="2"/>
      <c r="X125" s="2">
        <f t="shared" si="2"/>
        <v>-9686.57</v>
      </c>
      <c r="Y125" s="2"/>
      <c r="Z125" s="19">
        <f t="shared" si="3"/>
        <v>2.5873976627712856</v>
      </c>
    </row>
    <row r="126" spans="1:26" s="24" customFormat="1" hidden="1" outlineLevel="1" x14ac:dyDescent="0.25">
      <c r="A126" s="44"/>
      <c r="B126" s="11" t="str">
        <f>CONCATENATE("          ", "4311", " - ", "SALES RETURN NON TAXABLE-NO VA")</f>
        <v xml:space="preserve">          4311 - SALES RETURN NON TAXABLE-NO VA</v>
      </c>
      <c r="C126" s="11"/>
      <c r="D126" s="2">
        <f t="shared" ref="D126:D128" si="15">0</f>
        <v>0</v>
      </c>
      <c r="E126" s="2"/>
      <c r="F126" s="19"/>
      <c r="G126" s="2"/>
      <c r="H126" s="2">
        <f>-22.98</f>
        <v>-22.98</v>
      </c>
      <c r="I126" s="2"/>
      <c r="J126" s="19"/>
      <c r="K126" s="2"/>
      <c r="L126" s="2">
        <f t="shared" si="0"/>
        <v>22.98</v>
      </c>
      <c r="M126" s="2"/>
      <c r="N126" s="19">
        <f t="shared" si="1"/>
        <v>-1</v>
      </c>
      <c r="O126" s="11"/>
      <c r="P126" s="2">
        <f>-387.96</f>
        <v>-387.96</v>
      </c>
      <c r="Q126" s="2"/>
      <c r="R126" s="19"/>
      <c r="S126" s="2"/>
      <c r="T126" s="2">
        <f>-609.26</f>
        <v>-609.26</v>
      </c>
      <c r="U126" s="2"/>
      <c r="V126" s="19"/>
      <c r="W126" s="2"/>
      <c r="X126" s="2">
        <f t="shared" si="2"/>
        <v>221.3</v>
      </c>
      <c r="Y126" s="2"/>
      <c r="Z126" s="19">
        <f t="shared" si="3"/>
        <v>-0.3632275219118275</v>
      </c>
    </row>
    <row r="127" spans="1:26" s="24" customFormat="1" hidden="1" outlineLevel="1" x14ac:dyDescent="0.25">
      <c r="A127" s="44"/>
      <c r="B127" s="11" t="str">
        <f>CONCATENATE("          ", "4326", " - ", "SALES RETURN NON TAXABLE-WRITI")</f>
        <v xml:space="preserve">          4326 - SALES RETURN NON TAXABLE-WRITI</v>
      </c>
      <c r="C127" s="11"/>
      <c r="D127" s="2">
        <f t="shared" si="15"/>
        <v>0</v>
      </c>
      <c r="E127" s="2"/>
      <c r="F127" s="19"/>
      <c r="G127" s="2"/>
      <c r="H127" s="2">
        <f t="shared" ref="H127:H129" si="16">0</f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0</f>
        <v>0</v>
      </c>
      <c r="Q127" s="2"/>
      <c r="R127" s="19"/>
      <c r="S127" s="2"/>
      <c r="T127" s="2">
        <f>-8.08</f>
        <v>-8.08</v>
      </c>
      <c r="U127" s="2"/>
      <c r="V127" s="19"/>
      <c r="W127" s="2"/>
      <c r="X127" s="2">
        <f t="shared" si="2"/>
        <v>8.08</v>
      </c>
      <c r="Y127" s="2"/>
      <c r="Z127" s="19">
        <f t="shared" si="3"/>
        <v>-1</v>
      </c>
    </row>
    <row r="128" spans="1:26" s="24" customFormat="1" hidden="1" outlineLevel="1" x14ac:dyDescent="0.25">
      <c r="A128" s="44"/>
      <c r="B128" s="11" t="str">
        <f>CONCATENATE("          ", "4327", " - ", "SALES RETURN NON TAXABLE-SCHOO")</f>
        <v xml:space="preserve">          4327 - SALES RETURN NON TAXABLE-SCHOO</v>
      </c>
      <c r="C128" s="11"/>
      <c r="D128" s="2">
        <f t="shared" si="15"/>
        <v>0</v>
      </c>
      <c r="E128" s="2"/>
      <c r="F128" s="19"/>
      <c r="G128" s="2"/>
      <c r="H128" s="2">
        <f t="shared" si="16"/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-21.87</f>
        <v>-21.87</v>
      </c>
      <c r="Q128" s="2"/>
      <c r="R128" s="19"/>
      <c r="S128" s="2"/>
      <c r="T128" s="2">
        <f>0</f>
        <v>0</v>
      </c>
      <c r="U128" s="2"/>
      <c r="V128" s="19"/>
      <c r="W128" s="2"/>
      <c r="X128" s="2">
        <f t="shared" si="2"/>
        <v>-21.87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"4340", " - ", "SALES RETURN NON TAXABLE-LOGO")</f>
        <v xml:space="preserve">          4340 - SALES RETURN NON TAXABLE-LOGO</v>
      </c>
      <c r="C129" s="11"/>
      <c r="D129" s="2">
        <f>-391.5</f>
        <v>-391.5</v>
      </c>
      <c r="E129" s="2"/>
      <c r="F129" s="19"/>
      <c r="G129" s="2"/>
      <c r="H129" s="2">
        <f t="shared" si="16"/>
        <v>0</v>
      </c>
      <c r="I129" s="2"/>
      <c r="J129" s="19"/>
      <c r="K129" s="2"/>
      <c r="L129" s="2">
        <f t="shared" si="0"/>
        <v>-391.5</v>
      </c>
      <c r="M129" s="2"/>
      <c r="N129" s="19">
        <f t="shared" si="1"/>
        <v>0</v>
      </c>
      <c r="O129" s="11"/>
      <c r="P129" s="2">
        <f>-714.9</f>
        <v>-714.9</v>
      </c>
      <c r="Q129" s="2"/>
      <c r="R129" s="19"/>
      <c r="S129" s="2"/>
      <c r="T129" s="2">
        <f>-301.59</f>
        <v>-301.58999999999997</v>
      </c>
      <c r="U129" s="2"/>
      <c r="V129" s="19"/>
      <c r="W129" s="2"/>
      <c r="X129" s="2">
        <f t="shared" si="2"/>
        <v>-413.31</v>
      </c>
      <c r="Y129" s="2"/>
      <c r="Z129" s="19">
        <f t="shared" si="3"/>
        <v>1.3704366855664978</v>
      </c>
    </row>
    <row r="130" spans="1:26" s="24" customFormat="1" hidden="1" outlineLevel="1" x14ac:dyDescent="0.25">
      <c r="A130" s="44"/>
      <c r="B130" s="11" t="str">
        <f>CONCATENATE("          ", "4341", " - ", "SALES RETURN NON TAXABLE-LOGO")</f>
        <v xml:space="preserve">          4341 - SALES RETURN NON TAXABLE-LOGO</v>
      </c>
      <c r="C130" s="11"/>
      <c r="D130" s="2">
        <f>-9.95</f>
        <v>-9.9499999999999993</v>
      </c>
      <c r="E130" s="2"/>
      <c r="F130" s="19"/>
      <c r="G130" s="2"/>
      <c r="H130" s="2">
        <f>-58.85</f>
        <v>-58.85</v>
      </c>
      <c r="I130" s="2"/>
      <c r="J130" s="19"/>
      <c r="K130" s="2"/>
      <c r="L130" s="2">
        <f t="shared" si="0"/>
        <v>48.900000000000006</v>
      </c>
      <c r="M130" s="2"/>
      <c r="N130" s="19">
        <f t="shared" si="1"/>
        <v>-0.83092608326253192</v>
      </c>
      <c r="O130" s="11"/>
      <c r="P130" s="2">
        <f>-20.85</f>
        <v>-20.85</v>
      </c>
      <c r="Q130" s="2"/>
      <c r="R130" s="19"/>
      <c r="S130" s="2"/>
      <c r="T130" s="2">
        <f>-118.85</f>
        <v>-118.85</v>
      </c>
      <c r="U130" s="2"/>
      <c r="V130" s="19"/>
      <c r="W130" s="2"/>
      <c r="X130" s="2">
        <f t="shared" si="2"/>
        <v>98</v>
      </c>
      <c r="Y130" s="2"/>
      <c r="Z130" s="19">
        <f t="shared" si="3"/>
        <v>-0.82456878418174173</v>
      </c>
    </row>
    <row r="131" spans="1:26" s="24" customFormat="1" hidden="1" outlineLevel="1" x14ac:dyDescent="0.25">
      <c r="A131" s="44"/>
      <c r="B131" s="11" t="str">
        <f>CONCATENATE("          ", "4342", " - ", "SALES RETURN NON TAXABLE-EVERY")</f>
        <v xml:space="preserve">          4342 - SALES RETURN NON TAXABLE-EVERY</v>
      </c>
      <c r="C131" s="11"/>
      <c r="D131" s="2">
        <f t="shared" ref="D131:D135" si="17">0</f>
        <v>0</v>
      </c>
      <c r="E131" s="2"/>
      <c r="F131" s="19"/>
      <c r="G131" s="2"/>
      <c r="H131" s="2">
        <f>-68.75</f>
        <v>-68.75</v>
      </c>
      <c r="I131" s="2"/>
      <c r="J131" s="19"/>
      <c r="K131" s="2"/>
      <c r="L131" s="2">
        <f t="shared" si="0"/>
        <v>68.75</v>
      </c>
      <c r="M131" s="2"/>
      <c r="N131" s="19">
        <f t="shared" si="1"/>
        <v>-1</v>
      </c>
      <c r="O131" s="11"/>
      <c r="P131" s="2">
        <f>-109.8</f>
        <v>-109.8</v>
      </c>
      <c r="Q131" s="2"/>
      <c r="R131" s="19"/>
      <c r="S131" s="2"/>
      <c r="T131" s="2">
        <f>-68.75</f>
        <v>-68.75</v>
      </c>
      <c r="U131" s="2"/>
      <c r="V131" s="19"/>
      <c r="W131" s="2"/>
      <c r="X131" s="2">
        <f t="shared" si="2"/>
        <v>-41.05</v>
      </c>
      <c r="Y131" s="2"/>
      <c r="Z131" s="19">
        <f t="shared" si="3"/>
        <v>0.59709090909090901</v>
      </c>
    </row>
    <row r="132" spans="1:26" s="24" customFormat="1" hidden="1" outlineLevel="1" x14ac:dyDescent="0.25">
      <c r="A132" s="44"/>
      <c r="B132" s="11" t="str">
        <f>CONCATENATE("          ", "4346", " - ", "SALES RETURN NON TAXABLE-COIN-")</f>
        <v xml:space="preserve">          4346 - SALES RETURN NON TAXABLE-COIN-</v>
      </c>
      <c r="C132" s="11"/>
      <c r="D132" s="2">
        <f t="shared" si="17"/>
        <v>0</v>
      </c>
      <c r="E132" s="2"/>
      <c r="F132" s="19"/>
      <c r="G132" s="2"/>
      <c r="H132" s="2">
        <f>0</f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-8.15</f>
        <v>-8.15</v>
      </c>
      <c r="Q132" s="2"/>
      <c r="R132" s="19"/>
      <c r="S132" s="2"/>
      <c r="T132" s="2">
        <f>0</f>
        <v>0</v>
      </c>
      <c r="U132" s="2"/>
      <c r="V132" s="19"/>
      <c r="W132" s="2"/>
      <c r="X132" s="2">
        <f t="shared" si="2"/>
        <v>-8.15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"4381", " - ", "SALES RETURN NON TAXABLE-ELECT")</f>
        <v xml:space="preserve">          4381 - SALES RETURN NON TAXABLE-ELECT</v>
      </c>
      <c r="C133" s="11"/>
      <c r="D133" s="2">
        <f t="shared" si="17"/>
        <v>0</v>
      </c>
      <c r="E133" s="2"/>
      <c r="F133" s="19"/>
      <c r="G133" s="2"/>
      <c r="H133" s="2">
        <f>-9.99</f>
        <v>-9.99</v>
      </c>
      <c r="I133" s="2"/>
      <c r="J133" s="19"/>
      <c r="K133" s="2"/>
      <c r="L133" s="2">
        <f t="shared" si="0"/>
        <v>9.99</v>
      </c>
      <c r="M133" s="2"/>
      <c r="N133" s="19">
        <f t="shared" si="1"/>
        <v>-1</v>
      </c>
      <c r="O133" s="11"/>
      <c r="P133" s="2">
        <f>-1279.84</f>
        <v>-1279.8399999999999</v>
      </c>
      <c r="Q133" s="2"/>
      <c r="R133" s="19"/>
      <c r="S133" s="2"/>
      <c r="T133" s="2">
        <f>-9.99</f>
        <v>-9.99</v>
      </c>
      <c r="U133" s="2"/>
      <c r="V133" s="19"/>
      <c r="W133" s="2"/>
      <c r="X133" s="2">
        <f t="shared" si="2"/>
        <v>-1269.8499999999999</v>
      </c>
      <c r="Y133" s="2"/>
      <c r="Z133" s="19">
        <f t="shared" si="3"/>
        <v>127.1121121121121</v>
      </c>
    </row>
    <row r="134" spans="1:26" s="24" customFormat="1" hidden="1" outlineLevel="1" x14ac:dyDescent="0.25">
      <c r="A134" s="44"/>
      <c r="B134" s="11" t="str">
        <f>CONCATENATE("          ", "4383", " - ", "SALES RETURN NON TAXABLE-COMPU")</f>
        <v xml:space="preserve">          4383 - SALES RETURN NON TAXABLE-COMPU</v>
      </c>
      <c r="C134" s="11"/>
      <c r="D134" s="2">
        <f t="shared" si="17"/>
        <v>0</v>
      </c>
      <c r="E134" s="2"/>
      <c r="F134" s="19"/>
      <c r="G134" s="2"/>
      <c r="H134" s="2">
        <f>-39.98</f>
        <v>-39.979999999999997</v>
      </c>
      <c r="I134" s="2"/>
      <c r="J134" s="19"/>
      <c r="K134" s="2"/>
      <c r="L134" s="2">
        <f t="shared" si="0"/>
        <v>39.979999999999997</v>
      </c>
      <c r="M134" s="2"/>
      <c r="N134" s="19">
        <f t="shared" si="1"/>
        <v>-1</v>
      </c>
      <c r="O134" s="11"/>
      <c r="P134" s="2">
        <f>-49.98</f>
        <v>-49.98</v>
      </c>
      <c r="Q134" s="2"/>
      <c r="R134" s="19"/>
      <c r="S134" s="2"/>
      <c r="T134" s="2">
        <f>-53.97</f>
        <v>-53.97</v>
      </c>
      <c r="U134" s="2"/>
      <c r="V134" s="19"/>
      <c r="W134" s="2"/>
      <c r="X134" s="2">
        <f t="shared" si="2"/>
        <v>3.990000000000002</v>
      </c>
      <c r="Y134" s="2"/>
      <c r="Z134" s="19">
        <f t="shared" si="3"/>
        <v>-7.3929961089494206E-2</v>
      </c>
    </row>
    <row r="135" spans="1:26" s="24" customFormat="1" hidden="1" outlineLevel="1" x14ac:dyDescent="0.25">
      <c r="A135" s="44"/>
      <c r="B135" s="11" t="str">
        <f>CONCATENATE("          ", "4386", " - ", "SALES RETURN NON TAXABLE-COMPU")</f>
        <v xml:space="preserve">          4386 - SALES RETURN NON TAXABLE-COMPU</v>
      </c>
      <c r="C135" s="11"/>
      <c r="D135" s="2">
        <f t="shared" si="17"/>
        <v>0</v>
      </c>
      <c r="E135" s="2"/>
      <c r="F135" s="19"/>
      <c r="G135" s="2"/>
      <c r="H135" s="2">
        <f>-49.99</f>
        <v>-49.99</v>
      </c>
      <c r="I135" s="2"/>
      <c r="J135" s="19"/>
      <c r="K135" s="2"/>
      <c r="L135" s="2">
        <f t="shared" si="0"/>
        <v>49.99</v>
      </c>
      <c r="M135" s="2"/>
      <c r="N135" s="19">
        <f t="shared" si="1"/>
        <v>-1</v>
      </c>
      <c r="O135" s="11"/>
      <c r="P135" s="2">
        <f>-54.97</f>
        <v>-54.97</v>
      </c>
      <c r="Q135" s="2"/>
      <c r="R135" s="19"/>
      <c r="S135" s="2"/>
      <c r="T135" s="2">
        <f>-49.99</f>
        <v>-49.99</v>
      </c>
      <c r="U135" s="2"/>
      <c r="V135" s="19"/>
      <c r="W135" s="2"/>
      <c r="X135" s="2">
        <f t="shared" si="2"/>
        <v>-4.9799999999999969</v>
      </c>
      <c r="Y135" s="2"/>
      <c r="Z135" s="19">
        <f t="shared" si="3"/>
        <v>9.9619923984796896E-2</v>
      </c>
    </row>
    <row r="136" spans="1:26" x14ac:dyDescent="0.25">
      <c r="A136" s="9"/>
      <c r="B136" s="10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collapsed="1" x14ac:dyDescent="0.25">
      <c r="A137" s="10"/>
      <c r="B137" s="28" t="s">
        <v>8</v>
      </c>
      <c r="C137" s="10"/>
      <c r="D137" s="4">
        <f>SUM(OSRRefD16x_0)</f>
        <v>694087.80999999982</v>
      </c>
      <c r="E137" s="4"/>
      <c r="F137" s="12">
        <f t="shared" ref="F137:F196" si="18">IF(D$12=0,0,D137/D$12)</f>
        <v>0.34994475278121834</v>
      </c>
      <c r="G137" s="4"/>
      <c r="H137" s="4">
        <f>SUM(OSRRefH16x_0)</f>
        <v>866327.47999999986</v>
      </c>
      <c r="I137" s="4"/>
      <c r="J137" s="12">
        <f t="shared" ref="J137:J196" si="19">IF(H$12=0,0,H137/H$12)</f>
        <v>0.3610947537139092</v>
      </c>
      <c r="K137" s="4"/>
      <c r="L137" s="4">
        <f t="shared" ref="L137:L196" si="20">+D137-H137</f>
        <v>-172239.67000000004</v>
      </c>
      <c r="M137" s="4"/>
      <c r="N137" s="12">
        <f t="shared" ref="N137:N196" si="21">IF(H137=0,0,L137/H137)</f>
        <v>-0.19881589119163121</v>
      </c>
      <c r="O137" s="10"/>
      <c r="P137" s="4">
        <f>SUM(OSRRefP16x_0)</f>
        <v>7881801.9899999984</v>
      </c>
      <c r="Q137" s="4"/>
      <c r="R137" s="12">
        <f t="shared" ref="R137:R196" si="22">IF(P$12=0,0,P137/P$12)</f>
        <v>0.43599267851771084</v>
      </c>
      <c r="S137" s="4"/>
      <c r="T137" s="4">
        <f>SUM(OSRRefT16x_0)</f>
        <v>8047721.9199999999</v>
      </c>
      <c r="U137" s="4"/>
      <c r="V137" s="12">
        <f t="shared" ref="V137:V196" si="23">IF(T$12=0,0,T137/T$12)</f>
        <v>0.4389205145283025</v>
      </c>
      <c r="W137" s="4"/>
      <c r="X137" s="4">
        <f t="shared" ref="X137:X196" si="24">+P137-T137</f>
        <v>-165919.93000000156</v>
      </c>
      <c r="Y137" s="4"/>
      <c r="Z137" s="12">
        <f t="shared" ref="Z137:Z196" si="25">IF(T137=0,0,X137/T137)</f>
        <v>-2.0617005861952243E-2</v>
      </c>
    </row>
    <row r="138" spans="1:26" s="24" customFormat="1" hidden="1" outlineLevel="1" x14ac:dyDescent="0.25">
      <c r="A138" s="44"/>
      <c r="B138" s="11" t="str">
        <f>CONCATENATE("          ", "5001", " - ", "PURCHASES @ COST-NEW TEXT")</f>
        <v xml:space="preserve">          5001 - PURCHASES @ COST-NEW TEXT</v>
      </c>
      <c r="C138" s="11"/>
      <c r="D138" s="2">
        <v>155219.06</v>
      </c>
      <c r="E138" s="2"/>
      <c r="F138" s="19">
        <f t="shared" si="18"/>
        <v>7.8258247437933109E-2</v>
      </c>
      <c r="G138" s="2"/>
      <c r="H138" s="2">
        <v>435074.94</v>
      </c>
      <c r="I138" s="2"/>
      <c r="J138" s="19">
        <f t="shared" si="19"/>
        <v>0.18134398588671555</v>
      </c>
      <c r="K138" s="2"/>
      <c r="L138" s="2">
        <f t="shared" si="20"/>
        <v>-279855.88</v>
      </c>
      <c r="M138" s="2"/>
      <c r="N138" s="19">
        <f t="shared" si="21"/>
        <v>-0.64323603653200523</v>
      </c>
      <c r="O138" s="11"/>
      <c r="P138" s="2">
        <v>1737069.75</v>
      </c>
      <c r="Q138" s="2"/>
      <c r="R138" s="19">
        <f t="shared" si="22"/>
        <v>9.6088393749992007E-2</v>
      </c>
      <c r="S138" s="2"/>
      <c r="T138" s="2">
        <v>2155732.5</v>
      </c>
      <c r="U138" s="2"/>
      <c r="V138" s="19">
        <f t="shared" si="23"/>
        <v>0.11757305079514774</v>
      </c>
      <c r="W138" s="2"/>
      <c r="X138" s="2">
        <f t="shared" si="24"/>
        <v>-418662.75</v>
      </c>
      <c r="Y138" s="2"/>
      <c r="Z138" s="19">
        <f t="shared" si="25"/>
        <v>-0.1942090449533975</v>
      </c>
    </row>
    <row r="139" spans="1:26" s="24" customFormat="1" hidden="1" outlineLevel="1" x14ac:dyDescent="0.25">
      <c r="A139" s="44"/>
      <c r="B139" s="11" t="str">
        <f>CONCATENATE("          ", "5002", " - ", "PURCHASES @ COST-USED TEXT")</f>
        <v xml:space="preserve">          5002 - PURCHASES @ COST-USED TEXT</v>
      </c>
      <c r="C139" s="11"/>
      <c r="D139" s="2">
        <v>40274.950000000004</v>
      </c>
      <c r="E139" s="2"/>
      <c r="F139" s="19">
        <f t="shared" si="18"/>
        <v>2.030579880235317E-2</v>
      </c>
      <c r="G139" s="2"/>
      <c r="H139" s="2">
        <v>-55954.86</v>
      </c>
      <c r="I139" s="2"/>
      <c r="J139" s="19">
        <f t="shared" si="19"/>
        <v>-2.3322596659171281E-2</v>
      </c>
      <c r="K139" s="2"/>
      <c r="L139" s="2">
        <f t="shared" si="20"/>
        <v>96229.81</v>
      </c>
      <c r="M139" s="2"/>
      <c r="N139" s="19">
        <f t="shared" si="21"/>
        <v>-1.7197757263622855</v>
      </c>
      <c r="O139" s="11"/>
      <c r="P139" s="2">
        <v>252522.85</v>
      </c>
      <c r="Q139" s="2"/>
      <c r="R139" s="19">
        <f t="shared" si="22"/>
        <v>1.3968647512093379E-2</v>
      </c>
      <c r="S139" s="2"/>
      <c r="T139" s="2">
        <v>252363.15000000002</v>
      </c>
      <c r="U139" s="2"/>
      <c r="V139" s="19">
        <f t="shared" si="23"/>
        <v>1.3763815990051404E-2</v>
      </c>
      <c r="W139" s="2"/>
      <c r="X139" s="2">
        <f t="shared" si="24"/>
        <v>159.69999999998254</v>
      </c>
      <c r="Y139" s="2"/>
      <c r="Z139" s="19">
        <f t="shared" si="25"/>
        <v>6.3281822247020821E-4</v>
      </c>
    </row>
    <row r="140" spans="1:26" s="24" customFormat="1" hidden="1" outlineLevel="1" x14ac:dyDescent="0.25">
      <c r="A140" s="44"/>
      <c r="B140" s="11" t="str">
        <f>CONCATENATE("          ", "5003", " - ", "PURCHASES @ COST-RENTAL TEXT")</f>
        <v xml:space="preserve">          5003 - PURCHASES @ COST-RENTAL TEXT</v>
      </c>
      <c r="C140" s="11"/>
      <c r="D140" s="2"/>
      <c r="E140" s="2"/>
      <c r="F140" s="19">
        <f t="shared" si="18"/>
        <v>0</v>
      </c>
      <c r="G140" s="2"/>
      <c r="H140" s="2">
        <v>9907.4500000000007</v>
      </c>
      <c r="I140" s="2"/>
      <c r="J140" s="19">
        <f t="shared" si="19"/>
        <v>4.1295333465387373E-3</v>
      </c>
      <c r="K140" s="2"/>
      <c r="L140" s="2">
        <f t="shared" si="20"/>
        <v>-9907.4500000000007</v>
      </c>
      <c r="M140" s="2"/>
      <c r="N140" s="19">
        <f t="shared" si="21"/>
        <v>-1</v>
      </c>
      <c r="O140" s="11"/>
      <c r="P140" s="2">
        <v>-78.400000000000006</v>
      </c>
      <c r="Q140" s="2"/>
      <c r="R140" s="19">
        <f t="shared" si="22"/>
        <v>-4.3368034415425024E-6</v>
      </c>
      <c r="S140" s="2"/>
      <c r="T140" s="2">
        <v>8143.75</v>
      </c>
      <c r="U140" s="2"/>
      <c r="V140" s="19">
        <f t="shared" si="23"/>
        <v>4.4415785929515113E-4</v>
      </c>
      <c r="W140" s="2"/>
      <c r="X140" s="2">
        <f t="shared" si="24"/>
        <v>-8222.15</v>
      </c>
      <c r="Y140" s="2"/>
      <c r="Z140" s="19">
        <f t="shared" si="25"/>
        <v>-1.0096270145817343</v>
      </c>
    </row>
    <row r="141" spans="1:26" s="24" customFormat="1" hidden="1" outlineLevel="1" x14ac:dyDescent="0.25">
      <c r="A141" s="44"/>
      <c r="B141" s="11" t="str">
        <f>CONCATENATE("          ", "5004", " - ", "PURCHASES @ COST-DIGITAL TEXT")</f>
        <v xml:space="preserve">          5004 - PURCHASES @ COST-DIGITAL TEXT</v>
      </c>
      <c r="C141" s="11"/>
      <c r="D141" s="2">
        <v>31572.300000000003</v>
      </c>
      <c r="E141" s="2"/>
      <c r="F141" s="19">
        <f t="shared" si="18"/>
        <v>1.5918102232964533E-2</v>
      </c>
      <c r="G141" s="2"/>
      <c r="H141" s="2">
        <v>25639.57</v>
      </c>
      <c r="I141" s="2"/>
      <c r="J141" s="19">
        <f t="shared" si="19"/>
        <v>1.0686852752818757E-2</v>
      </c>
      <c r="K141" s="2"/>
      <c r="L141" s="2">
        <f t="shared" si="20"/>
        <v>5932.7300000000032</v>
      </c>
      <c r="M141" s="2"/>
      <c r="N141" s="19">
        <f t="shared" si="21"/>
        <v>0.23138960598793207</v>
      </c>
      <c r="O141" s="11"/>
      <c r="P141" s="2">
        <v>354352.27</v>
      </c>
      <c r="Q141" s="2"/>
      <c r="R141" s="19">
        <f t="shared" si="22"/>
        <v>1.960148142926528E-2</v>
      </c>
      <c r="S141" s="2"/>
      <c r="T141" s="2">
        <v>332594.94</v>
      </c>
      <c r="U141" s="2"/>
      <c r="V141" s="19">
        <f t="shared" si="23"/>
        <v>1.8139635495048254E-2</v>
      </c>
      <c r="W141" s="2"/>
      <c r="X141" s="2">
        <f t="shared" si="24"/>
        <v>21757.330000000016</v>
      </c>
      <c r="Y141" s="2"/>
      <c r="Z141" s="19">
        <f t="shared" si="25"/>
        <v>6.5416900209005036E-2</v>
      </c>
    </row>
    <row r="142" spans="1:26" s="24" customFormat="1" hidden="1" outlineLevel="1" x14ac:dyDescent="0.25">
      <c r="A142" s="44"/>
      <c r="B142" s="11" t="str">
        <f>CONCATENATE("          ", "5011", " - ", "PURCHASES @ COST-NO VALUE TEXT")</f>
        <v xml:space="preserve">          5011 - PURCHASES @ COST-NO VALUE TEXT</v>
      </c>
      <c r="C142" s="11"/>
      <c r="D142" s="2">
        <v>1161</v>
      </c>
      <c r="E142" s="2"/>
      <c r="F142" s="19">
        <f t="shared" si="18"/>
        <v>5.8535224524256457E-4</v>
      </c>
      <c r="G142" s="2"/>
      <c r="H142" s="2">
        <v>-264</v>
      </c>
      <c r="I142" s="2"/>
      <c r="J142" s="19">
        <f t="shared" si="19"/>
        <v>-1.1003808280498277E-4</v>
      </c>
      <c r="K142" s="2"/>
      <c r="L142" s="2">
        <f t="shared" si="20"/>
        <v>1425</v>
      </c>
      <c r="M142" s="2"/>
      <c r="N142" s="19">
        <f t="shared" si="21"/>
        <v>-5.3977272727272725</v>
      </c>
      <c r="O142" s="11"/>
      <c r="P142" s="2">
        <v>4902</v>
      </c>
      <c r="Q142" s="2"/>
      <c r="R142" s="19">
        <f t="shared" si="22"/>
        <v>2.7116084783726204E-4</v>
      </c>
      <c r="S142" s="2"/>
      <c r="T142" s="2">
        <v>2574</v>
      </c>
      <c r="U142" s="2"/>
      <c r="V142" s="19">
        <f t="shared" si="23"/>
        <v>1.4038524387729472E-4</v>
      </c>
      <c r="W142" s="2"/>
      <c r="X142" s="2">
        <f t="shared" si="24"/>
        <v>2328</v>
      </c>
      <c r="Y142" s="2"/>
      <c r="Z142" s="19">
        <f t="shared" si="25"/>
        <v>0.90442890442890445</v>
      </c>
    </row>
    <row r="143" spans="1:26" s="24" customFormat="1" hidden="1" outlineLevel="1" x14ac:dyDescent="0.25">
      <c r="A143" s="44"/>
      <c r="B143" s="11" t="str">
        <f>CONCATENATE("          ", "5013", " - ", "PURCHASES @ COST-TRADE BOOKS")</f>
        <v xml:space="preserve">          5013 - PURCHASES @ COST-TRADE BOOKS</v>
      </c>
      <c r="C143" s="11"/>
      <c r="D143" s="2">
        <v>37.17</v>
      </c>
      <c r="E143" s="2"/>
      <c r="F143" s="19">
        <f t="shared" si="18"/>
        <v>1.8740347076370479E-5</v>
      </c>
      <c r="G143" s="2"/>
      <c r="H143" s="2"/>
      <c r="I143" s="2"/>
      <c r="J143" s="19">
        <f t="shared" si="19"/>
        <v>0</v>
      </c>
      <c r="K143" s="2"/>
      <c r="L143" s="2">
        <f t="shared" si="20"/>
        <v>37.17</v>
      </c>
      <c r="M143" s="2"/>
      <c r="N143" s="19">
        <f t="shared" si="21"/>
        <v>0</v>
      </c>
      <c r="O143" s="11"/>
      <c r="P143" s="2">
        <v>735.31</v>
      </c>
      <c r="Q143" s="2"/>
      <c r="R143" s="19">
        <f t="shared" si="22"/>
        <v>4.0674680339293579E-5</v>
      </c>
      <c r="S143" s="2"/>
      <c r="T143" s="2">
        <v>1406.94</v>
      </c>
      <c r="U143" s="2"/>
      <c r="V143" s="19">
        <f t="shared" si="23"/>
        <v>7.6734116169666295E-5</v>
      </c>
      <c r="W143" s="2"/>
      <c r="X143" s="2">
        <f t="shared" si="24"/>
        <v>-671.63000000000011</v>
      </c>
      <c r="Y143" s="2"/>
      <c r="Z143" s="19">
        <f t="shared" si="25"/>
        <v>-0.47736932633943174</v>
      </c>
    </row>
    <row r="144" spans="1:26" s="24" customFormat="1" hidden="1" outlineLevel="1" x14ac:dyDescent="0.25">
      <c r="A144" s="44"/>
      <c r="B144" s="11" t="str">
        <f>CONCATENATE("          ", "5014", " - ", "PURCHASES @ COST-REMAINDERS")</f>
        <v xml:space="preserve">          5014 - PURCHASES @ COST-REMAINDERS</v>
      </c>
      <c r="C144" s="11"/>
      <c r="D144" s="2">
        <v>56.98</v>
      </c>
      <c r="E144" s="2"/>
      <c r="F144" s="19">
        <f t="shared" si="18"/>
        <v>2.8728140339294856E-5</v>
      </c>
      <c r="G144" s="2"/>
      <c r="H144" s="2">
        <v>52.76</v>
      </c>
      <c r="I144" s="2"/>
      <c r="J144" s="19">
        <f t="shared" si="19"/>
        <v>2.1990944124207919E-5</v>
      </c>
      <c r="K144" s="2"/>
      <c r="L144" s="2">
        <f t="shared" si="20"/>
        <v>4.2199999999999989</v>
      </c>
      <c r="M144" s="2"/>
      <c r="N144" s="19">
        <f t="shared" si="21"/>
        <v>7.9984836997725531E-2</v>
      </c>
      <c r="O144" s="11"/>
      <c r="P144" s="2">
        <v>513.79</v>
      </c>
      <c r="Q144" s="2"/>
      <c r="R144" s="19">
        <f t="shared" si="22"/>
        <v>2.84209979621189E-5</v>
      </c>
      <c r="S144" s="2"/>
      <c r="T144" s="2">
        <v>787.96</v>
      </c>
      <c r="U144" s="2"/>
      <c r="V144" s="19">
        <f t="shared" si="23"/>
        <v>4.2975119178536581E-5</v>
      </c>
      <c r="W144" s="2"/>
      <c r="X144" s="2">
        <f t="shared" si="24"/>
        <v>-274.17000000000007</v>
      </c>
      <c r="Y144" s="2"/>
      <c r="Z144" s="19">
        <f t="shared" si="25"/>
        <v>-0.34794913447383125</v>
      </c>
    </row>
    <row r="145" spans="1:26" s="24" customFormat="1" hidden="1" outlineLevel="1" x14ac:dyDescent="0.25">
      <c r="A145" s="44"/>
      <c r="B145" s="11" t="str">
        <f>CONCATENATE("          ", "5017", " - ", "PURCHASES @ COST-DORM/HOUSEWAR")</f>
        <v xml:space="preserve">          5017 - PURCHASES @ COST-DORM/HOUSEWAR</v>
      </c>
      <c r="C145" s="11"/>
      <c r="D145" s="2"/>
      <c r="E145" s="2"/>
      <c r="F145" s="19">
        <f t="shared" si="18"/>
        <v>0</v>
      </c>
      <c r="G145" s="2"/>
      <c r="H145" s="2"/>
      <c r="I145" s="2"/>
      <c r="J145" s="19">
        <f t="shared" si="19"/>
        <v>0</v>
      </c>
      <c r="K145" s="2"/>
      <c r="L145" s="2">
        <f t="shared" si="20"/>
        <v>0</v>
      </c>
      <c r="M145" s="2"/>
      <c r="N145" s="19">
        <f t="shared" si="21"/>
        <v>0</v>
      </c>
      <c r="O145" s="11"/>
      <c r="P145" s="2">
        <v>0</v>
      </c>
      <c r="Q145" s="2"/>
      <c r="R145" s="19">
        <f t="shared" si="22"/>
        <v>0</v>
      </c>
      <c r="S145" s="2"/>
      <c r="T145" s="2">
        <v>239.9</v>
      </c>
      <c r="U145" s="2"/>
      <c r="V145" s="19">
        <f t="shared" si="23"/>
        <v>1.3084079256473584E-5</v>
      </c>
      <c r="W145" s="2"/>
      <c r="X145" s="2">
        <f t="shared" si="24"/>
        <v>-239.9</v>
      </c>
      <c r="Y145" s="2"/>
      <c r="Z145" s="19">
        <f t="shared" si="25"/>
        <v>-1</v>
      </c>
    </row>
    <row r="146" spans="1:26" s="24" customFormat="1" hidden="1" outlineLevel="1" x14ac:dyDescent="0.25">
      <c r="A146" s="44"/>
      <c r="B146" s="11" t="str">
        <f>CONCATENATE("          ", "5018", " - ", "PURCHASES @ COST-STUDY GUIDES")</f>
        <v xml:space="preserve">          5018 - PURCHASES @ COST-STUDY GUIDES</v>
      </c>
      <c r="C146" s="11"/>
      <c r="D146" s="2">
        <v>196.31</v>
      </c>
      <c r="E146" s="2"/>
      <c r="F146" s="19">
        <f t="shared" si="18"/>
        <v>9.8975451562073954E-5</v>
      </c>
      <c r="G146" s="2"/>
      <c r="H146" s="2">
        <v>1051.22</v>
      </c>
      <c r="I146" s="2"/>
      <c r="J146" s="19">
        <f t="shared" si="19"/>
        <v>4.3815997502368931E-4</v>
      </c>
      <c r="K146" s="2"/>
      <c r="L146" s="2">
        <f t="shared" si="20"/>
        <v>-854.91000000000008</v>
      </c>
      <c r="M146" s="2"/>
      <c r="N146" s="19">
        <f t="shared" si="21"/>
        <v>-0.81325507505564965</v>
      </c>
      <c r="O146" s="11"/>
      <c r="P146" s="2">
        <v>998.4</v>
      </c>
      <c r="Q146" s="2"/>
      <c r="R146" s="19">
        <f t="shared" si="22"/>
        <v>5.5227864235153492E-5</v>
      </c>
      <c r="S146" s="2"/>
      <c r="T146" s="2">
        <v>2085.77</v>
      </c>
      <c r="U146" s="2"/>
      <c r="V146" s="19">
        <f t="shared" si="23"/>
        <v>1.1375731550969116E-4</v>
      </c>
      <c r="W146" s="2"/>
      <c r="X146" s="2">
        <f t="shared" si="24"/>
        <v>-1087.3699999999999</v>
      </c>
      <c r="Y146" s="2"/>
      <c r="Z146" s="19">
        <f t="shared" si="25"/>
        <v>-0.52132785494086109</v>
      </c>
    </row>
    <row r="147" spans="1:26" s="24" customFormat="1" hidden="1" outlineLevel="1" x14ac:dyDescent="0.25">
      <c r="A147" s="44"/>
      <c r="B147" s="11" t="str">
        <f>CONCATENATE("          ", "5025", " - ", "PURCHASES @ COST-TEST FORMS")</f>
        <v xml:space="preserve">          5025 - PURCHASES @ COST-TEST FORMS</v>
      </c>
      <c r="C147" s="11"/>
      <c r="D147" s="2">
        <v>0</v>
      </c>
      <c r="E147" s="2"/>
      <c r="F147" s="19">
        <f t="shared" si="18"/>
        <v>0</v>
      </c>
      <c r="G147" s="2"/>
      <c r="H147" s="2">
        <v>12949.15</v>
      </c>
      <c r="I147" s="2"/>
      <c r="J147" s="19">
        <f t="shared" si="19"/>
        <v>5.3973471210384183E-3</v>
      </c>
      <c r="K147" s="2"/>
      <c r="L147" s="2">
        <f t="shared" si="20"/>
        <v>-12949.15</v>
      </c>
      <c r="M147" s="2"/>
      <c r="N147" s="19">
        <f t="shared" si="21"/>
        <v>-1</v>
      </c>
      <c r="O147" s="11"/>
      <c r="P147" s="2">
        <v>22098.390000000003</v>
      </c>
      <c r="Q147" s="2"/>
      <c r="R147" s="19">
        <f t="shared" si="22"/>
        <v>1.2224027270988319E-3</v>
      </c>
      <c r="S147" s="2"/>
      <c r="T147" s="2">
        <v>14999.150000000001</v>
      </c>
      <c r="U147" s="2"/>
      <c r="V147" s="19">
        <f t="shared" si="23"/>
        <v>8.1804946802724375E-4</v>
      </c>
      <c r="W147" s="2"/>
      <c r="X147" s="2">
        <f t="shared" si="24"/>
        <v>7099.2400000000016</v>
      </c>
      <c r="Y147" s="2"/>
      <c r="Z147" s="19">
        <f t="shared" si="25"/>
        <v>0.47330948753762719</v>
      </c>
    </row>
    <row r="148" spans="1:26" s="24" customFormat="1" hidden="1" outlineLevel="1" x14ac:dyDescent="0.25">
      <c r="A148" s="44"/>
      <c r="B148" s="11" t="str">
        <f>CONCATENATE("          ", "5026", " - ", "PURCHASES @ COST-WRITING INSTR")</f>
        <v xml:space="preserve">          5026 - PURCHASES @ COST-WRITING INSTR</v>
      </c>
      <c r="C148" s="11"/>
      <c r="D148" s="2">
        <v>4344.2</v>
      </c>
      <c r="E148" s="2"/>
      <c r="F148" s="19">
        <f t="shared" si="18"/>
        <v>2.1902560067034874E-3</v>
      </c>
      <c r="G148" s="2"/>
      <c r="H148" s="2">
        <v>3765.16</v>
      </c>
      <c r="I148" s="2"/>
      <c r="J148" s="19">
        <f t="shared" si="19"/>
        <v>1.5693598024773064E-3</v>
      </c>
      <c r="K148" s="2"/>
      <c r="L148" s="2">
        <f t="shared" si="20"/>
        <v>579.04</v>
      </c>
      <c r="M148" s="2"/>
      <c r="N148" s="19">
        <f t="shared" si="21"/>
        <v>0.15378894920800179</v>
      </c>
      <c r="O148" s="11"/>
      <c r="P148" s="2">
        <v>34294.769999999997</v>
      </c>
      <c r="Q148" s="2"/>
      <c r="R148" s="19">
        <f t="shared" si="22"/>
        <v>1.8970622010575067E-3</v>
      </c>
      <c r="S148" s="2"/>
      <c r="T148" s="2">
        <v>31774.220000000005</v>
      </c>
      <c r="U148" s="2"/>
      <c r="V148" s="19">
        <f t="shared" si="23"/>
        <v>1.7329571187687709E-3</v>
      </c>
      <c r="W148" s="2"/>
      <c r="X148" s="2">
        <f t="shared" si="24"/>
        <v>2520.549999999992</v>
      </c>
      <c r="Y148" s="2"/>
      <c r="Z148" s="19">
        <f t="shared" si="25"/>
        <v>7.9326888276092744E-2</v>
      </c>
    </row>
    <row r="149" spans="1:26" s="24" customFormat="1" hidden="1" outlineLevel="1" x14ac:dyDescent="0.25">
      <c r="A149" s="44"/>
      <c r="B149" s="11" t="str">
        <f>CONCATENATE("          ", "5027", " - ", "PURCHASES @ COST-SCHOOL SUPPLI")</f>
        <v xml:space="preserve">          5027 - PURCHASES @ COST-SCHOOL SUPPLI</v>
      </c>
      <c r="C149" s="11"/>
      <c r="D149" s="2">
        <v>2493.64</v>
      </c>
      <c r="E149" s="2"/>
      <c r="F149" s="19">
        <f t="shared" si="18"/>
        <v>1.2572418370600076E-3</v>
      </c>
      <c r="G149" s="2"/>
      <c r="H149" s="2">
        <v>15673.230000000001</v>
      </c>
      <c r="I149" s="2"/>
      <c r="J149" s="19">
        <f t="shared" si="19"/>
        <v>6.5327734112179551E-3</v>
      </c>
      <c r="K149" s="2"/>
      <c r="L149" s="2">
        <f t="shared" si="20"/>
        <v>-13179.590000000002</v>
      </c>
      <c r="M149" s="2"/>
      <c r="N149" s="19">
        <f t="shared" si="21"/>
        <v>-0.8408981428843959</v>
      </c>
      <c r="O149" s="11"/>
      <c r="P149" s="2">
        <v>78000</v>
      </c>
      <c r="Q149" s="2"/>
      <c r="R149" s="19">
        <f t="shared" si="22"/>
        <v>4.3146768933713664E-3</v>
      </c>
      <c r="S149" s="2"/>
      <c r="T149" s="2">
        <v>97906.49</v>
      </c>
      <c r="U149" s="2"/>
      <c r="V149" s="19">
        <f t="shared" si="23"/>
        <v>5.3397927256487636E-3</v>
      </c>
      <c r="W149" s="2"/>
      <c r="X149" s="2">
        <f t="shared" si="24"/>
        <v>-19906.490000000005</v>
      </c>
      <c r="Y149" s="2"/>
      <c r="Z149" s="19">
        <f t="shared" si="25"/>
        <v>-0.20332145499241169</v>
      </c>
    </row>
    <row r="150" spans="1:26" s="24" customFormat="1" hidden="1" outlineLevel="1" x14ac:dyDescent="0.25">
      <c r="A150" s="44"/>
      <c r="B150" s="11" t="str">
        <f>CONCATENATE("          ", "5028", " - ", "PURCHASES @ COST-ART/TECH")</f>
        <v xml:space="preserve">          5028 - PURCHASES @ COST-ART/TECH</v>
      </c>
      <c r="C150" s="11"/>
      <c r="D150" s="2">
        <v>7730.31</v>
      </c>
      <c r="E150" s="2"/>
      <c r="F150" s="19">
        <f t="shared" si="18"/>
        <v>3.8974628035495689E-3</v>
      </c>
      <c r="G150" s="2"/>
      <c r="H150" s="2">
        <v>12127.84</v>
      </c>
      <c r="I150" s="2"/>
      <c r="J150" s="19">
        <f t="shared" si="19"/>
        <v>5.055016144566599E-3</v>
      </c>
      <c r="K150" s="2"/>
      <c r="L150" s="2">
        <f t="shared" si="20"/>
        <v>-4397.53</v>
      </c>
      <c r="M150" s="2"/>
      <c r="N150" s="19">
        <f t="shared" si="21"/>
        <v>-0.36259795643741999</v>
      </c>
      <c r="O150" s="11"/>
      <c r="P150" s="2">
        <v>103000.81999999999</v>
      </c>
      <c r="Q150" s="2"/>
      <c r="R150" s="19">
        <f t="shared" si="22"/>
        <v>5.6976315134910681E-3</v>
      </c>
      <c r="S150" s="2"/>
      <c r="T150" s="2">
        <v>97793.52</v>
      </c>
      <c r="U150" s="2"/>
      <c r="V150" s="19">
        <f t="shared" si="23"/>
        <v>5.3336313732785939E-3</v>
      </c>
      <c r="W150" s="2"/>
      <c r="X150" s="2">
        <f t="shared" si="24"/>
        <v>5207.2999999999884</v>
      </c>
      <c r="Y150" s="2"/>
      <c r="Z150" s="19">
        <f t="shared" si="25"/>
        <v>5.3247904360125171E-2</v>
      </c>
    </row>
    <row r="151" spans="1:26" s="24" customFormat="1" hidden="1" outlineLevel="1" x14ac:dyDescent="0.25">
      <c r="A151" s="44"/>
      <c r="B151" s="11" t="str">
        <f>CONCATENATE("          ", "5031", " - ", "PURCHASES @ COST-FOOD")</f>
        <v xml:space="preserve">          5031 - PURCHASES @ COST-FOOD</v>
      </c>
      <c r="C151" s="11"/>
      <c r="D151" s="2">
        <v>1695.24</v>
      </c>
      <c r="E151" s="2"/>
      <c r="F151" s="19">
        <f t="shared" si="18"/>
        <v>8.5470503034022847E-4</v>
      </c>
      <c r="G151" s="2"/>
      <c r="H151" s="2">
        <v>1711.02</v>
      </c>
      <c r="I151" s="2"/>
      <c r="J151" s="19">
        <f t="shared" si="19"/>
        <v>7.1317181985220302E-4</v>
      </c>
      <c r="K151" s="2"/>
      <c r="L151" s="2">
        <f t="shared" si="20"/>
        <v>-15.779999999999973</v>
      </c>
      <c r="M151" s="2"/>
      <c r="N151" s="19">
        <f t="shared" si="21"/>
        <v>-9.2225689939334273E-3</v>
      </c>
      <c r="O151" s="11"/>
      <c r="P151" s="2">
        <v>22509.73</v>
      </c>
      <c r="Q151" s="2"/>
      <c r="R151" s="19">
        <f t="shared" si="22"/>
        <v>1.2451565629106186E-3</v>
      </c>
      <c r="S151" s="2"/>
      <c r="T151" s="2">
        <v>19133.79</v>
      </c>
      <c r="U151" s="2"/>
      <c r="V151" s="19">
        <f t="shared" si="23"/>
        <v>1.0435515833127208E-3</v>
      </c>
      <c r="W151" s="2"/>
      <c r="X151" s="2">
        <f t="shared" si="24"/>
        <v>3375.9399999999987</v>
      </c>
      <c r="Y151" s="2"/>
      <c r="Z151" s="19">
        <f t="shared" si="25"/>
        <v>0.17643864597656808</v>
      </c>
    </row>
    <row r="152" spans="1:26" s="24" customFormat="1" hidden="1" outlineLevel="1" x14ac:dyDescent="0.25">
      <c r="A152" s="44"/>
      <c r="B152" s="11" t="str">
        <f>CONCATENATE("          ", "5032", " - ", "PURCHASES @ COST-JUICE")</f>
        <v xml:space="preserve">          5032 - PURCHASES @ COST-JUICE</v>
      </c>
      <c r="C152" s="11"/>
      <c r="D152" s="2">
        <v>358.99</v>
      </c>
      <c r="E152" s="2"/>
      <c r="F152" s="19">
        <f t="shared" si="18"/>
        <v>1.8099535100743176E-4</v>
      </c>
      <c r="G152" s="2"/>
      <c r="H152" s="2">
        <v>891.9</v>
      </c>
      <c r="I152" s="2"/>
      <c r="J152" s="19">
        <f t="shared" si="19"/>
        <v>3.7175365929456106E-4</v>
      </c>
      <c r="K152" s="2"/>
      <c r="L152" s="2">
        <f t="shared" si="20"/>
        <v>-532.91</v>
      </c>
      <c r="M152" s="2"/>
      <c r="N152" s="19">
        <f t="shared" si="21"/>
        <v>-0.59749971969951787</v>
      </c>
      <c r="O152" s="11"/>
      <c r="P152" s="2">
        <v>5021.4799999999996</v>
      </c>
      <c r="Q152" s="2"/>
      <c r="R152" s="19">
        <f t="shared" si="22"/>
        <v>2.777700477759801E-4</v>
      </c>
      <c r="S152" s="2"/>
      <c r="T152" s="2">
        <v>5570.25</v>
      </c>
      <c r="U152" s="2"/>
      <c r="V152" s="19">
        <f t="shared" si="23"/>
        <v>3.0379988527874939E-4</v>
      </c>
      <c r="W152" s="2"/>
      <c r="X152" s="2">
        <f t="shared" si="24"/>
        <v>-548.77000000000044</v>
      </c>
      <c r="Y152" s="2"/>
      <c r="Z152" s="19">
        <f t="shared" si="25"/>
        <v>-9.8518019837529808E-2</v>
      </c>
    </row>
    <row r="153" spans="1:26" s="24" customFormat="1" hidden="1" outlineLevel="1" x14ac:dyDescent="0.25">
      <c r="A153" s="44"/>
      <c r="B153" s="11" t="str">
        <f>CONCATENATE("          ", "5033", " - ", "PURCHASES @ COST-CANDY")</f>
        <v xml:space="preserve">          5033 - PURCHASES @ COST-CANDY</v>
      </c>
      <c r="C153" s="11"/>
      <c r="D153" s="2">
        <v>260.19</v>
      </c>
      <c r="E153" s="2"/>
      <c r="F153" s="19">
        <f t="shared" si="18"/>
        <v>1.3118242953459334E-4</v>
      </c>
      <c r="G153" s="2"/>
      <c r="H153" s="2">
        <v>143.51</v>
      </c>
      <c r="I153" s="2"/>
      <c r="J153" s="19">
        <f t="shared" si="19"/>
        <v>5.9816535088420741E-5</v>
      </c>
      <c r="K153" s="2"/>
      <c r="L153" s="2">
        <f t="shared" si="20"/>
        <v>116.68</v>
      </c>
      <c r="M153" s="2"/>
      <c r="N153" s="19">
        <f t="shared" si="21"/>
        <v>0.81304438715072125</v>
      </c>
      <c r="O153" s="11"/>
      <c r="P153" s="2">
        <v>6197.93</v>
      </c>
      <c r="Q153" s="2"/>
      <c r="R153" s="19">
        <f t="shared" si="22"/>
        <v>3.4284699176581021E-4</v>
      </c>
      <c r="S153" s="2"/>
      <c r="T153" s="2">
        <v>4581.87</v>
      </c>
      <c r="U153" s="2"/>
      <c r="V153" s="19">
        <f t="shared" si="23"/>
        <v>2.4989391505985254E-4</v>
      </c>
      <c r="W153" s="2"/>
      <c r="X153" s="2">
        <f t="shared" si="24"/>
        <v>1616.0600000000004</v>
      </c>
      <c r="Y153" s="2"/>
      <c r="Z153" s="19">
        <f t="shared" si="25"/>
        <v>0.35270751898242431</v>
      </c>
    </row>
    <row r="154" spans="1:26" s="24" customFormat="1" hidden="1" outlineLevel="1" x14ac:dyDescent="0.25">
      <c r="A154" s="44"/>
      <c r="B154" s="11" t="str">
        <f>CONCATENATE("          ", "5034", " - ", "PURCHASES @ COST-SODA")</f>
        <v xml:space="preserve">          5034 - PURCHASES @ COST-SODA</v>
      </c>
      <c r="C154" s="11"/>
      <c r="D154" s="2">
        <v>42.24</v>
      </c>
      <c r="E154" s="2"/>
      <c r="F154" s="19">
        <f t="shared" si="18"/>
        <v>2.1296536467739817E-5</v>
      </c>
      <c r="G154" s="2"/>
      <c r="H154" s="2">
        <v>401.72</v>
      </c>
      <c r="I154" s="2"/>
      <c r="J154" s="19">
        <f t="shared" si="19"/>
        <v>1.6744128266824878E-4</v>
      </c>
      <c r="K154" s="2"/>
      <c r="L154" s="2">
        <f t="shared" si="20"/>
        <v>-359.48</v>
      </c>
      <c r="M154" s="2"/>
      <c r="N154" s="19">
        <f t="shared" si="21"/>
        <v>-0.89485213581599121</v>
      </c>
      <c r="O154" s="11"/>
      <c r="P154" s="2">
        <v>2124.16</v>
      </c>
      <c r="Q154" s="2"/>
      <c r="R154" s="19">
        <f t="shared" si="22"/>
        <v>1.1750082140799643E-4</v>
      </c>
      <c r="S154" s="2"/>
      <c r="T154" s="2">
        <v>2062.34</v>
      </c>
      <c r="U154" s="2"/>
      <c r="V154" s="19">
        <f t="shared" si="23"/>
        <v>1.1247944982824399E-4</v>
      </c>
      <c r="W154" s="2"/>
      <c r="X154" s="2">
        <f t="shared" si="24"/>
        <v>61.819999999999709</v>
      </c>
      <c r="Y154" s="2"/>
      <c r="Z154" s="19">
        <f t="shared" si="25"/>
        <v>2.9975658717767053E-2</v>
      </c>
    </row>
    <row r="155" spans="1:26" s="24" customFormat="1" hidden="1" outlineLevel="1" x14ac:dyDescent="0.25">
      <c r="A155" s="44"/>
      <c r="B155" s="11" t="str">
        <f>CONCATENATE("          ", "5035", " - ", "PURCHASES @ COST-HEALTH &amp; BEAU")</f>
        <v xml:space="preserve">          5035 - PURCHASES @ COST-HEALTH &amp; BEAU</v>
      </c>
      <c r="C155" s="11"/>
      <c r="D155" s="2">
        <v>23.17</v>
      </c>
      <c r="E155" s="2"/>
      <c r="F155" s="19">
        <f t="shared" si="18"/>
        <v>1.1681835936494593E-5</v>
      </c>
      <c r="G155" s="2"/>
      <c r="H155" s="2">
        <v>42.48</v>
      </c>
      <c r="I155" s="2"/>
      <c r="J155" s="19">
        <f t="shared" si="19"/>
        <v>1.7706127869529045E-5</v>
      </c>
      <c r="K155" s="2"/>
      <c r="L155" s="2">
        <f t="shared" si="20"/>
        <v>-19.309999999999995</v>
      </c>
      <c r="M155" s="2"/>
      <c r="N155" s="19">
        <f t="shared" si="21"/>
        <v>-0.45456685499058375</v>
      </c>
      <c r="O155" s="11"/>
      <c r="P155" s="2">
        <v>824.38</v>
      </c>
      <c r="Q155" s="2"/>
      <c r="R155" s="19">
        <f t="shared" si="22"/>
        <v>4.5601709453301119E-5</v>
      </c>
      <c r="S155" s="2"/>
      <c r="T155" s="2">
        <v>600.35</v>
      </c>
      <c r="U155" s="2"/>
      <c r="V155" s="19">
        <f t="shared" si="23"/>
        <v>3.2742921974255594E-5</v>
      </c>
      <c r="W155" s="2"/>
      <c r="X155" s="2">
        <f t="shared" si="24"/>
        <v>224.02999999999997</v>
      </c>
      <c r="Y155" s="2"/>
      <c r="Z155" s="19">
        <f t="shared" si="25"/>
        <v>0.37316565336886809</v>
      </c>
    </row>
    <row r="156" spans="1:26" s="24" customFormat="1" hidden="1" outlineLevel="1" x14ac:dyDescent="0.25">
      <c r="A156" s="44"/>
      <c r="B156" s="11" t="str">
        <f>CONCATENATE("          ", "5037", " - ", "PURCHASES @ COST-WATER")</f>
        <v xml:space="preserve">          5037 - PURCHASES @ COST-WATER</v>
      </c>
      <c r="C156" s="11"/>
      <c r="D156" s="2">
        <v>235.9</v>
      </c>
      <c r="E156" s="2"/>
      <c r="F156" s="19">
        <f t="shared" si="18"/>
        <v>1.1893591270690869E-4</v>
      </c>
      <c r="G156" s="2"/>
      <c r="H156" s="2">
        <v>424.48</v>
      </c>
      <c r="I156" s="2"/>
      <c r="J156" s="19">
        <f t="shared" si="19"/>
        <v>1.769278992009814E-4</v>
      </c>
      <c r="K156" s="2"/>
      <c r="L156" s="2">
        <f t="shared" si="20"/>
        <v>-188.58</v>
      </c>
      <c r="M156" s="2"/>
      <c r="N156" s="19">
        <f t="shared" si="21"/>
        <v>-0.44426121372031663</v>
      </c>
      <c r="O156" s="11"/>
      <c r="P156" s="2">
        <v>3759.27</v>
      </c>
      <c r="Q156" s="2"/>
      <c r="R156" s="19">
        <f t="shared" si="22"/>
        <v>2.0794917185825869E-4</v>
      </c>
      <c r="S156" s="2"/>
      <c r="T156" s="2">
        <v>3896.09</v>
      </c>
      <c r="U156" s="2"/>
      <c r="V156" s="19">
        <f t="shared" si="23"/>
        <v>2.1249166465341462E-4</v>
      </c>
      <c r="W156" s="2"/>
      <c r="X156" s="2">
        <f t="shared" si="24"/>
        <v>-136.82000000000016</v>
      </c>
      <c r="Y156" s="2"/>
      <c r="Z156" s="19">
        <f t="shared" si="25"/>
        <v>-3.5117258584888997E-2</v>
      </c>
    </row>
    <row r="157" spans="1:26" s="24" customFormat="1" hidden="1" outlineLevel="1" x14ac:dyDescent="0.25">
      <c r="A157" s="44"/>
      <c r="B157" s="11" t="str">
        <f>CONCATENATE("          ", "5040", " - ", "PURCHASES @ COST-LOGO CLOTHING")</f>
        <v xml:space="preserve">          5040 - PURCHASES @ COST-LOGO CLOTHING</v>
      </c>
      <c r="C157" s="11"/>
      <c r="D157" s="2">
        <v>97946.53</v>
      </c>
      <c r="E157" s="2"/>
      <c r="F157" s="19">
        <f t="shared" si="18"/>
        <v>4.938261950837055E-2</v>
      </c>
      <c r="G157" s="2"/>
      <c r="H157" s="2">
        <v>62222.17</v>
      </c>
      <c r="I157" s="2"/>
      <c r="J157" s="19">
        <f t="shared" si="19"/>
        <v>2.5934879904415585E-2</v>
      </c>
      <c r="K157" s="2"/>
      <c r="L157" s="2">
        <f t="shared" si="20"/>
        <v>35724.36</v>
      </c>
      <c r="M157" s="2"/>
      <c r="N157" s="19">
        <f t="shared" si="21"/>
        <v>0.57414198186916343</v>
      </c>
      <c r="O157" s="11"/>
      <c r="P157" s="2">
        <v>716238.84000000008</v>
      </c>
      <c r="Q157" s="2"/>
      <c r="R157" s="19">
        <f t="shared" si="22"/>
        <v>3.9619732988245018E-2</v>
      </c>
      <c r="S157" s="2"/>
      <c r="T157" s="2">
        <v>610458.11</v>
      </c>
      <c r="U157" s="2"/>
      <c r="V157" s="19">
        <f t="shared" si="23"/>
        <v>3.3294215481438391E-2</v>
      </c>
      <c r="W157" s="2"/>
      <c r="X157" s="2">
        <f t="shared" si="24"/>
        <v>105780.7300000001</v>
      </c>
      <c r="Y157" s="2"/>
      <c r="Z157" s="19">
        <f t="shared" si="25"/>
        <v>0.17328089883186268</v>
      </c>
    </row>
    <row r="158" spans="1:26" s="24" customFormat="1" hidden="1" outlineLevel="1" x14ac:dyDescent="0.25">
      <c r="A158" s="44"/>
      <c r="B158" s="11" t="str">
        <f>CONCATENATE("          ", "5041", " - ", "PURCHASES @ COST-LOGO GIFTS")</f>
        <v xml:space="preserve">          5041 - PURCHASES @ COST-LOGO GIFTS</v>
      </c>
      <c r="C158" s="11"/>
      <c r="D158" s="2">
        <v>20607.12</v>
      </c>
      <c r="E158" s="2"/>
      <c r="F158" s="19">
        <f t="shared" si="18"/>
        <v>1.0389684720054226E-2</v>
      </c>
      <c r="G158" s="2"/>
      <c r="H158" s="2">
        <v>8923.84</v>
      </c>
      <c r="I158" s="2"/>
      <c r="J158" s="19">
        <f t="shared" si="19"/>
        <v>3.7195539577970357E-3</v>
      </c>
      <c r="K158" s="2"/>
      <c r="L158" s="2">
        <f t="shared" si="20"/>
        <v>11683.279999999999</v>
      </c>
      <c r="M158" s="2"/>
      <c r="N158" s="19">
        <f t="shared" si="21"/>
        <v>1.3092211424678164</v>
      </c>
      <c r="O158" s="11"/>
      <c r="P158" s="2">
        <v>109403.67</v>
      </c>
      <c r="Q158" s="2"/>
      <c r="R158" s="19">
        <f t="shared" si="22"/>
        <v>6.0518139358849508E-3</v>
      </c>
      <c r="S158" s="2"/>
      <c r="T158" s="2">
        <v>105443.35</v>
      </c>
      <c r="U158" s="2"/>
      <c r="V158" s="19">
        <f t="shared" si="23"/>
        <v>5.7508509731891786E-3</v>
      </c>
      <c r="W158" s="2"/>
      <c r="X158" s="2">
        <f t="shared" si="24"/>
        <v>3960.3199999999924</v>
      </c>
      <c r="Y158" s="2"/>
      <c r="Z158" s="19">
        <f t="shared" si="25"/>
        <v>3.7558745999629113E-2</v>
      </c>
    </row>
    <row r="159" spans="1:26" s="24" customFormat="1" hidden="1" outlineLevel="1" x14ac:dyDescent="0.25">
      <c r="A159" s="44"/>
      <c r="B159" s="11" t="str">
        <f>CONCATENATE("          ", "5042", " - ", "PURCHASES @ COST-EVERYDAY GIFT")</f>
        <v xml:space="preserve">          5042 - PURCHASES @ COST-EVERYDAY GIFT</v>
      </c>
      <c r="C159" s="11"/>
      <c r="D159" s="2">
        <v>7822.79</v>
      </c>
      <c r="E159" s="2"/>
      <c r="F159" s="19">
        <f t="shared" si="18"/>
        <v>3.9440893114221203E-3</v>
      </c>
      <c r="G159" s="2"/>
      <c r="H159" s="2">
        <v>6183.21</v>
      </c>
      <c r="I159" s="2"/>
      <c r="J159" s="19">
        <f t="shared" si="19"/>
        <v>2.5772294468962027E-3</v>
      </c>
      <c r="K159" s="2"/>
      <c r="L159" s="2">
        <f t="shared" si="20"/>
        <v>1639.58</v>
      </c>
      <c r="M159" s="2"/>
      <c r="N159" s="19">
        <f t="shared" si="21"/>
        <v>0.26516647501863916</v>
      </c>
      <c r="O159" s="11"/>
      <c r="P159" s="2">
        <v>88388.11</v>
      </c>
      <c r="Q159" s="2"/>
      <c r="R159" s="19">
        <f t="shared" si="22"/>
        <v>4.8893094341764948E-3</v>
      </c>
      <c r="S159" s="2"/>
      <c r="T159" s="2">
        <v>80573.990000000005</v>
      </c>
      <c r="U159" s="2"/>
      <c r="V159" s="19">
        <f t="shared" si="23"/>
        <v>4.394482997792039E-3</v>
      </c>
      <c r="W159" s="2"/>
      <c r="X159" s="2">
        <f t="shared" si="24"/>
        <v>7814.1199999999953</v>
      </c>
      <c r="Y159" s="2"/>
      <c r="Z159" s="19">
        <f t="shared" si="25"/>
        <v>9.6980675773906622E-2</v>
      </c>
    </row>
    <row r="160" spans="1:26" s="24" customFormat="1" hidden="1" outlineLevel="1" x14ac:dyDescent="0.25">
      <c r="A160" s="44"/>
      <c r="B160" s="11" t="str">
        <f>CONCATENATE("          ", "5043", " - ", "PURCHASES @ COST-CARDS")</f>
        <v xml:space="preserve">          5043 - PURCHASES @ COST-CARDS</v>
      </c>
      <c r="C160" s="11"/>
      <c r="D160" s="2">
        <v>3256.15</v>
      </c>
      <c r="E160" s="2"/>
      <c r="F160" s="19">
        <f t="shared" si="18"/>
        <v>1.6416836462933477E-3</v>
      </c>
      <c r="G160" s="2"/>
      <c r="H160" s="2">
        <v>280.19</v>
      </c>
      <c r="I160" s="2"/>
      <c r="J160" s="19">
        <f t="shared" si="19"/>
        <v>1.1678625159518227E-4</v>
      </c>
      <c r="K160" s="2"/>
      <c r="L160" s="2">
        <f t="shared" si="20"/>
        <v>2975.96</v>
      </c>
      <c r="M160" s="2"/>
      <c r="N160" s="19">
        <f t="shared" si="21"/>
        <v>10.621221314108285</v>
      </c>
      <c r="O160" s="11"/>
      <c r="P160" s="2">
        <v>6784.89</v>
      </c>
      <c r="Q160" s="2"/>
      <c r="R160" s="19">
        <f t="shared" si="22"/>
        <v>3.75315488552134E-4</v>
      </c>
      <c r="S160" s="2"/>
      <c r="T160" s="2">
        <v>2544.06</v>
      </c>
      <c r="U160" s="2"/>
      <c r="V160" s="19">
        <f t="shared" si="23"/>
        <v>1.3875232460702037E-4</v>
      </c>
      <c r="W160" s="2"/>
      <c r="X160" s="2">
        <f t="shared" si="24"/>
        <v>4240.83</v>
      </c>
      <c r="Y160" s="2"/>
      <c r="Z160" s="19">
        <f t="shared" si="25"/>
        <v>1.6669536095846795</v>
      </c>
    </row>
    <row r="161" spans="1:26" s="24" customFormat="1" hidden="1" outlineLevel="1" x14ac:dyDescent="0.25">
      <c r="A161" s="44"/>
      <c r="B161" s="11" t="str">
        <f>CONCATENATE("          ", "5044", " - ", "PURCHASES @ COST-ACCESSORIES")</f>
        <v xml:space="preserve">          5044 - PURCHASES @ COST-ACCESSORIES</v>
      </c>
      <c r="C161" s="11"/>
      <c r="D161" s="2">
        <v>432</v>
      </c>
      <c r="E161" s="2"/>
      <c r="F161" s="19">
        <f t="shared" si="18"/>
        <v>2.178054866018845E-4</v>
      </c>
      <c r="G161" s="2"/>
      <c r="H161" s="2">
        <v>836</v>
      </c>
      <c r="I161" s="2"/>
      <c r="J161" s="19">
        <f t="shared" si="19"/>
        <v>3.4845392888244544E-4</v>
      </c>
      <c r="K161" s="2"/>
      <c r="L161" s="2">
        <f t="shared" si="20"/>
        <v>-404</v>
      </c>
      <c r="M161" s="2"/>
      <c r="N161" s="19">
        <f t="shared" si="21"/>
        <v>-0.48325358851674644</v>
      </c>
      <c r="O161" s="11"/>
      <c r="P161" s="2">
        <v>17687.580000000002</v>
      </c>
      <c r="Q161" s="2"/>
      <c r="R161" s="19">
        <f t="shared" si="22"/>
        <v>9.7841272725201957E-4</v>
      </c>
      <c r="S161" s="2"/>
      <c r="T161" s="2">
        <v>20975.030000000002</v>
      </c>
      <c r="U161" s="2"/>
      <c r="V161" s="19">
        <f t="shared" si="23"/>
        <v>1.143972300654069E-3</v>
      </c>
      <c r="W161" s="2"/>
      <c r="X161" s="2">
        <f t="shared" si="24"/>
        <v>-3287.4500000000007</v>
      </c>
      <c r="Y161" s="2"/>
      <c r="Z161" s="19">
        <f t="shared" si="25"/>
        <v>-0.15673159943037032</v>
      </c>
    </row>
    <row r="162" spans="1:26" s="24" customFormat="1" hidden="1" outlineLevel="1" x14ac:dyDescent="0.25">
      <c r="A162" s="44"/>
      <c r="B162" s="11" t="str">
        <f>CONCATENATE("          ", "5045", " - ", "PURCHASES @ COST-SPECIAL ORDER")</f>
        <v xml:space="preserve">          5045 - PURCHASES @ COST-SPECIAL ORDER</v>
      </c>
      <c r="C162" s="11"/>
      <c r="D162" s="2">
        <v>-1045.9100000000001</v>
      </c>
      <c r="E162" s="2"/>
      <c r="F162" s="19">
        <f t="shared" si="18"/>
        <v>-5.2732624187911347E-4</v>
      </c>
      <c r="G162" s="2"/>
      <c r="H162" s="2">
        <v>2360.23</v>
      </c>
      <c r="I162" s="2"/>
      <c r="J162" s="19">
        <f t="shared" si="19"/>
        <v>9.8376963704092609E-4</v>
      </c>
      <c r="K162" s="2"/>
      <c r="L162" s="2">
        <f t="shared" si="20"/>
        <v>-3406.1400000000003</v>
      </c>
      <c r="M162" s="2"/>
      <c r="N162" s="19">
        <f t="shared" si="21"/>
        <v>-1.4431390161128366</v>
      </c>
      <c r="O162" s="11"/>
      <c r="P162" s="2">
        <v>41180.579999999994</v>
      </c>
      <c r="Q162" s="2"/>
      <c r="R162" s="19">
        <f t="shared" si="22"/>
        <v>2.277960217713218E-3</v>
      </c>
      <c r="S162" s="2"/>
      <c r="T162" s="2">
        <v>51672.310000000005</v>
      </c>
      <c r="U162" s="2"/>
      <c r="V162" s="19">
        <f t="shared" si="23"/>
        <v>2.8181934114425702E-3</v>
      </c>
      <c r="W162" s="2"/>
      <c r="X162" s="2">
        <f t="shared" si="24"/>
        <v>-10491.73000000001</v>
      </c>
      <c r="Y162" s="2"/>
      <c r="Z162" s="19">
        <f t="shared" si="25"/>
        <v>-0.20304356433842438</v>
      </c>
    </row>
    <row r="163" spans="1:26" s="24" customFormat="1" hidden="1" outlineLevel="1" x14ac:dyDescent="0.25">
      <c r="A163" s="44"/>
      <c r="B163" s="11" t="str">
        <f>CONCATENATE("          ", "5053", " - ", "PURCHASES @ COST-FOOD")</f>
        <v xml:space="preserve">          5053 - PURCHASES @ COST-FOOD</v>
      </c>
      <c r="C163" s="11"/>
      <c r="D163" s="2">
        <v>395743.47</v>
      </c>
      <c r="E163" s="2"/>
      <c r="F163" s="19">
        <f t="shared" si="18"/>
        <v>0.19952569225200989</v>
      </c>
      <c r="G163" s="2"/>
      <c r="H163" s="2">
        <v>387795.99</v>
      </c>
      <c r="I163" s="2"/>
      <c r="J163" s="19">
        <f t="shared" si="19"/>
        <v>0.16163760325401616</v>
      </c>
      <c r="K163" s="2"/>
      <c r="L163" s="2">
        <f t="shared" si="20"/>
        <v>7947.4799999999814</v>
      </c>
      <c r="M163" s="2"/>
      <c r="N163" s="19">
        <f t="shared" si="21"/>
        <v>2.049397158542042E-2</v>
      </c>
      <c r="O163" s="11"/>
      <c r="P163" s="2">
        <v>3290472.85</v>
      </c>
      <c r="Q163" s="2"/>
      <c r="R163" s="19">
        <f t="shared" si="22"/>
        <v>0.18201701505334394</v>
      </c>
      <c r="S163" s="2"/>
      <c r="T163" s="2">
        <v>3174835.54</v>
      </c>
      <c r="U163" s="2"/>
      <c r="V163" s="19">
        <f t="shared" si="23"/>
        <v>0.17315464706806633</v>
      </c>
      <c r="W163" s="2"/>
      <c r="X163" s="2">
        <f t="shared" si="24"/>
        <v>115637.31000000006</v>
      </c>
      <c r="Y163" s="2"/>
      <c r="Z163" s="19">
        <f t="shared" si="25"/>
        <v>3.6423086658529738E-2</v>
      </c>
    </row>
    <row r="164" spans="1:26" s="24" customFormat="1" hidden="1" outlineLevel="1" x14ac:dyDescent="0.25">
      <c r="A164" s="44"/>
      <c r="B164" s="11" t="str">
        <f>CONCATENATE("          ", "5059", " - ", "PURCHASES @ COST-FOOD")</f>
        <v xml:space="preserve">          5059 - PURCHASES @ COST-FOOD</v>
      </c>
      <c r="C164" s="11"/>
      <c r="D164" s="2">
        <v>33635.49</v>
      </c>
      <c r="E164" s="2"/>
      <c r="F164" s="19">
        <f t="shared" si="18"/>
        <v>1.6958320061441712E-2</v>
      </c>
      <c r="G164" s="2"/>
      <c r="H164" s="2">
        <v>90961.03</v>
      </c>
      <c r="I164" s="2"/>
      <c r="J164" s="19">
        <f t="shared" si="19"/>
        <v>3.7913550572600457E-2</v>
      </c>
      <c r="K164" s="2"/>
      <c r="L164" s="2">
        <f t="shared" si="20"/>
        <v>-57325.54</v>
      </c>
      <c r="M164" s="2"/>
      <c r="N164" s="19">
        <f t="shared" si="21"/>
        <v>-0.63022087590696807</v>
      </c>
      <c r="O164" s="11"/>
      <c r="P164" s="2">
        <v>-36144.67</v>
      </c>
      <c r="Q164" s="2"/>
      <c r="R164" s="19">
        <f t="shared" si="22"/>
        <v>-1.9993919547119645E-3</v>
      </c>
      <c r="S164" s="2"/>
      <c r="T164" s="2">
        <v>4090.45</v>
      </c>
      <c r="U164" s="2"/>
      <c r="V164" s="19">
        <f t="shared" si="23"/>
        <v>2.2309200497975143E-4</v>
      </c>
      <c r="W164" s="2"/>
      <c r="X164" s="2">
        <f t="shared" si="24"/>
        <v>-40235.119999999995</v>
      </c>
      <c r="Y164" s="2"/>
      <c r="Z164" s="19">
        <f t="shared" si="25"/>
        <v>-9.8363554132185946</v>
      </c>
    </row>
    <row r="165" spans="1:26" s="24" customFormat="1" hidden="1" outlineLevel="1" x14ac:dyDescent="0.25">
      <c r="A165" s="44"/>
      <c r="B165" s="11" t="str">
        <f>CONCATENATE("          ", "5081", " - ", "PURCHASES @ COST-ELECTRONICS")</f>
        <v xml:space="preserve">          5081 - PURCHASES @ COST-ELECTRONICS</v>
      </c>
      <c r="C165" s="11"/>
      <c r="D165" s="2">
        <v>3128.44</v>
      </c>
      <c r="E165" s="2"/>
      <c r="F165" s="19">
        <f t="shared" si="18"/>
        <v>1.5772948993166655E-3</v>
      </c>
      <c r="G165" s="2"/>
      <c r="H165" s="2">
        <v>2325.7800000000002</v>
      </c>
      <c r="I165" s="2"/>
      <c r="J165" s="19">
        <f t="shared" si="19"/>
        <v>9.6941050085671524E-4</v>
      </c>
      <c r="K165" s="2"/>
      <c r="L165" s="2">
        <f t="shared" si="20"/>
        <v>802.65999999999985</v>
      </c>
      <c r="M165" s="2"/>
      <c r="N165" s="19">
        <f t="shared" si="21"/>
        <v>0.34511432723645391</v>
      </c>
      <c r="O165" s="11"/>
      <c r="P165" s="2">
        <v>189180.98</v>
      </c>
      <c r="Q165" s="2"/>
      <c r="R165" s="19">
        <f t="shared" si="22"/>
        <v>1.0464805167581418E-2</v>
      </c>
      <c r="S165" s="2"/>
      <c r="T165" s="2">
        <v>163212.35</v>
      </c>
      <c r="U165" s="2"/>
      <c r="V165" s="19">
        <f t="shared" si="23"/>
        <v>8.9015561610475465E-3</v>
      </c>
      <c r="W165" s="2"/>
      <c r="X165" s="2">
        <f t="shared" si="24"/>
        <v>25968.630000000005</v>
      </c>
      <c r="Y165" s="2"/>
      <c r="Z165" s="19">
        <f t="shared" si="25"/>
        <v>0.1591094669000232</v>
      </c>
    </row>
    <row r="166" spans="1:26" s="24" customFormat="1" hidden="1" outlineLevel="1" x14ac:dyDescent="0.25">
      <c r="A166" s="44"/>
      <c r="B166" s="11" t="str">
        <f>CONCATENATE("          ", "5082", " - ", "PURCHASES @ COST-COMPUTER HARD")</f>
        <v xml:space="preserve">          5082 - PURCHASES @ COST-COMPUTER HARD</v>
      </c>
      <c r="C166" s="11"/>
      <c r="D166" s="2">
        <v>49932.72</v>
      </c>
      <c r="E166" s="2"/>
      <c r="F166" s="19">
        <f t="shared" si="18"/>
        <v>2.517504716887882E-2</v>
      </c>
      <c r="G166" s="2"/>
      <c r="H166" s="2">
        <v>86281.75</v>
      </c>
      <c r="I166" s="2"/>
      <c r="J166" s="19">
        <f t="shared" si="19"/>
        <v>3.5963175572192509E-2</v>
      </c>
      <c r="K166" s="2"/>
      <c r="L166" s="2">
        <f t="shared" si="20"/>
        <v>-36349.03</v>
      </c>
      <c r="M166" s="2"/>
      <c r="N166" s="19">
        <f t="shared" si="21"/>
        <v>-0.4212829480162375</v>
      </c>
      <c r="O166" s="11"/>
      <c r="P166" s="2">
        <v>1008527.58</v>
      </c>
      <c r="Q166" s="2"/>
      <c r="R166" s="19">
        <f t="shared" si="22"/>
        <v>5.5788085201971052E-2</v>
      </c>
      <c r="S166" s="2"/>
      <c r="T166" s="2">
        <v>945946.30999999994</v>
      </c>
      <c r="U166" s="2"/>
      <c r="V166" s="19">
        <f t="shared" si="23"/>
        <v>5.1591648571941352E-2</v>
      </c>
      <c r="W166" s="2"/>
      <c r="X166" s="2">
        <f t="shared" si="24"/>
        <v>62581.270000000019</v>
      </c>
      <c r="Y166" s="2"/>
      <c r="Z166" s="19">
        <f t="shared" si="25"/>
        <v>6.6157317110312558E-2</v>
      </c>
    </row>
    <row r="167" spans="1:26" s="24" customFormat="1" hidden="1" outlineLevel="1" x14ac:dyDescent="0.25">
      <c r="A167" s="44"/>
      <c r="B167" s="11" t="str">
        <f>CONCATENATE("          ", "5083", " - ", "PURCHASES @ COST-COMPUTER EQUI")</f>
        <v xml:space="preserve">          5083 - PURCHASES @ COST-COMPUTER EQUI</v>
      </c>
      <c r="C167" s="11"/>
      <c r="D167" s="2">
        <v>5662.46</v>
      </c>
      <c r="E167" s="2"/>
      <c r="F167" s="19">
        <f t="shared" si="18"/>
        <v>2.8548954992215435E-3</v>
      </c>
      <c r="G167" s="2"/>
      <c r="H167" s="2">
        <v>4644.99</v>
      </c>
      <c r="I167" s="2"/>
      <c r="J167" s="19">
        <f t="shared" si="19"/>
        <v>1.9360825539708971E-3</v>
      </c>
      <c r="K167" s="2"/>
      <c r="L167" s="2">
        <f t="shared" si="20"/>
        <v>1017.4700000000003</v>
      </c>
      <c r="M167" s="2"/>
      <c r="N167" s="19">
        <f t="shared" si="21"/>
        <v>0.21904675790475336</v>
      </c>
      <c r="O167" s="11"/>
      <c r="P167" s="2">
        <v>54830.780000000006</v>
      </c>
      <c r="Q167" s="2"/>
      <c r="R167" s="19">
        <f t="shared" si="22"/>
        <v>3.0330397373272934E-3</v>
      </c>
      <c r="S167" s="2"/>
      <c r="T167" s="2">
        <v>62050.33</v>
      </c>
      <c r="U167" s="2"/>
      <c r="V167" s="19">
        <f t="shared" si="23"/>
        <v>3.384207734932641E-3</v>
      </c>
      <c r="W167" s="2"/>
      <c r="X167" s="2">
        <f t="shared" si="24"/>
        <v>-7219.5499999999956</v>
      </c>
      <c r="Y167" s="2"/>
      <c r="Z167" s="19">
        <f t="shared" si="25"/>
        <v>-0.1163499049884182</v>
      </c>
    </row>
    <row r="168" spans="1:26" s="24" customFormat="1" hidden="1" outlineLevel="1" x14ac:dyDescent="0.25">
      <c r="A168" s="44"/>
      <c r="B168" s="11" t="str">
        <f>CONCATENATE("          ", "5084", " - ", "PURCHASES @ COST-SOFTWARE LICE")</f>
        <v xml:space="preserve">          5084 - PURCHASES @ COST-SOFTWARE LICE</v>
      </c>
      <c r="C168" s="11"/>
      <c r="D168" s="2"/>
      <c r="E168" s="2"/>
      <c r="F168" s="19">
        <f t="shared" si="18"/>
        <v>0</v>
      </c>
      <c r="G168" s="2"/>
      <c r="H168" s="2">
        <v>1077</v>
      </c>
      <c r="I168" s="2"/>
      <c r="J168" s="19">
        <f t="shared" si="19"/>
        <v>4.4890536053396378E-4</v>
      </c>
      <c r="K168" s="2"/>
      <c r="L168" s="2">
        <f t="shared" si="20"/>
        <v>-1077</v>
      </c>
      <c r="M168" s="2"/>
      <c r="N168" s="19">
        <f t="shared" si="21"/>
        <v>-1</v>
      </c>
      <c r="O168" s="11"/>
      <c r="P168" s="2">
        <v>2728</v>
      </c>
      <c r="Q168" s="2"/>
      <c r="R168" s="19">
        <f t="shared" si="22"/>
        <v>1.5090305852714215E-4</v>
      </c>
      <c r="S168" s="2"/>
      <c r="T168" s="2">
        <v>1750</v>
      </c>
      <c r="U168" s="2"/>
      <c r="V168" s="19">
        <f t="shared" si="23"/>
        <v>9.5444513125588884E-5</v>
      </c>
      <c r="W168" s="2"/>
      <c r="X168" s="2">
        <f t="shared" si="24"/>
        <v>978</v>
      </c>
      <c r="Y168" s="2"/>
      <c r="Z168" s="19">
        <f t="shared" si="25"/>
        <v>0.55885714285714283</v>
      </c>
    </row>
    <row r="169" spans="1:26" s="24" customFormat="1" hidden="1" outlineLevel="1" x14ac:dyDescent="0.25">
      <c r="A169" s="44"/>
      <c r="B169" s="11" t="str">
        <f>CONCATENATE("          ", "5085", " - ", "PURCHASES @ COST-SOFTWARE")</f>
        <v xml:space="preserve">          5085 - PURCHASES @ COST-SOFTWARE</v>
      </c>
      <c r="C169" s="11"/>
      <c r="D169" s="2">
        <v>780.26</v>
      </c>
      <c r="E169" s="2"/>
      <c r="F169" s="19">
        <f t="shared" si="18"/>
        <v>3.9339099299996852E-4</v>
      </c>
      <c r="G169" s="2"/>
      <c r="H169" s="2"/>
      <c r="I169" s="2"/>
      <c r="J169" s="19">
        <f t="shared" si="19"/>
        <v>0</v>
      </c>
      <c r="K169" s="2"/>
      <c r="L169" s="2">
        <f t="shared" si="20"/>
        <v>780.26</v>
      </c>
      <c r="M169" s="2"/>
      <c r="N169" s="19">
        <f t="shared" si="21"/>
        <v>0</v>
      </c>
      <c r="O169" s="11"/>
      <c r="P169" s="2">
        <v>7860.66</v>
      </c>
      <c r="Q169" s="2"/>
      <c r="R169" s="19">
        <f t="shared" si="22"/>
        <v>4.3482318036728928E-4</v>
      </c>
      <c r="S169" s="2"/>
      <c r="T169" s="2">
        <v>6563.47</v>
      </c>
      <c r="U169" s="2"/>
      <c r="V169" s="19">
        <f t="shared" si="23"/>
        <v>3.5796982775109079E-4</v>
      </c>
      <c r="W169" s="2"/>
      <c r="X169" s="2">
        <f t="shared" si="24"/>
        <v>1297.1899999999996</v>
      </c>
      <c r="Y169" s="2"/>
      <c r="Z169" s="19">
        <f t="shared" si="25"/>
        <v>0.19763783486478945</v>
      </c>
    </row>
    <row r="170" spans="1:26" s="24" customFormat="1" hidden="1" outlineLevel="1" x14ac:dyDescent="0.25">
      <c r="A170" s="44"/>
      <c r="B170" s="11" t="str">
        <f>CONCATENATE("          ", "5086", " - ", "PURCHASES @ COST-COMPUTER SUPP")</f>
        <v xml:space="preserve">          5086 - PURCHASES @ COST-COMPUTER SUPP</v>
      </c>
      <c r="C170" s="11"/>
      <c r="D170" s="2">
        <v>1560.99</v>
      </c>
      <c r="E170" s="2"/>
      <c r="F170" s="19">
        <f t="shared" si="18"/>
        <v>7.8701895030249003E-4</v>
      </c>
      <c r="G170" s="2"/>
      <c r="H170" s="2">
        <v>5537.84</v>
      </c>
      <c r="I170" s="2"/>
      <c r="J170" s="19">
        <f t="shared" si="19"/>
        <v>2.3082321836391884E-3</v>
      </c>
      <c r="K170" s="2"/>
      <c r="L170" s="2">
        <f t="shared" si="20"/>
        <v>-3976.8500000000004</v>
      </c>
      <c r="M170" s="2"/>
      <c r="N170" s="19">
        <f t="shared" si="21"/>
        <v>-0.71812295046444108</v>
      </c>
      <c r="O170" s="11"/>
      <c r="P170" s="2">
        <v>20983.64</v>
      </c>
      <c r="Q170" s="2"/>
      <c r="R170" s="19">
        <f t="shared" si="22"/>
        <v>1.1607388031643993E-3</v>
      </c>
      <c r="S170" s="2"/>
      <c r="T170" s="2">
        <v>24564.74</v>
      </c>
      <c r="U170" s="2"/>
      <c r="V170" s="19">
        <f t="shared" si="23"/>
        <v>1.3397540853466734E-3</v>
      </c>
      <c r="W170" s="2"/>
      <c r="X170" s="2">
        <f t="shared" si="24"/>
        <v>-3581.1000000000022</v>
      </c>
      <c r="Y170" s="2"/>
      <c r="Z170" s="19">
        <f t="shared" si="25"/>
        <v>-0.14578212511103322</v>
      </c>
    </row>
    <row r="171" spans="1:26" s="24" customFormat="1" hidden="1" outlineLevel="1" x14ac:dyDescent="0.25">
      <c r="A171" s="44"/>
      <c r="B171" s="11" t="str">
        <f>CONCATENATE("          ", "5088", " - ", "PURCHASES @ COST-MUSIC")</f>
        <v xml:space="preserve">          5088 - PURCHASES @ COST-MUSIC</v>
      </c>
      <c r="C171" s="11"/>
      <c r="D171" s="2"/>
      <c r="E171" s="2"/>
      <c r="F171" s="19">
        <f t="shared" si="18"/>
        <v>0</v>
      </c>
      <c r="G171" s="2"/>
      <c r="H171" s="2"/>
      <c r="I171" s="2"/>
      <c r="J171" s="19">
        <f t="shared" si="19"/>
        <v>0</v>
      </c>
      <c r="K171" s="2"/>
      <c r="L171" s="2">
        <f t="shared" si="20"/>
        <v>0</v>
      </c>
      <c r="M171" s="2"/>
      <c r="N171" s="19">
        <f t="shared" si="21"/>
        <v>0</v>
      </c>
      <c r="O171" s="11"/>
      <c r="P171" s="2">
        <v>88.75</v>
      </c>
      <c r="Q171" s="2"/>
      <c r="R171" s="19">
        <f t="shared" si="22"/>
        <v>4.9093278754706252E-6</v>
      </c>
      <c r="S171" s="2"/>
      <c r="T171" s="2">
        <v>0</v>
      </c>
      <c r="U171" s="2"/>
      <c r="V171" s="19">
        <f t="shared" si="23"/>
        <v>0</v>
      </c>
      <c r="W171" s="2"/>
      <c r="X171" s="2">
        <f t="shared" si="24"/>
        <v>88.75</v>
      </c>
      <c r="Y171" s="2"/>
      <c r="Z171" s="19">
        <f t="shared" si="25"/>
        <v>0</v>
      </c>
    </row>
    <row r="172" spans="1:26" s="24" customFormat="1" hidden="1" outlineLevel="1" x14ac:dyDescent="0.25">
      <c r="A172" s="44"/>
      <c r="B172" s="11" t="str">
        <f>CONCATENATE("          ", "5092", " - ", "PURCHASES @ COST-GRAD MERCH")</f>
        <v xml:space="preserve">          5092 - PURCHASES @ COST-GRAD MERCH</v>
      </c>
      <c r="C172" s="11"/>
      <c r="D172" s="2"/>
      <c r="E172" s="2"/>
      <c r="F172" s="19">
        <f t="shared" si="18"/>
        <v>0</v>
      </c>
      <c r="G172" s="2"/>
      <c r="H172" s="2">
        <v>828</v>
      </c>
      <c r="I172" s="2"/>
      <c r="J172" s="19">
        <f t="shared" si="19"/>
        <v>3.4511944152471866E-4</v>
      </c>
      <c r="K172" s="2"/>
      <c r="L172" s="2">
        <f t="shared" si="20"/>
        <v>-828</v>
      </c>
      <c r="M172" s="2"/>
      <c r="N172" s="19">
        <f t="shared" si="21"/>
        <v>-1</v>
      </c>
      <c r="O172" s="11"/>
      <c r="P172" s="2">
        <v>1924.14</v>
      </c>
      <c r="Q172" s="2"/>
      <c r="R172" s="19">
        <f t="shared" si="22"/>
        <v>1.0643644099502028E-4</v>
      </c>
      <c r="S172" s="2"/>
      <c r="T172" s="2">
        <v>-1870.04</v>
      </c>
      <c r="U172" s="2"/>
      <c r="V172" s="19">
        <f t="shared" si="23"/>
        <v>-1.0199146132878642E-4</v>
      </c>
      <c r="W172" s="2"/>
      <c r="X172" s="2">
        <f t="shared" si="24"/>
        <v>3794.1800000000003</v>
      </c>
      <c r="Y172" s="2"/>
      <c r="Z172" s="19">
        <f t="shared" si="25"/>
        <v>-2.0289298624628351</v>
      </c>
    </row>
    <row r="173" spans="1:26" s="24" customFormat="1" hidden="1" outlineLevel="1" x14ac:dyDescent="0.25">
      <c r="A173" s="44"/>
      <c r="B173" s="11" t="str">
        <f>CONCATENATE("          ", "5095", " - ", "PURCHASES @ COST-CUSTOMER SERV")</f>
        <v xml:space="preserve">          5095 - PURCHASES @ COST-CUSTOMER SERV</v>
      </c>
      <c r="C173" s="11"/>
      <c r="D173" s="2"/>
      <c r="E173" s="2"/>
      <c r="F173" s="19">
        <f t="shared" si="18"/>
        <v>0</v>
      </c>
      <c r="G173" s="2"/>
      <c r="H173" s="2">
        <v>0</v>
      </c>
      <c r="I173" s="2"/>
      <c r="J173" s="19">
        <f t="shared" si="19"/>
        <v>0</v>
      </c>
      <c r="K173" s="2"/>
      <c r="L173" s="2">
        <f t="shared" si="20"/>
        <v>0</v>
      </c>
      <c r="M173" s="2"/>
      <c r="N173" s="19">
        <f t="shared" si="21"/>
        <v>0</v>
      </c>
      <c r="O173" s="11"/>
      <c r="P173" s="2">
        <v>0</v>
      </c>
      <c r="Q173" s="2"/>
      <c r="R173" s="19">
        <f t="shared" si="22"/>
        <v>0</v>
      </c>
      <c r="S173" s="2"/>
      <c r="T173" s="2">
        <v>0</v>
      </c>
      <c r="U173" s="2"/>
      <c r="V173" s="19">
        <f t="shared" si="23"/>
        <v>0</v>
      </c>
      <c r="W173" s="2"/>
      <c r="X173" s="2">
        <f t="shared" si="24"/>
        <v>0</v>
      </c>
      <c r="Y173" s="2"/>
      <c r="Z173" s="19">
        <f t="shared" si="25"/>
        <v>0</v>
      </c>
    </row>
    <row r="174" spans="1:26" s="24" customFormat="1" hidden="1" outlineLevel="1" x14ac:dyDescent="0.25">
      <c r="A174" s="44"/>
      <c r="B174" s="11" t="str">
        <f>CONCATENATE("          ", "5200", " - ", "PURCHASES OFFSET")</f>
        <v xml:space="preserve">          5200 - PURCHASES OFFSET</v>
      </c>
      <c r="C174" s="11"/>
      <c r="D174" s="2">
        <v>-422519</v>
      </c>
      <c r="E174" s="2"/>
      <c r="F174" s="19">
        <f t="shared" si="18"/>
        <v>-0.21302536202208711</v>
      </c>
      <c r="G174" s="2"/>
      <c r="H174" s="2">
        <v>-658747</v>
      </c>
      <c r="I174" s="2"/>
      <c r="J174" s="19">
        <f t="shared" si="19"/>
        <v>-0.27457294293005297</v>
      </c>
      <c r="K174" s="2"/>
      <c r="L174" s="2">
        <f t="shared" si="20"/>
        <v>236228</v>
      </c>
      <c r="M174" s="2"/>
      <c r="N174" s="19">
        <f t="shared" si="21"/>
        <v>-0.35860201260878605</v>
      </c>
      <c r="O174" s="11"/>
      <c r="P174" s="2">
        <v>-4268163</v>
      </c>
      <c r="Q174" s="2"/>
      <c r="R174" s="19">
        <f t="shared" si="22"/>
        <v>-0.23609928555439247</v>
      </c>
      <c r="S174" s="2"/>
      <c r="T174" s="2">
        <v>-4395711</v>
      </c>
      <c r="U174" s="2"/>
      <c r="V174" s="19">
        <f t="shared" si="23"/>
        <v>-0.23974085499188311</v>
      </c>
      <c r="W174" s="2"/>
      <c r="X174" s="2">
        <f t="shared" si="24"/>
        <v>127548</v>
      </c>
      <c r="Y174" s="2"/>
      <c r="Z174" s="19">
        <f t="shared" si="25"/>
        <v>-2.901646627815159E-2</v>
      </c>
    </row>
    <row r="175" spans="1:26" s="24" customFormat="1" hidden="1" outlineLevel="1" x14ac:dyDescent="0.25">
      <c r="A175" s="44"/>
      <c r="B175" s="11" t="str">
        <f>CONCATENATE("          ", "5300", " - ", "COG$ OFFSET")</f>
        <v xml:space="preserve">          5300 - COG$ OFFSET</v>
      </c>
      <c r="C175" s="11"/>
      <c r="D175" s="2">
        <v>240738.46999999997</v>
      </c>
      <c r="E175" s="2"/>
      <c r="F175" s="19">
        <f t="shared" si="18"/>
        <v>0.12137536944940548</v>
      </c>
      <c r="G175" s="2"/>
      <c r="H175" s="2">
        <v>393610</v>
      </c>
      <c r="I175" s="2"/>
      <c r="J175" s="19">
        <f t="shared" si="19"/>
        <v>0.16406094610935329</v>
      </c>
      <c r="K175" s="2"/>
      <c r="L175" s="2">
        <f t="shared" si="20"/>
        <v>-152871.53000000003</v>
      </c>
      <c r="M175" s="2"/>
      <c r="N175" s="19">
        <f t="shared" si="21"/>
        <v>-0.38838324737684515</v>
      </c>
      <c r="O175" s="11"/>
      <c r="P175" s="2">
        <v>3920135.4699999997</v>
      </c>
      <c r="Q175" s="2"/>
      <c r="R175" s="19">
        <f t="shared" si="22"/>
        <v>0.21684766578582693</v>
      </c>
      <c r="S175" s="2"/>
      <c r="T175" s="2">
        <v>4078909</v>
      </c>
      <c r="U175" s="2"/>
      <c r="V175" s="19">
        <f t="shared" si="23"/>
        <v>0.22246256205061862</v>
      </c>
      <c r="W175" s="2"/>
      <c r="X175" s="2">
        <f t="shared" si="24"/>
        <v>-158773.53000000026</v>
      </c>
      <c r="Y175" s="2"/>
      <c r="Z175" s="19">
        <f t="shared" si="25"/>
        <v>-3.8925489634605785E-2</v>
      </c>
    </row>
    <row r="176" spans="1:26" s="24" customFormat="1" hidden="1" outlineLevel="1" x14ac:dyDescent="0.25">
      <c r="A176" s="44"/>
      <c r="B176" s="11" t="str">
        <f>CONCATENATE("          ", "5500", " - ", "FREIGHT-IN")</f>
        <v xml:space="preserve">          5500 - FREIGHT-IN</v>
      </c>
      <c r="C176" s="11"/>
      <c r="D176" s="2">
        <v>80</v>
      </c>
      <c r="E176" s="2"/>
      <c r="F176" s="19">
        <f t="shared" si="18"/>
        <v>4.033434937071935E-5</v>
      </c>
      <c r="G176" s="2"/>
      <c r="H176" s="2">
        <v>10.5</v>
      </c>
      <c r="I176" s="2"/>
      <c r="J176" s="19">
        <f t="shared" si="19"/>
        <v>4.3765146570163601E-6</v>
      </c>
      <c r="K176" s="2"/>
      <c r="L176" s="2">
        <f t="shared" si="20"/>
        <v>69.5</v>
      </c>
      <c r="M176" s="2"/>
      <c r="N176" s="19">
        <f t="shared" si="21"/>
        <v>6.6190476190476186</v>
      </c>
      <c r="O176" s="11"/>
      <c r="P176" s="2">
        <v>115.23</v>
      </c>
      <c r="Q176" s="2"/>
      <c r="R176" s="19">
        <f t="shared" si="22"/>
        <v>6.3741053643997768E-6</v>
      </c>
      <c r="S176" s="2"/>
      <c r="T176" s="2">
        <v>24.58</v>
      </c>
      <c r="U176" s="2"/>
      <c r="V176" s="19">
        <f t="shared" si="23"/>
        <v>1.3405863615011283E-6</v>
      </c>
      <c r="W176" s="2"/>
      <c r="X176" s="2">
        <f t="shared" si="24"/>
        <v>90.65</v>
      </c>
      <c r="Y176" s="2"/>
      <c r="Z176" s="19">
        <f t="shared" si="25"/>
        <v>3.687957689178194</v>
      </c>
    </row>
    <row r="177" spans="1:26" s="24" customFormat="1" hidden="1" outlineLevel="1" x14ac:dyDescent="0.25">
      <c r="A177" s="44"/>
      <c r="B177" s="11" t="str">
        <f>CONCATENATE("          ", "5501", " - ", "FREIGHT-IN-NEW TEXT")</f>
        <v xml:space="preserve">          5501 - FREIGHT-IN-NEW TEXT</v>
      </c>
      <c r="C177" s="11"/>
      <c r="D177" s="2">
        <v>4162.3900000000003</v>
      </c>
      <c r="E177" s="2"/>
      <c r="F177" s="19">
        <f t="shared" si="18"/>
        <v>2.0985911559648568E-3</v>
      </c>
      <c r="G177" s="2"/>
      <c r="H177" s="2">
        <v>2096.16</v>
      </c>
      <c r="I177" s="2"/>
      <c r="J177" s="19">
        <f t="shared" si="19"/>
        <v>8.7370237747156309E-4</v>
      </c>
      <c r="K177" s="2"/>
      <c r="L177" s="2">
        <f t="shared" si="20"/>
        <v>2066.2300000000005</v>
      </c>
      <c r="M177" s="2"/>
      <c r="N177" s="19">
        <f t="shared" si="21"/>
        <v>0.98572150980841189</v>
      </c>
      <c r="O177" s="11"/>
      <c r="P177" s="2">
        <v>38669.939999999995</v>
      </c>
      <c r="Q177" s="2"/>
      <c r="R177" s="19">
        <f t="shared" si="22"/>
        <v>2.1390807254622708E-3</v>
      </c>
      <c r="S177" s="2"/>
      <c r="T177" s="2">
        <v>38895.120000000003</v>
      </c>
      <c r="U177" s="2"/>
      <c r="V177" s="19">
        <f t="shared" si="23"/>
        <v>2.12132902363506E-3</v>
      </c>
      <c r="W177" s="2"/>
      <c r="X177" s="2">
        <f t="shared" si="24"/>
        <v>-225.18000000000757</v>
      </c>
      <c r="Y177" s="2"/>
      <c r="Z177" s="19">
        <f t="shared" si="25"/>
        <v>-5.7894152274117561E-3</v>
      </c>
    </row>
    <row r="178" spans="1:26" s="24" customFormat="1" hidden="1" outlineLevel="1" x14ac:dyDescent="0.25">
      <c r="A178" s="44"/>
      <c r="B178" s="11" t="str">
        <f>CONCATENATE("          ", "5502", " - ", "FREIGHT-IN-USED TEXT")</f>
        <v xml:space="preserve">          5502 - FREIGHT-IN-USED TEXT</v>
      </c>
      <c r="C178" s="11"/>
      <c r="D178" s="2">
        <v>563.29999999999995</v>
      </c>
      <c r="E178" s="2"/>
      <c r="F178" s="19">
        <f t="shared" si="18"/>
        <v>2.8400423750657758E-4</v>
      </c>
      <c r="G178" s="2"/>
      <c r="H178" s="2">
        <v>119.04</v>
      </c>
      <c r="I178" s="2"/>
      <c r="J178" s="19">
        <f t="shared" si="19"/>
        <v>4.961717188297405E-5</v>
      </c>
      <c r="K178" s="2"/>
      <c r="L178" s="2">
        <f t="shared" si="20"/>
        <v>444.25999999999993</v>
      </c>
      <c r="M178" s="2"/>
      <c r="N178" s="19">
        <f t="shared" si="21"/>
        <v>3.7320228494623646</v>
      </c>
      <c r="O178" s="11"/>
      <c r="P178" s="2">
        <v>7653.42</v>
      </c>
      <c r="Q178" s="2"/>
      <c r="R178" s="19">
        <f t="shared" si="22"/>
        <v>4.2335941575982413E-4</v>
      </c>
      <c r="S178" s="2"/>
      <c r="T178" s="2">
        <v>7870.09</v>
      </c>
      <c r="U178" s="2"/>
      <c r="V178" s="19">
        <f t="shared" si="23"/>
        <v>4.2923251903118043E-4</v>
      </c>
      <c r="W178" s="2"/>
      <c r="X178" s="2">
        <f t="shared" si="24"/>
        <v>-216.67000000000007</v>
      </c>
      <c r="Y178" s="2"/>
      <c r="Z178" s="19">
        <f t="shared" si="25"/>
        <v>-2.7530816038952549E-2</v>
      </c>
    </row>
    <row r="179" spans="1:26" s="24" customFormat="1" hidden="1" outlineLevel="1" x14ac:dyDescent="0.25">
      <c r="A179" s="44"/>
      <c r="B179" s="11" t="str">
        <f>CONCATENATE("          ", "5504", " - ", "FREIGHT-IN-DIGITAL TEXT")</f>
        <v xml:space="preserve">          5504 - FREIGHT-IN-DIGITAL TEXT</v>
      </c>
      <c r="C179" s="11"/>
      <c r="D179" s="2"/>
      <c r="E179" s="2"/>
      <c r="F179" s="19">
        <f t="shared" si="18"/>
        <v>0</v>
      </c>
      <c r="G179" s="2"/>
      <c r="H179" s="2"/>
      <c r="I179" s="2"/>
      <c r="J179" s="19">
        <f t="shared" si="19"/>
        <v>0</v>
      </c>
      <c r="K179" s="2"/>
      <c r="L179" s="2">
        <f t="shared" si="20"/>
        <v>0</v>
      </c>
      <c r="M179" s="2"/>
      <c r="N179" s="19">
        <f t="shared" si="21"/>
        <v>0</v>
      </c>
      <c r="O179" s="11"/>
      <c r="P179" s="2">
        <v>105.97</v>
      </c>
      <c r="Q179" s="2"/>
      <c r="R179" s="19">
        <f t="shared" si="22"/>
        <v>5.8618757742379961E-6</v>
      </c>
      <c r="S179" s="2"/>
      <c r="T179" s="2">
        <v>166.22</v>
      </c>
      <c r="U179" s="2"/>
      <c r="V179" s="19">
        <f t="shared" si="23"/>
        <v>9.0655925552773612E-6</v>
      </c>
      <c r="W179" s="2"/>
      <c r="X179" s="2">
        <f t="shared" si="24"/>
        <v>-60.25</v>
      </c>
      <c r="Y179" s="2"/>
      <c r="Z179" s="19">
        <f t="shared" si="25"/>
        <v>-0.36247142341475153</v>
      </c>
    </row>
    <row r="180" spans="1:26" s="24" customFormat="1" hidden="1" outlineLevel="1" x14ac:dyDescent="0.25">
      <c r="A180" s="44"/>
      <c r="B180" s="11" t="str">
        <f>CONCATENATE("          ", "5513", " - ", "FREIGHT-IN-TRADE BOOKS")</f>
        <v xml:space="preserve">          5513 - FREIGHT-IN-TRADE BOOKS</v>
      </c>
      <c r="C180" s="11"/>
      <c r="D180" s="2">
        <v>9.08</v>
      </c>
      <c r="E180" s="2"/>
      <c r="F180" s="19">
        <f t="shared" si="18"/>
        <v>4.5779486535766465E-6</v>
      </c>
      <c r="G180" s="2"/>
      <c r="H180" s="2"/>
      <c r="I180" s="2"/>
      <c r="J180" s="19">
        <f t="shared" si="19"/>
        <v>0</v>
      </c>
      <c r="K180" s="2"/>
      <c r="L180" s="2">
        <f t="shared" si="20"/>
        <v>9.08</v>
      </c>
      <c r="M180" s="2"/>
      <c r="N180" s="19">
        <f t="shared" si="21"/>
        <v>0</v>
      </c>
      <c r="O180" s="11"/>
      <c r="P180" s="2">
        <v>21.41</v>
      </c>
      <c r="Q180" s="2"/>
      <c r="R180" s="19">
        <f t="shared" si="22"/>
        <v>1.1843234908600124E-6</v>
      </c>
      <c r="S180" s="2"/>
      <c r="T180" s="2">
        <v>12.22</v>
      </c>
      <c r="U180" s="2"/>
      <c r="V180" s="19">
        <f t="shared" si="23"/>
        <v>6.6647540022554064E-7</v>
      </c>
      <c r="W180" s="2"/>
      <c r="X180" s="2">
        <f t="shared" si="24"/>
        <v>9.19</v>
      </c>
      <c r="Y180" s="2"/>
      <c r="Z180" s="19">
        <f t="shared" si="25"/>
        <v>0.7520458265139115</v>
      </c>
    </row>
    <row r="181" spans="1:26" s="24" customFormat="1" hidden="1" outlineLevel="1" x14ac:dyDescent="0.25">
      <c r="A181" s="44"/>
      <c r="B181" s="11" t="str">
        <f>CONCATENATE("          ", "5518", " - ", "FREIGHT-IN-STUDY GUIDES")</f>
        <v xml:space="preserve">          5518 - FREIGHT-IN-STUDY GUIDES</v>
      </c>
      <c r="C181" s="11"/>
      <c r="D181" s="2">
        <v>8.8699999999999992</v>
      </c>
      <c r="E181" s="2"/>
      <c r="F181" s="19">
        <f t="shared" si="18"/>
        <v>4.4720709864785079E-6</v>
      </c>
      <c r="G181" s="2"/>
      <c r="H181" s="2"/>
      <c r="I181" s="2"/>
      <c r="J181" s="19">
        <f t="shared" si="19"/>
        <v>0</v>
      </c>
      <c r="K181" s="2"/>
      <c r="L181" s="2">
        <f t="shared" si="20"/>
        <v>8.8699999999999992</v>
      </c>
      <c r="M181" s="2"/>
      <c r="N181" s="19">
        <f t="shared" si="21"/>
        <v>0</v>
      </c>
      <c r="O181" s="11"/>
      <c r="P181" s="2">
        <v>21.13</v>
      </c>
      <c r="Q181" s="2"/>
      <c r="R181" s="19">
        <f t="shared" si="22"/>
        <v>1.1688349071402177E-6</v>
      </c>
      <c r="S181" s="2"/>
      <c r="T181" s="2"/>
      <c r="U181" s="2"/>
      <c r="V181" s="19">
        <f t="shared" si="23"/>
        <v>0</v>
      </c>
      <c r="W181" s="2"/>
      <c r="X181" s="2">
        <f t="shared" si="24"/>
        <v>21.13</v>
      </c>
      <c r="Y181" s="2"/>
      <c r="Z181" s="19">
        <f t="shared" si="25"/>
        <v>0</v>
      </c>
    </row>
    <row r="182" spans="1:26" s="24" customFormat="1" hidden="1" outlineLevel="1" x14ac:dyDescent="0.25">
      <c r="A182" s="44"/>
      <c r="B182" s="11" t="str">
        <f>CONCATENATE("          ", "5525", " - ", "FREIGHT-IN-TEST FORMS")</f>
        <v xml:space="preserve">          5525 - FREIGHT-IN-TEST FORMS</v>
      </c>
      <c r="C182" s="11"/>
      <c r="D182" s="2">
        <v>247.49</v>
      </c>
      <c r="E182" s="2"/>
      <c r="F182" s="19">
        <f t="shared" si="18"/>
        <v>1.2477935157199164E-4</v>
      </c>
      <c r="G182" s="2"/>
      <c r="H182" s="2"/>
      <c r="I182" s="2"/>
      <c r="J182" s="19">
        <f t="shared" si="19"/>
        <v>0</v>
      </c>
      <c r="K182" s="2"/>
      <c r="L182" s="2">
        <f t="shared" si="20"/>
        <v>247.49</v>
      </c>
      <c r="M182" s="2"/>
      <c r="N182" s="19">
        <f t="shared" si="21"/>
        <v>0</v>
      </c>
      <c r="O182" s="11"/>
      <c r="P182" s="2">
        <v>622.41</v>
      </c>
      <c r="Q182" s="2"/>
      <c r="R182" s="19">
        <f t="shared" si="22"/>
        <v>3.4429462117990669E-5</v>
      </c>
      <c r="S182" s="2"/>
      <c r="T182" s="2">
        <v>50.92</v>
      </c>
      <c r="U182" s="2"/>
      <c r="V182" s="19">
        <f t="shared" si="23"/>
        <v>2.7771626333457061E-6</v>
      </c>
      <c r="W182" s="2"/>
      <c r="X182" s="2">
        <f t="shared" si="24"/>
        <v>571.49</v>
      </c>
      <c r="Y182" s="2"/>
      <c r="Z182" s="19">
        <f t="shared" si="25"/>
        <v>11.223291437549097</v>
      </c>
    </row>
    <row r="183" spans="1:26" s="24" customFormat="1" hidden="1" outlineLevel="1" x14ac:dyDescent="0.25">
      <c r="A183" s="44"/>
      <c r="B183" s="11" t="str">
        <f>CONCATENATE("          ", "5526", " - ", "FREIGHT-IN-WRITING INSTRUMENTS")</f>
        <v xml:space="preserve">          5526 - FREIGHT-IN-WRITING INSTRUMENTS</v>
      </c>
      <c r="C183" s="11"/>
      <c r="D183" s="2">
        <v>42.86</v>
      </c>
      <c r="E183" s="2"/>
      <c r="F183" s="19">
        <f t="shared" si="18"/>
        <v>2.1609127675362893E-5</v>
      </c>
      <c r="G183" s="2"/>
      <c r="H183" s="2">
        <v>13.98</v>
      </c>
      <c r="I183" s="2"/>
      <c r="J183" s="19">
        <f t="shared" si="19"/>
        <v>5.8270166576274964E-6</v>
      </c>
      <c r="K183" s="2"/>
      <c r="L183" s="2">
        <f t="shared" si="20"/>
        <v>28.88</v>
      </c>
      <c r="M183" s="2"/>
      <c r="N183" s="19">
        <f t="shared" si="21"/>
        <v>2.0658082975679539</v>
      </c>
      <c r="O183" s="11"/>
      <c r="P183" s="2">
        <v>260.35000000000002</v>
      </c>
      <c r="Q183" s="2"/>
      <c r="R183" s="19">
        <f t="shared" si="22"/>
        <v>1.4401617040887633E-5</v>
      </c>
      <c r="S183" s="2"/>
      <c r="T183" s="2">
        <v>114.3</v>
      </c>
      <c r="U183" s="2"/>
      <c r="V183" s="19">
        <f t="shared" si="23"/>
        <v>6.2338902001456047E-6</v>
      </c>
      <c r="W183" s="2"/>
      <c r="X183" s="2">
        <f t="shared" si="24"/>
        <v>146.05000000000001</v>
      </c>
      <c r="Y183" s="2"/>
      <c r="Z183" s="19">
        <f t="shared" si="25"/>
        <v>1.2777777777777779</v>
      </c>
    </row>
    <row r="184" spans="1:26" s="24" customFormat="1" hidden="1" outlineLevel="1" x14ac:dyDescent="0.25">
      <c r="A184" s="44"/>
      <c r="B184" s="11" t="str">
        <f>CONCATENATE("          ", "5527", " - ", "FREIGHT-IN-SCHOOL SUPPLIES")</f>
        <v xml:space="preserve">          5527 - FREIGHT-IN-SCHOOL SUPPLIES</v>
      </c>
      <c r="C184" s="11"/>
      <c r="D184" s="2">
        <v>25.34</v>
      </c>
      <c r="E184" s="2"/>
      <c r="F184" s="19">
        <f t="shared" si="18"/>
        <v>1.2775905163175354E-5</v>
      </c>
      <c r="G184" s="2"/>
      <c r="H184" s="2">
        <v>215.94</v>
      </c>
      <c r="I184" s="2"/>
      <c r="J184" s="19">
        <f t="shared" si="19"/>
        <v>9.0006150003439308E-5</v>
      </c>
      <c r="K184" s="2"/>
      <c r="L184" s="2">
        <f t="shared" si="20"/>
        <v>-190.6</v>
      </c>
      <c r="M184" s="2"/>
      <c r="N184" s="19">
        <f t="shared" si="21"/>
        <v>-0.88265258868204133</v>
      </c>
      <c r="O184" s="11"/>
      <c r="P184" s="2">
        <v>897.92</v>
      </c>
      <c r="Q184" s="2"/>
      <c r="R184" s="19">
        <f t="shared" si="22"/>
        <v>4.9669675334564321E-5</v>
      </c>
      <c r="S184" s="2"/>
      <c r="T184" s="2">
        <v>1225.6500000000001</v>
      </c>
      <c r="U184" s="2"/>
      <c r="V184" s="19">
        <f t="shared" si="23"/>
        <v>6.6846610007073151E-5</v>
      </c>
      <c r="W184" s="2"/>
      <c r="X184" s="2">
        <f t="shared" si="24"/>
        <v>-327.73000000000013</v>
      </c>
      <c r="Y184" s="2"/>
      <c r="Z184" s="19">
        <f t="shared" si="25"/>
        <v>-0.26739281197731823</v>
      </c>
    </row>
    <row r="185" spans="1:26" s="24" customFormat="1" hidden="1" outlineLevel="1" x14ac:dyDescent="0.25">
      <c r="A185" s="44"/>
      <c r="B185" s="11" t="str">
        <f>CONCATENATE("          ", "5528", " - ", "FREIGHT-IN-ART/TECH")</f>
        <v xml:space="preserve">          5528 - FREIGHT-IN-ART/TECH</v>
      </c>
      <c r="C185" s="11"/>
      <c r="D185" s="2">
        <v>187.14</v>
      </c>
      <c r="E185" s="2"/>
      <c r="F185" s="19">
        <f t="shared" si="18"/>
        <v>9.4352126765455237E-5</v>
      </c>
      <c r="G185" s="2"/>
      <c r="H185" s="2">
        <v>152.88</v>
      </c>
      <c r="I185" s="2"/>
      <c r="J185" s="19">
        <f t="shared" si="19"/>
        <v>6.3722053406158196E-5</v>
      </c>
      <c r="K185" s="2"/>
      <c r="L185" s="2">
        <f t="shared" si="20"/>
        <v>34.259999999999991</v>
      </c>
      <c r="M185" s="2"/>
      <c r="N185" s="19">
        <f t="shared" si="21"/>
        <v>0.22409733124018832</v>
      </c>
      <c r="O185" s="11"/>
      <c r="P185" s="2">
        <v>1110.6400000000001</v>
      </c>
      <c r="Q185" s="2"/>
      <c r="R185" s="19">
        <f t="shared" si="22"/>
        <v>6.143657365197404E-5</v>
      </c>
      <c r="S185" s="2"/>
      <c r="T185" s="2">
        <v>4657.53</v>
      </c>
      <c r="U185" s="2"/>
      <c r="V185" s="19">
        <f t="shared" si="23"/>
        <v>2.5402039041018512E-4</v>
      </c>
      <c r="W185" s="2"/>
      <c r="X185" s="2">
        <f t="shared" si="24"/>
        <v>-3546.8899999999994</v>
      </c>
      <c r="Y185" s="2"/>
      <c r="Z185" s="19">
        <f t="shared" si="25"/>
        <v>-0.76153884140306116</v>
      </c>
    </row>
    <row r="186" spans="1:26" s="24" customFormat="1" hidden="1" outlineLevel="1" x14ac:dyDescent="0.25">
      <c r="A186" s="44"/>
      <c r="B186" s="11" t="str">
        <f>CONCATENATE("          ", "5540", " - ", "FREIGHT-IN-LOGO CLOTHING")</f>
        <v xml:space="preserve">          5540 - FREIGHT-IN-LOGO CLOTHING</v>
      </c>
      <c r="C186" s="11"/>
      <c r="D186" s="2">
        <v>4036.06</v>
      </c>
      <c r="E186" s="2"/>
      <c r="F186" s="19">
        <f t="shared" si="18"/>
        <v>2.0348981765148191E-3</v>
      </c>
      <c r="G186" s="2"/>
      <c r="H186" s="2">
        <v>4053.14</v>
      </c>
      <c r="I186" s="2"/>
      <c r="J186" s="19">
        <f t="shared" si="19"/>
        <v>1.6893930111370752E-3</v>
      </c>
      <c r="K186" s="2"/>
      <c r="L186" s="2">
        <f t="shared" si="20"/>
        <v>-17.079999999999927</v>
      </c>
      <c r="M186" s="2"/>
      <c r="N186" s="19">
        <f t="shared" si="21"/>
        <v>-4.214016786984888E-3</v>
      </c>
      <c r="O186" s="11"/>
      <c r="P186" s="2">
        <v>24277.390000000003</v>
      </c>
      <c r="Q186" s="2"/>
      <c r="R186" s="19">
        <f t="shared" si="22"/>
        <v>1.3429370982610909E-3</v>
      </c>
      <c r="S186" s="2"/>
      <c r="T186" s="2">
        <v>16252.329999999998</v>
      </c>
      <c r="U186" s="2"/>
      <c r="V186" s="19">
        <f t="shared" si="23"/>
        <v>8.8639755657508672E-4</v>
      </c>
      <c r="W186" s="2"/>
      <c r="X186" s="2">
        <f t="shared" si="24"/>
        <v>8025.0600000000049</v>
      </c>
      <c r="Y186" s="2"/>
      <c r="Z186" s="19">
        <f t="shared" si="25"/>
        <v>0.49377904583527443</v>
      </c>
    </row>
    <row r="187" spans="1:26" s="24" customFormat="1" hidden="1" outlineLevel="1" x14ac:dyDescent="0.25">
      <c r="A187" s="44"/>
      <c r="B187" s="11" t="str">
        <f>CONCATENATE("          ", "5541", " - ", "FREIGHT-IN-LOGO GIFTS")</f>
        <v xml:space="preserve">          5541 - FREIGHT-IN-LOGO GIFTS</v>
      </c>
      <c r="C187" s="11"/>
      <c r="D187" s="2">
        <v>709.94</v>
      </c>
      <c r="E187" s="2"/>
      <c r="F187" s="19">
        <f t="shared" si="18"/>
        <v>3.5793709990310625E-4</v>
      </c>
      <c r="G187" s="2"/>
      <c r="H187" s="2">
        <v>788.21</v>
      </c>
      <c r="I187" s="2"/>
      <c r="J187" s="19">
        <f t="shared" si="19"/>
        <v>3.2853453502922525E-4</v>
      </c>
      <c r="K187" s="2"/>
      <c r="L187" s="2">
        <f t="shared" si="20"/>
        <v>-78.269999999999982</v>
      </c>
      <c r="M187" s="2"/>
      <c r="N187" s="19">
        <f t="shared" si="21"/>
        <v>-9.9300947716978949E-2</v>
      </c>
      <c r="O187" s="11"/>
      <c r="P187" s="2">
        <v>3562.77</v>
      </c>
      <c r="Q187" s="2"/>
      <c r="R187" s="19">
        <f t="shared" si="22"/>
        <v>1.970795050691885E-4</v>
      </c>
      <c r="S187" s="2"/>
      <c r="T187" s="2">
        <v>4756.21</v>
      </c>
      <c r="U187" s="2"/>
      <c r="V187" s="19">
        <f t="shared" si="23"/>
        <v>2.5940237015603261E-4</v>
      </c>
      <c r="W187" s="2"/>
      <c r="X187" s="2">
        <f t="shared" si="24"/>
        <v>-1193.44</v>
      </c>
      <c r="Y187" s="2"/>
      <c r="Z187" s="19">
        <f t="shared" si="25"/>
        <v>-0.25092247819166941</v>
      </c>
    </row>
    <row r="188" spans="1:26" s="24" customFormat="1" hidden="1" outlineLevel="1" x14ac:dyDescent="0.25">
      <c r="A188" s="44"/>
      <c r="B188" s="11" t="str">
        <f>CONCATENATE("          ", "5542", " - ", "FREIGHT-IN-EVERYDAY GIFTS")</f>
        <v xml:space="preserve">          5542 - FREIGHT-IN-EVERYDAY GIFTS</v>
      </c>
      <c r="C188" s="11"/>
      <c r="D188" s="2">
        <v>194.82</v>
      </c>
      <c r="E188" s="2"/>
      <c r="F188" s="19">
        <f t="shared" si="18"/>
        <v>9.8224224305044292E-5</v>
      </c>
      <c r="G188" s="2"/>
      <c r="H188" s="2">
        <v>92.11</v>
      </c>
      <c r="I188" s="2"/>
      <c r="J188" s="19">
        <f t="shared" si="19"/>
        <v>3.8392453815026371E-5</v>
      </c>
      <c r="K188" s="2"/>
      <c r="L188" s="2">
        <f t="shared" si="20"/>
        <v>102.71</v>
      </c>
      <c r="M188" s="2"/>
      <c r="N188" s="19">
        <f t="shared" si="21"/>
        <v>1.1150797958962111</v>
      </c>
      <c r="O188" s="11"/>
      <c r="P188" s="2">
        <v>1708.33</v>
      </c>
      <c r="Q188" s="2"/>
      <c r="R188" s="19">
        <f t="shared" si="22"/>
        <v>9.4498615092988535E-5</v>
      </c>
      <c r="S188" s="2"/>
      <c r="T188" s="2">
        <v>1221.55</v>
      </c>
      <c r="U188" s="2"/>
      <c r="V188" s="19">
        <f t="shared" si="23"/>
        <v>6.6622997147750343E-5</v>
      </c>
      <c r="W188" s="2"/>
      <c r="X188" s="2">
        <f t="shared" si="24"/>
        <v>486.78</v>
      </c>
      <c r="Y188" s="2"/>
      <c r="Z188" s="19">
        <f t="shared" si="25"/>
        <v>0.39849371699889485</v>
      </c>
    </row>
    <row r="189" spans="1:26" s="24" customFormat="1" hidden="1" outlineLevel="1" x14ac:dyDescent="0.25">
      <c r="A189" s="44"/>
      <c r="B189" s="11" t="str">
        <f>CONCATENATE("          ", "5543", " - ", "FREIGHT-IN-CARDS")</f>
        <v xml:space="preserve">          5543 - FREIGHT-IN-CARDS</v>
      </c>
      <c r="C189" s="11"/>
      <c r="D189" s="2">
        <v>77.760000000000005</v>
      </c>
      <c r="E189" s="2"/>
      <c r="F189" s="19">
        <f t="shared" si="18"/>
        <v>3.9204987588339211E-5</v>
      </c>
      <c r="G189" s="2"/>
      <c r="H189" s="2"/>
      <c r="I189" s="2"/>
      <c r="J189" s="19">
        <f t="shared" si="19"/>
        <v>0</v>
      </c>
      <c r="K189" s="2"/>
      <c r="L189" s="2">
        <f t="shared" si="20"/>
        <v>77.760000000000005</v>
      </c>
      <c r="M189" s="2"/>
      <c r="N189" s="19">
        <f t="shared" si="21"/>
        <v>0</v>
      </c>
      <c r="O189" s="11"/>
      <c r="P189" s="2">
        <v>121.35</v>
      </c>
      <c r="Q189" s="2"/>
      <c r="R189" s="19">
        <f t="shared" si="22"/>
        <v>6.712641551418145E-6</v>
      </c>
      <c r="S189" s="2"/>
      <c r="T189" s="2">
        <v>12.47</v>
      </c>
      <c r="U189" s="2"/>
      <c r="V189" s="19">
        <f t="shared" si="23"/>
        <v>6.8011033067205336E-7</v>
      </c>
      <c r="W189" s="2"/>
      <c r="X189" s="2">
        <f t="shared" si="24"/>
        <v>108.88</v>
      </c>
      <c r="Y189" s="2"/>
      <c r="Z189" s="19">
        <f t="shared" si="25"/>
        <v>8.7313552526062548</v>
      </c>
    </row>
    <row r="190" spans="1:26" s="24" customFormat="1" hidden="1" outlineLevel="1" x14ac:dyDescent="0.25">
      <c r="A190" s="44"/>
      <c r="B190" s="11" t="str">
        <f>CONCATENATE("          ", "5544", " - ", "FREIGHT-IN-ACCESSORIES")</f>
        <v xml:space="preserve">          5544 - FREIGHT-IN-ACCESSORIES</v>
      </c>
      <c r="C190" s="11"/>
      <c r="D190" s="2">
        <v>28.4</v>
      </c>
      <c r="E190" s="2"/>
      <c r="F190" s="19">
        <f t="shared" si="18"/>
        <v>1.4318694026605368E-5</v>
      </c>
      <c r="G190" s="2"/>
      <c r="H190" s="2"/>
      <c r="I190" s="2"/>
      <c r="J190" s="19">
        <f t="shared" si="19"/>
        <v>0</v>
      </c>
      <c r="K190" s="2"/>
      <c r="L190" s="2">
        <f t="shared" si="20"/>
        <v>28.4</v>
      </c>
      <c r="M190" s="2"/>
      <c r="N190" s="19">
        <f t="shared" si="21"/>
        <v>0</v>
      </c>
      <c r="O190" s="11"/>
      <c r="P190" s="2">
        <v>442.31</v>
      </c>
      <c r="Q190" s="2"/>
      <c r="R190" s="19">
        <f t="shared" si="22"/>
        <v>2.4466983803937041E-5</v>
      </c>
      <c r="S190" s="2"/>
      <c r="T190" s="2">
        <v>590.45000000000005</v>
      </c>
      <c r="U190" s="2"/>
      <c r="V190" s="19">
        <f t="shared" si="23"/>
        <v>3.2202978728573692E-5</v>
      </c>
      <c r="W190" s="2"/>
      <c r="X190" s="2">
        <f t="shared" si="24"/>
        <v>-148.14000000000004</v>
      </c>
      <c r="Y190" s="2"/>
      <c r="Z190" s="19">
        <f t="shared" si="25"/>
        <v>-0.25089338640020331</v>
      </c>
    </row>
    <row r="191" spans="1:26" s="24" customFormat="1" hidden="1" outlineLevel="1" x14ac:dyDescent="0.25">
      <c r="A191" s="44"/>
      <c r="B191" s="11" t="str">
        <f>CONCATENATE("          ", "5545", " - ", "FREIGHT-IN-SPECIAL ORDERS")</f>
        <v xml:space="preserve">          5545 - FREIGHT-IN-SPECIAL ORDERS</v>
      </c>
      <c r="C191" s="11"/>
      <c r="D191" s="2">
        <v>322.61</v>
      </c>
      <c r="E191" s="2"/>
      <c r="F191" s="19">
        <f t="shared" si="18"/>
        <v>1.6265330563109713E-4</v>
      </c>
      <c r="G191" s="2"/>
      <c r="H191" s="2">
        <v>14.93</v>
      </c>
      <c r="I191" s="2"/>
      <c r="J191" s="19">
        <f t="shared" si="19"/>
        <v>6.2229870313575475E-6</v>
      </c>
      <c r="K191" s="2"/>
      <c r="L191" s="2">
        <f t="shared" si="20"/>
        <v>307.68</v>
      </c>
      <c r="M191" s="2"/>
      <c r="N191" s="19">
        <f t="shared" si="21"/>
        <v>20.608171466845278</v>
      </c>
      <c r="O191" s="11"/>
      <c r="P191" s="2">
        <v>827.67</v>
      </c>
      <c r="Q191" s="2"/>
      <c r="R191" s="19">
        <f t="shared" si="22"/>
        <v>4.5783700312008699E-5</v>
      </c>
      <c r="S191" s="2"/>
      <c r="T191" s="2">
        <v>1322.53</v>
      </c>
      <c r="U191" s="2"/>
      <c r="V191" s="19">
        <f t="shared" si="23"/>
        <v>7.2130418253705747E-5</v>
      </c>
      <c r="W191" s="2"/>
      <c r="X191" s="2">
        <f t="shared" si="24"/>
        <v>-494.86</v>
      </c>
      <c r="Y191" s="2"/>
      <c r="Z191" s="19">
        <f t="shared" si="25"/>
        <v>-0.37417676725669741</v>
      </c>
    </row>
    <row r="192" spans="1:26" s="24" customFormat="1" hidden="1" outlineLevel="1" x14ac:dyDescent="0.25">
      <c r="A192" s="44"/>
      <c r="B192" s="11" t="str">
        <f>CONCATENATE("          ", "5581", " - ", "FREIGHT-IN-ELECTRONICS")</f>
        <v xml:space="preserve">          5581 - FREIGHT-IN-ELECTRONICS</v>
      </c>
      <c r="C192" s="11"/>
      <c r="D192" s="2"/>
      <c r="E192" s="2"/>
      <c r="F192" s="19">
        <f t="shared" si="18"/>
        <v>0</v>
      </c>
      <c r="G192" s="2"/>
      <c r="H192" s="2"/>
      <c r="I192" s="2"/>
      <c r="J192" s="19">
        <f t="shared" si="19"/>
        <v>0</v>
      </c>
      <c r="K192" s="2"/>
      <c r="L192" s="2">
        <f t="shared" si="20"/>
        <v>0</v>
      </c>
      <c r="M192" s="2"/>
      <c r="N192" s="19">
        <f t="shared" si="21"/>
        <v>0</v>
      </c>
      <c r="O192" s="11"/>
      <c r="P192" s="2">
        <v>105.75</v>
      </c>
      <c r="Q192" s="2"/>
      <c r="R192" s="19">
        <f t="shared" si="22"/>
        <v>5.849706172743872E-6</v>
      </c>
      <c r="S192" s="2"/>
      <c r="T192" s="2"/>
      <c r="U192" s="2"/>
      <c r="V192" s="19">
        <f t="shared" si="23"/>
        <v>0</v>
      </c>
      <c r="W192" s="2"/>
      <c r="X192" s="2">
        <f t="shared" si="24"/>
        <v>105.75</v>
      </c>
      <c r="Y192" s="2"/>
      <c r="Z192" s="19">
        <f t="shared" si="25"/>
        <v>0</v>
      </c>
    </row>
    <row r="193" spans="1:26" s="24" customFormat="1" hidden="1" outlineLevel="1" x14ac:dyDescent="0.25">
      <c r="A193" s="44"/>
      <c r="B193" s="11" t="str">
        <f>CONCATENATE("          ", "5582", " - ", "FREIGHT-IN-COMPUTER HARDWARE")</f>
        <v xml:space="preserve">          5582 - FREIGHT-IN-COMPUTER HARDWARE</v>
      </c>
      <c r="C193" s="11"/>
      <c r="D193" s="2"/>
      <c r="E193" s="2"/>
      <c r="F193" s="19">
        <f t="shared" si="18"/>
        <v>0</v>
      </c>
      <c r="G193" s="2"/>
      <c r="H193" s="2">
        <v>12</v>
      </c>
      <c r="I193" s="2"/>
      <c r="J193" s="19">
        <f t="shared" si="19"/>
        <v>5.0017310365901256E-6</v>
      </c>
      <c r="K193" s="2"/>
      <c r="L193" s="2">
        <f t="shared" si="20"/>
        <v>-12</v>
      </c>
      <c r="M193" s="2"/>
      <c r="N193" s="19">
        <f t="shared" si="21"/>
        <v>-1</v>
      </c>
      <c r="O193" s="11"/>
      <c r="P193" s="2">
        <v>4.84</v>
      </c>
      <c r="Q193" s="2"/>
      <c r="R193" s="19">
        <f t="shared" si="22"/>
        <v>2.6773123287073605E-7</v>
      </c>
      <c r="S193" s="2"/>
      <c r="T193" s="2">
        <v>12</v>
      </c>
      <c r="U193" s="2"/>
      <c r="V193" s="19">
        <f t="shared" si="23"/>
        <v>6.5447666143260946E-7</v>
      </c>
      <c r="W193" s="2"/>
      <c r="X193" s="2">
        <f t="shared" si="24"/>
        <v>-7.16</v>
      </c>
      <c r="Y193" s="2"/>
      <c r="Z193" s="19">
        <f t="shared" si="25"/>
        <v>-0.59666666666666668</v>
      </c>
    </row>
    <row r="194" spans="1:26" s="24" customFormat="1" hidden="1" outlineLevel="1" x14ac:dyDescent="0.25">
      <c r="A194" s="44"/>
      <c r="B194" s="11" t="str">
        <f>CONCATENATE("          ", "5583", " - ", "FREIGHT-IN-COMPUTER EQUIPMENT")</f>
        <v xml:space="preserve">          5583 - FREIGHT-IN-COMPUTER EQUIPMENT</v>
      </c>
      <c r="C194" s="11"/>
      <c r="D194" s="2">
        <v>8.1199999999999992</v>
      </c>
      <c r="E194" s="2"/>
      <c r="F194" s="19">
        <f t="shared" si="18"/>
        <v>4.0939364611280137E-6</v>
      </c>
      <c r="G194" s="2"/>
      <c r="H194" s="2"/>
      <c r="I194" s="2"/>
      <c r="J194" s="19">
        <f t="shared" si="19"/>
        <v>0</v>
      </c>
      <c r="K194" s="2"/>
      <c r="L194" s="2">
        <f t="shared" si="20"/>
        <v>8.1199999999999992</v>
      </c>
      <c r="M194" s="2"/>
      <c r="N194" s="19">
        <f t="shared" si="21"/>
        <v>0</v>
      </c>
      <c r="O194" s="11"/>
      <c r="P194" s="2">
        <v>49.12</v>
      </c>
      <c r="Q194" s="2"/>
      <c r="R194" s="19">
        <f t="shared" si="22"/>
        <v>2.7171401154154042E-6</v>
      </c>
      <c r="S194" s="2"/>
      <c r="T194" s="2">
        <v>22.9</v>
      </c>
      <c r="U194" s="2"/>
      <c r="V194" s="19">
        <f t="shared" si="23"/>
        <v>1.248959628900563E-6</v>
      </c>
      <c r="W194" s="2"/>
      <c r="X194" s="2">
        <f t="shared" si="24"/>
        <v>26.22</v>
      </c>
      <c r="Y194" s="2"/>
      <c r="Z194" s="19">
        <f t="shared" si="25"/>
        <v>1.1449781659388647</v>
      </c>
    </row>
    <row r="195" spans="1:26" s="24" customFormat="1" hidden="1" outlineLevel="1" x14ac:dyDescent="0.25">
      <c r="A195" s="44"/>
      <c r="B195" s="11" t="str">
        <f>CONCATENATE("          ", "5586", " - ", "FREIGHT-IN-COMPUTER SUPPLIES")</f>
        <v xml:space="preserve">          5586 - FREIGHT-IN-COMPUTER SUPPLIES</v>
      </c>
      <c r="C195" s="11"/>
      <c r="D195" s="2"/>
      <c r="E195" s="2"/>
      <c r="F195" s="19">
        <f t="shared" si="18"/>
        <v>0</v>
      </c>
      <c r="G195" s="2"/>
      <c r="H195" s="2"/>
      <c r="I195" s="2"/>
      <c r="J195" s="19">
        <f t="shared" si="19"/>
        <v>0</v>
      </c>
      <c r="K195" s="2"/>
      <c r="L195" s="2">
        <f t="shared" si="20"/>
        <v>0</v>
      </c>
      <c r="M195" s="2"/>
      <c r="N195" s="19">
        <f t="shared" si="21"/>
        <v>0</v>
      </c>
      <c r="O195" s="11"/>
      <c r="P195" s="2">
        <v>162.51</v>
      </c>
      <c r="Q195" s="2"/>
      <c r="R195" s="19">
        <f t="shared" si="22"/>
        <v>8.9894633582279581E-6</v>
      </c>
      <c r="S195" s="2"/>
      <c r="T195" s="2">
        <v>145.57</v>
      </c>
      <c r="U195" s="2"/>
      <c r="V195" s="19">
        <f t="shared" si="23"/>
        <v>7.9393473003954123E-6</v>
      </c>
      <c r="W195" s="2"/>
      <c r="X195" s="2">
        <f t="shared" si="24"/>
        <v>16.939999999999998</v>
      </c>
      <c r="Y195" s="2"/>
      <c r="Z195" s="19">
        <f t="shared" si="25"/>
        <v>0.11637013120835336</v>
      </c>
    </row>
    <row r="196" spans="1:26" s="24" customFormat="1" hidden="1" outlineLevel="1" x14ac:dyDescent="0.25">
      <c r="A196" s="44"/>
      <c r="B196" s="11" t="str">
        <f>CONCATENATE("          ", "5592", " - ", "FREIGHT-IN-GRAD MERCH")</f>
        <v xml:space="preserve">          5592 - FREIGHT-IN-GRAD MERCH</v>
      </c>
      <c r="C196" s="11"/>
      <c r="D196" s="2"/>
      <c r="E196" s="2"/>
      <c r="F196" s="19">
        <f t="shared" si="18"/>
        <v>0</v>
      </c>
      <c r="G196" s="2"/>
      <c r="H196" s="2"/>
      <c r="I196" s="2"/>
      <c r="J196" s="19">
        <f t="shared" si="19"/>
        <v>0</v>
      </c>
      <c r="K196" s="2"/>
      <c r="L196" s="2">
        <f t="shared" si="20"/>
        <v>0</v>
      </c>
      <c r="M196" s="2"/>
      <c r="N196" s="19">
        <f t="shared" si="21"/>
        <v>0</v>
      </c>
      <c r="O196" s="11"/>
      <c r="P196" s="2">
        <v>105.78</v>
      </c>
      <c r="Q196" s="2"/>
      <c r="R196" s="19">
        <f t="shared" si="22"/>
        <v>5.851365663856707E-6</v>
      </c>
      <c r="S196" s="2"/>
      <c r="T196" s="2">
        <v>114.3</v>
      </c>
      <c r="U196" s="2"/>
      <c r="V196" s="19">
        <f t="shared" si="23"/>
        <v>6.2338902001456047E-6</v>
      </c>
      <c r="W196" s="2"/>
      <c r="X196" s="2">
        <f t="shared" si="24"/>
        <v>-8.519999999999996</v>
      </c>
      <c r="Y196" s="2"/>
      <c r="Z196" s="19">
        <f t="shared" si="25"/>
        <v>-7.4540682414698134E-2</v>
      </c>
    </row>
    <row r="197" spans="1:26" x14ac:dyDescent="0.25">
      <c r="A197" s="9"/>
      <c r="B197" s="10"/>
      <c r="C197" s="10"/>
      <c r="D197" s="3"/>
      <c r="E197" s="3"/>
      <c r="F197" s="8"/>
      <c r="G197" s="3"/>
      <c r="H197" s="3"/>
      <c r="I197" s="3"/>
      <c r="J197" s="8"/>
      <c r="K197" s="3"/>
      <c r="L197" s="3"/>
      <c r="M197" s="3"/>
      <c r="N197" s="8"/>
      <c r="O197" s="10"/>
      <c r="P197" s="3"/>
      <c r="Q197" s="3"/>
      <c r="R197" s="8"/>
      <c r="S197" s="3"/>
      <c r="T197" s="3"/>
      <c r="U197" s="3"/>
      <c r="V197" s="8"/>
      <c r="W197" s="3"/>
      <c r="X197" s="3"/>
      <c r="Y197" s="3"/>
      <c r="Z197" s="8"/>
    </row>
    <row r="198" spans="1:26" s="23" customFormat="1" x14ac:dyDescent="0.25">
      <c r="A198" s="10"/>
      <c r="B198" s="29" t="s">
        <v>6</v>
      </c>
      <c r="C198" s="29"/>
      <c r="D198" s="20">
        <f>D12-D137</f>
        <v>1289333.3000000007</v>
      </c>
      <c r="E198" s="14"/>
      <c r="F198" s="21">
        <f>IF(D$12=0,0,D198/D$12)</f>
        <v>0.65005524721878172</v>
      </c>
      <c r="G198" s="14"/>
      <c r="H198" s="20">
        <f>H12-H137</f>
        <v>1532841.9100000001</v>
      </c>
      <c r="I198" s="14"/>
      <c r="J198" s="21">
        <f>IF(H$12=0,0,H198/H$12)</f>
        <v>0.63890524628609069</v>
      </c>
      <c r="K198" s="15"/>
      <c r="L198" s="20">
        <f>+D198-H198</f>
        <v>-243508.6099999994</v>
      </c>
      <c r="M198" s="15"/>
      <c r="N198" s="21">
        <f>IF(H198=0,0,L198/H198)</f>
        <v>-0.15886087691848103</v>
      </c>
      <c r="O198" s="28"/>
      <c r="P198" s="20">
        <f>P12-P137</f>
        <v>10196029.080000009</v>
      </c>
      <c r="Q198" s="14"/>
      <c r="R198" s="21">
        <f>IF(P$12=0,0,P198/P$12)</f>
        <v>0.56400732148228916</v>
      </c>
      <c r="S198" s="14"/>
      <c r="T198" s="20">
        <f>T12-T137</f>
        <v>10287538.460000003</v>
      </c>
      <c r="U198" s="14"/>
      <c r="V198" s="21">
        <f>IF(T$12=0,0,T198/T$12)</f>
        <v>0.5610794854716975</v>
      </c>
      <c r="W198" s="15"/>
      <c r="X198" s="20">
        <f>+P198-T198</f>
        <v>-91509.379999993369</v>
      </c>
      <c r="Y198" s="15"/>
      <c r="Z198" s="21">
        <f>IF(T198=0,0,X198/T198)</f>
        <v>-8.8951677173115858E-3</v>
      </c>
    </row>
    <row r="199" spans="1:26" x14ac:dyDescent="0.25">
      <c r="A199" s="9"/>
      <c r="B199" s="10"/>
      <c r="C199" s="9"/>
      <c r="D199" s="1"/>
      <c r="E199" s="1"/>
      <c r="F199" s="5"/>
      <c r="G199" s="1"/>
      <c r="H199" s="1"/>
      <c r="I199" s="1"/>
      <c r="J199" s="5"/>
      <c r="K199" s="1"/>
      <c r="L199" s="1"/>
      <c r="M199" s="1"/>
      <c r="N199" s="5"/>
      <c r="O199" s="37"/>
      <c r="P199" s="1"/>
      <c r="Q199" s="1"/>
      <c r="R199" s="5"/>
      <c r="S199" s="1"/>
      <c r="T199" s="1"/>
      <c r="U199" s="1"/>
      <c r="V199" s="5"/>
      <c r="W199" s="1"/>
      <c r="X199" s="1"/>
      <c r="Y199" s="1"/>
      <c r="Z199" s="5"/>
    </row>
    <row r="200" spans="1:26" s="23" customFormat="1" x14ac:dyDescent="0.25">
      <c r="A200" s="10"/>
      <c r="B200" s="28" t="s">
        <v>9</v>
      </c>
      <c r="C200" s="10"/>
      <c r="D200" s="22">
        <f>SUM(OSRRefD22x_0)</f>
        <v>1373997.77</v>
      </c>
      <c r="E200" s="22"/>
      <c r="F200" s="33">
        <f t="shared" ref="F200:F210" si="26">IF(D$12=0,0,D200/D$12)</f>
        <v>0.69274132612211614</v>
      </c>
      <c r="G200" s="22"/>
      <c r="H200" s="22">
        <f>SUM(OSRRefH22x_0)</f>
        <v>1331198.5000000002</v>
      </c>
      <c r="I200" s="22"/>
      <c r="J200" s="33">
        <f t="shared" ref="J200:J210" si="27">IF(H$12=0,0,H200/H$12)</f>
        <v>0.55485807110935181</v>
      </c>
      <c r="K200" s="4"/>
      <c r="L200" s="22">
        <f t="shared" ref="L200:L210" si="28">+D200-H200</f>
        <v>42799.269999999786</v>
      </c>
      <c r="M200" s="4"/>
      <c r="N200" s="33">
        <f t="shared" ref="N200:N210" si="29">IF(H200=0,0,L200/H200)</f>
        <v>3.2150930158049137E-2</v>
      </c>
      <c r="O200" s="10"/>
      <c r="P200" s="22">
        <f>SUM(OSRRefP22x_0)</f>
        <v>8987127.5800000001</v>
      </c>
      <c r="Q200" s="22"/>
      <c r="R200" s="33">
        <f t="shared" ref="R200:R210" si="30">IF(P$12=0,0,P200/P$12)</f>
        <v>0.49713527829751958</v>
      </c>
      <c r="S200" s="22"/>
      <c r="T200" s="22">
        <f>SUM(OSRRefT22x_0)</f>
        <v>8617604.9699999988</v>
      </c>
      <c r="U200" s="22"/>
      <c r="V200" s="33">
        <f t="shared" ref="V200:V210" si="31">IF(T$12=0,0,T200/T$12)</f>
        <v>0.47000177752588851</v>
      </c>
      <c r="W200" s="4"/>
      <c r="X200" s="22">
        <f t="shared" ref="X200:X210" si="32">+P200-T200</f>
        <v>369522.61000000127</v>
      </c>
      <c r="Y200" s="4"/>
      <c r="Z200" s="33">
        <f t="shared" ref="Z200:Z210" si="33">IF(T200=0,0,X200/T200)</f>
        <v>4.287996621873482E-2</v>
      </c>
    </row>
    <row r="201" spans="1:26" s="27" customFormat="1" outlineLevel="1" collapsed="1" x14ac:dyDescent="0.25">
      <c r="A201" s="25"/>
      <c r="B201" s="13" t="str">
        <f>CONCATENATE("     ","*Benefits                                         ")</f>
        <v xml:space="preserve">     *Benefits                                         </v>
      </c>
      <c r="C201" s="13"/>
      <c r="D201" s="1">
        <f>SUM(OSRRefD22_0x_0)</f>
        <v>225463.8</v>
      </c>
      <c r="E201" s="1"/>
      <c r="F201" s="5">
        <f t="shared" si="26"/>
        <v>0.11367419599562492</v>
      </c>
      <c r="G201" s="1"/>
      <c r="H201" s="1">
        <f>SUM(OSRRefH22_0x_0)</f>
        <v>216520.94000000003</v>
      </c>
      <c r="I201" s="1"/>
      <c r="J201" s="5">
        <f t="shared" si="27"/>
        <v>9.0248292139139041E-2</v>
      </c>
      <c r="K201" s="1"/>
      <c r="L201" s="1">
        <f t="shared" si="28"/>
        <v>8942.8599999999569</v>
      </c>
      <c r="M201" s="1"/>
      <c r="N201" s="5">
        <f t="shared" si="29"/>
        <v>4.1302517899654209E-2</v>
      </c>
      <c r="O201" s="13"/>
      <c r="P201" s="1">
        <f>SUM(OSRRefP22_0x_0)</f>
        <v>1407480.5399999998</v>
      </c>
      <c r="Q201" s="1"/>
      <c r="R201" s="5">
        <f t="shared" si="30"/>
        <v>7.7856714920613496E-2</v>
      </c>
      <c r="S201" s="1"/>
      <c r="T201" s="1">
        <f>SUM(OSRRefT22_0x_0)</f>
        <v>1340373.5199999998</v>
      </c>
      <c r="U201" s="1"/>
      <c r="V201" s="5">
        <f t="shared" si="31"/>
        <v>7.3103598870189565E-2</v>
      </c>
      <c r="W201" s="1"/>
      <c r="X201" s="1">
        <f t="shared" si="32"/>
        <v>67107.020000000019</v>
      </c>
      <c r="Y201" s="1"/>
      <c r="Z201" s="5">
        <f t="shared" si="33"/>
        <v>5.0065909986046299E-2</v>
      </c>
    </row>
    <row r="202" spans="1:26" s="24" customFormat="1" hidden="1" outlineLevel="2" x14ac:dyDescent="0.25">
      <c r="A202" s="26"/>
      <c r="B202" s="11" t="str">
        <f>CONCATENATE("          ", "6111", " - ", "F.I.C.A.")</f>
        <v xml:space="preserve">          6111 - F.I.C.A.</v>
      </c>
      <c r="C202" s="11"/>
      <c r="D202" s="6">
        <v>32292.85</v>
      </c>
      <c r="E202" s="2"/>
      <c r="F202" s="7">
        <f t="shared" si="26"/>
        <v>1.628138867595293E-2</v>
      </c>
      <c r="G202" s="2"/>
      <c r="H202" s="6">
        <v>28199.4</v>
      </c>
      <c r="I202" s="2"/>
      <c r="J202" s="7">
        <f t="shared" si="27"/>
        <v>1.1753817849434967E-2</v>
      </c>
      <c r="K202" s="2"/>
      <c r="L202" s="6">
        <f t="shared" si="28"/>
        <v>4093.4499999999971</v>
      </c>
      <c r="M202" s="2"/>
      <c r="N202" s="7">
        <f t="shared" si="29"/>
        <v>0.14516088994801296</v>
      </c>
      <c r="O202" s="11"/>
      <c r="P202" s="6">
        <v>252165.62999999998</v>
      </c>
      <c r="Q202" s="2"/>
      <c r="R202" s="7">
        <f t="shared" si="30"/>
        <v>1.3948887398249146E-2</v>
      </c>
      <c r="S202" s="2"/>
      <c r="T202" s="6">
        <v>231229.75</v>
      </c>
      <c r="U202" s="2"/>
      <c r="V202" s="7">
        <f t="shared" si="31"/>
        <v>1.2611206233658077E-2</v>
      </c>
      <c r="W202" s="2"/>
      <c r="X202" s="6">
        <f t="shared" si="32"/>
        <v>20935.879999999976</v>
      </c>
      <c r="Y202" s="2"/>
      <c r="Z202" s="7">
        <f t="shared" si="33"/>
        <v>9.0541463630869193E-2</v>
      </c>
    </row>
    <row r="203" spans="1:26" s="24" customFormat="1" hidden="1" outlineLevel="2" x14ac:dyDescent="0.25">
      <c r="A203" s="26"/>
      <c r="B203" s="11" t="str">
        <f>CONCATENATE("          ", "6112", " - ", "COMPENSATION INSURANCE")</f>
        <v xml:space="preserve">          6112 - COMPENSATION INSURANCE</v>
      </c>
      <c r="C203" s="11"/>
      <c r="D203" s="6">
        <v>29022.57</v>
      </c>
      <c r="E203" s="2"/>
      <c r="F203" s="7">
        <f t="shared" si="26"/>
        <v>1.4632580975201979E-2</v>
      </c>
      <c r="G203" s="2"/>
      <c r="H203" s="6">
        <v>22222.769999999997</v>
      </c>
      <c r="I203" s="2"/>
      <c r="J203" s="7">
        <f t="shared" si="27"/>
        <v>9.2626932023336609E-3</v>
      </c>
      <c r="K203" s="2"/>
      <c r="L203" s="6">
        <f t="shared" si="28"/>
        <v>6799.8000000000029</v>
      </c>
      <c r="M203" s="2"/>
      <c r="N203" s="7">
        <f t="shared" si="29"/>
        <v>0.30598345750777262</v>
      </c>
      <c r="O203" s="11"/>
      <c r="P203" s="6">
        <v>106319.95</v>
      </c>
      <c r="Q203" s="2"/>
      <c r="R203" s="7">
        <f t="shared" si="30"/>
        <v>5.8812337380692182E-3</v>
      </c>
      <c r="S203" s="2"/>
      <c r="T203" s="6">
        <v>114344.98</v>
      </c>
      <c r="U203" s="2"/>
      <c r="V203" s="7">
        <f t="shared" si="31"/>
        <v>6.2363433968315417E-3</v>
      </c>
      <c r="W203" s="2"/>
      <c r="X203" s="6">
        <f t="shared" si="32"/>
        <v>-8025.0299999999988</v>
      </c>
      <c r="Y203" s="2"/>
      <c r="Z203" s="7">
        <f t="shared" si="33"/>
        <v>-7.0182617549104459E-2</v>
      </c>
    </row>
    <row r="204" spans="1:26" s="24" customFormat="1" hidden="1" outlineLevel="2" x14ac:dyDescent="0.25">
      <c r="A204" s="26"/>
      <c r="B204" s="11" t="str">
        <f>CONCATENATE("          ", "6113", " - ", "GROUP INSURANCE")</f>
        <v xml:space="preserve">          6113 - GROUP INSURANCE</v>
      </c>
      <c r="C204" s="11"/>
      <c r="D204" s="6">
        <v>96429.440000000002</v>
      </c>
      <c r="E204" s="2"/>
      <c r="F204" s="7">
        <f t="shared" si="26"/>
        <v>4.8617734032285247E-2</v>
      </c>
      <c r="G204" s="2"/>
      <c r="H204" s="6">
        <v>103810.11</v>
      </c>
      <c r="I204" s="2"/>
      <c r="J204" s="7">
        <f t="shared" si="27"/>
        <v>4.3269187424902912E-2</v>
      </c>
      <c r="K204" s="2"/>
      <c r="L204" s="6">
        <f t="shared" si="28"/>
        <v>-7380.6699999999983</v>
      </c>
      <c r="M204" s="2"/>
      <c r="N204" s="7">
        <f t="shared" si="29"/>
        <v>-7.1097795773455957E-2</v>
      </c>
      <c r="O204" s="11"/>
      <c r="P204" s="6">
        <v>568599.6399999999</v>
      </c>
      <c r="Q204" s="2"/>
      <c r="R204" s="7">
        <f t="shared" si="30"/>
        <v>3.1452868311375344E-2</v>
      </c>
      <c r="S204" s="2"/>
      <c r="T204" s="6">
        <v>557868.74</v>
      </c>
      <c r="U204" s="2"/>
      <c r="V204" s="7">
        <f t="shared" si="31"/>
        <v>3.0426005872734703E-2</v>
      </c>
      <c r="W204" s="2"/>
      <c r="X204" s="6">
        <f t="shared" si="32"/>
        <v>10730.899999999907</v>
      </c>
      <c r="Y204" s="2"/>
      <c r="Z204" s="7">
        <f t="shared" si="33"/>
        <v>1.9235528414802212E-2</v>
      </c>
    </row>
    <row r="205" spans="1:26" s="24" customFormat="1" hidden="1" outlineLevel="2" x14ac:dyDescent="0.25">
      <c r="A205" s="26"/>
      <c r="B205" s="11" t="str">
        <f>CONCATENATE("          ", "6114", " - ", "STATE UNEMPLOYMENT INSURANCE")</f>
        <v xml:space="preserve">          6114 - STATE UNEMPLOYMENT INSURANCE</v>
      </c>
      <c r="C205" s="11"/>
      <c r="D205" s="6">
        <v>2516.29</v>
      </c>
      <c r="E205" s="2"/>
      <c r="F205" s="7">
        <f t="shared" si="26"/>
        <v>1.2686614997255924E-3</v>
      </c>
      <c r="G205" s="2"/>
      <c r="H205" s="6">
        <v>2244.39</v>
      </c>
      <c r="I205" s="2"/>
      <c r="J205" s="7">
        <f t="shared" si="27"/>
        <v>9.3548626010104261E-4</v>
      </c>
      <c r="K205" s="2"/>
      <c r="L205" s="6">
        <f t="shared" si="28"/>
        <v>271.90000000000009</v>
      </c>
      <c r="M205" s="2"/>
      <c r="N205" s="7">
        <f t="shared" si="29"/>
        <v>0.12114650305873761</v>
      </c>
      <c r="O205" s="11"/>
      <c r="P205" s="6">
        <v>12179.78</v>
      </c>
      <c r="Q205" s="2"/>
      <c r="R205" s="7">
        <f t="shared" si="30"/>
        <v>6.7374122220957317E-4</v>
      </c>
      <c r="S205" s="2"/>
      <c r="T205" s="6">
        <v>11763.38</v>
      </c>
      <c r="U205" s="2"/>
      <c r="V205" s="7">
        <f t="shared" si="31"/>
        <v>6.4157147246359403E-4</v>
      </c>
      <c r="W205" s="2"/>
      <c r="X205" s="6">
        <f t="shared" si="32"/>
        <v>416.40000000000146</v>
      </c>
      <c r="Y205" s="2"/>
      <c r="Z205" s="7">
        <f t="shared" si="33"/>
        <v>3.5397989353400251E-2</v>
      </c>
    </row>
    <row r="206" spans="1:26" s="24" customFormat="1" hidden="1" outlineLevel="2" x14ac:dyDescent="0.25">
      <c r="A206" s="26"/>
      <c r="B206" s="11" t="str">
        <f>CONCATENATE("          ", "6115", " - ", "P.E.R.S.")</f>
        <v xml:space="preserve">          6115 - P.E.R.S.</v>
      </c>
      <c r="C206" s="11"/>
      <c r="D206" s="6">
        <v>18967.439999999999</v>
      </c>
      <c r="E206" s="2"/>
      <c r="F206" s="7">
        <f t="shared" si="26"/>
        <v>9.5629918953519626E-3</v>
      </c>
      <c r="G206" s="2"/>
      <c r="H206" s="6">
        <v>17197.68</v>
      </c>
      <c r="I206" s="2"/>
      <c r="J206" s="7">
        <f t="shared" si="27"/>
        <v>7.1681808177787723E-3</v>
      </c>
      <c r="K206" s="2"/>
      <c r="L206" s="6">
        <f t="shared" si="28"/>
        <v>1769.7599999999984</v>
      </c>
      <c r="M206" s="2"/>
      <c r="N206" s="7">
        <f t="shared" si="29"/>
        <v>0.10290690372189727</v>
      </c>
      <c r="O206" s="11"/>
      <c r="P206" s="6">
        <v>125527.29</v>
      </c>
      <c r="Q206" s="2"/>
      <c r="R206" s="7">
        <f t="shared" si="30"/>
        <v>6.9437140724426484E-3</v>
      </c>
      <c r="S206" s="2"/>
      <c r="T206" s="6">
        <v>122524.35</v>
      </c>
      <c r="U206" s="2"/>
      <c r="V206" s="7">
        <f t="shared" si="31"/>
        <v>6.6824439610167121E-3</v>
      </c>
      <c r="W206" s="2"/>
      <c r="X206" s="6">
        <f t="shared" si="32"/>
        <v>3002.9399999999878</v>
      </c>
      <c r="Y206" s="2"/>
      <c r="Z206" s="7">
        <f t="shared" si="33"/>
        <v>2.4508924144465878E-2</v>
      </c>
    </row>
    <row r="207" spans="1:26" s="24" customFormat="1" hidden="1" outlineLevel="2" x14ac:dyDescent="0.25">
      <c r="A207" s="26"/>
      <c r="B207" s="11" t="str">
        <f>CONCATENATE("          ", "6117", " - ", "RETIREMENT STAFF HOURLY")</f>
        <v xml:space="preserve">          6117 - RETIREMENT STAFF HOURLY</v>
      </c>
      <c r="C207" s="11"/>
      <c r="D207" s="6">
        <v>2511.69</v>
      </c>
      <c r="E207" s="2"/>
      <c r="F207" s="7">
        <f t="shared" si="26"/>
        <v>1.2663422746367762E-3</v>
      </c>
      <c r="G207" s="2"/>
      <c r="H207" s="6">
        <v>1603.37</v>
      </c>
      <c r="I207" s="2"/>
      <c r="J207" s="7">
        <f t="shared" si="27"/>
        <v>6.6830212434479245E-4</v>
      </c>
      <c r="K207" s="2"/>
      <c r="L207" s="6">
        <f t="shared" si="28"/>
        <v>908.32000000000016</v>
      </c>
      <c r="M207" s="2"/>
      <c r="N207" s="7">
        <f t="shared" si="29"/>
        <v>0.56650679506289892</v>
      </c>
      <c r="O207" s="11"/>
      <c r="P207" s="6">
        <v>12602.98</v>
      </c>
      <c r="Q207" s="2"/>
      <c r="R207" s="7">
        <f t="shared" si="30"/>
        <v>6.9715111017463409E-4</v>
      </c>
      <c r="S207" s="2"/>
      <c r="T207" s="6">
        <v>12152.17</v>
      </c>
      <c r="U207" s="2"/>
      <c r="V207" s="7">
        <f t="shared" si="31"/>
        <v>6.6277597089679286E-4</v>
      </c>
      <c r="W207" s="2"/>
      <c r="X207" s="6">
        <f t="shared" si="32"/>
        <v>450.80999999999949</v>
      </c>
      <c r="Y207" s="2"/>
      <c r="Z207" s="7">
        <f t="shared" si="33"/>
        <v>3.709707813501617E-2</v>
      </c>
    </row>
    <row r="208" spans="1:26" s="24" customFormat="1" hidden="1" outlineLevel="2" x14ac:dyDescent="0.25">
      <c r="A208" s="26"/>
      <c r="B208" s="11" t="str">
        <f>CONCATENATE("          ", "6118", " - ", "VACATION")</f>
        <v xml:space="preserve">          6118 - VACATION</v>
      </c>
      <c r="C208" s="11"/>
      <c r="D208" s="6">
        <v>20062.96</v>
      </c>
      <c r="E208" s="2"/>
      <c r="F208" s="7">
        <f t="shared" si="26"/>
        <v>1.0115330475634593E-2</v>
      </c>
      <c r="G208" s="2"/>
      <c r="H208" s="6">
        <v>19634.289999999997</v>
      </c>
      <c r="I208" s="2"/>
      <c r="J208" s="7">
        <f t="shared" si="27"/>
        <v>8.1837864728675942E-3</v>
      </c>
      <c r="K208" s="2"/>
      <c r="L208" s="6">
        <f t="shared" si="28"/>
        <v>428.67000000000189</v>
      </c>
      <c r="M208" s="2"/>
      <c r="N208" s="7">
        <f t="shared" si="29"/>
        <v>2.1832722242566549E-2</v>
      </c>
      <c r="O208" s="11"/>
      <c r="P208" s="6">
        <v>146190.5</v>
      </c>
      <c r="Q208" s="2"/>
      <c r="R208" s="7">
        <f t="shared" si="30"/>
        <v>8.0867278510308553E-3</v>
      </c>
      <c r="S208" s="2"/>
      <c r="T208" s="6">
        <v>137012.25</v>
      </c>
      <c r="U208" s="2"/>
      <c r="V208" s="7">
        <f t="shared" si="31"/>
        <v>7.4726099962808372E-3</v>
      </c>
      <c r="W208" s="2"/>
      <c r="X208" s="6">
        <f t="shared" si="32"/>
        <v>9178.25</v>
      </c>
      <c r="Y208" s="2"/>
      <c r="Z208" s="7">
        <f t="shared" si="33"/>
        <v>6.6988535696625662E-2</v>
      </c>
    </row>
    <row r="209" spans="1:26" s="24" customFormat="1" hidden="1" outlineLevel="2" x14ac:dyDescent="0.25">
      <c r="A209" s="26"/>
      <c r="B209" s="11" t="str">
        <f>CONCATENATE("          ", "6119", " - ", "SICK LEAVE")</f>
        <v xml:space="preserve">          6119 - SICK LEAVE</v>
      </c>
      <c r="C209" s="11"/>
      <c r="D209" s="6">
        <v>14414.75</v>
      </c>
      <c r="E209" s="2"/>
      <c r="F209" s="7">
        <f t="shared" si="26"/>
        <v>7.2676195323947094E-3</v>
      </c>
      <c r="G209" s="2"/>
      <c r="H209" s="6">
        <v>13206.7</v>
      </c>
      <c r="I209" s="2"/>
      <c r="J209" s="7">
        <f t="shared" si="27"/>
        <v>5.5046967734112343E-3</v>
      </c>
      <c r="K209" s="2"/>
      <c r="L209" s="6">
        <f t="shared" si="28"/>
        <v>1208.0499999999993</v>
      </c>
      <c r="M209" s="2"/>
      <c r="N209" s="7">
        <f t="shared" si="29"/>
        <v>9.1472510165294826E-2</v>
      </c>
      <c r="O209" s="11"/>
      <c r="P209" s="6">
        <v>129523.47</v>
      </c>
      <c r="Q209" s="2"/>
      <c r="R209" s="7">
        <f t="shared" si="30"/>
        <v>7.1647682456189663E-3</v>
      </c>
      <c r="S209" s="2"/>
      <c r="T209" s="6">
        <v>98495.42</v>
      </c>
      <c r="U209" s="2"/>
      <c r="V209" s="7">
        <f t="shared" si="31"/>
        <v>5.3719128040002227E-3</v>
      </c>
      <c r="W209" s="2"/>
      <c r="X209" s="6">
        <f t="shared" si="32"/>
        <v>31028.050000000003</v>
      </c>
      <c r="Y209" s="2"/>
      <c r="Z209" s="7">
        <f t="shared" si="33"/>
        <v>0.31502023139756147</v>
      </c>
    </row>
    <row r="210" spans="1:26" s="24" customFormat="1" hidden="1" outlineLevel="2" x14ac:dyDescent="0.25">
      <c r="A210" s="26"/>
      <c r="B210" s="11" t="str">
        <f>CONCATENATE("          ", "6156", " - ", "EMPLOYEE MEALS")</f>
        <v xml:space="preserve">          6156 - EMPLOYEE MEALS</v>
      </c>
      <c r="C210" s="11"/>
      <c r="D210" s="6">
        <v>9245.81</v>
      </c>
      <c r="E210" s="2"/>
      <c r="F210" s="7">
        <f t="shared" si="26"/>
        <v>4.6615466344411332E-3</v>
      </c>
      <c r="G210" s="2"/>
      <c r="H210" s="6">
        <v>8402.23</v>
      </c>
      <c r="I210" s="2"/>
      <c r="J210" s="7">
        <f t="shared" si="27"/>
        <v>3.5021412139640542E-3</v>
      </c>
      <c r="K210" s="2"/>
      <c r="L210" s="6">
        <f t="shared" si="28"/>
        <v>843.57999999999993</v>
      </c>
      <c r="M210" s="2"/>
      <c r="N210" s="7">
        <f t="shared" si="29"/>
        <v>0.10039953678963799</v>
      </c>
      <c r="O210" s="11"/>
      <c r="P210" s="6">
        <v>54371.299999999996</v>
      </c>
      <c r="Q210" s="2"/>
      <c r="R210" s="7">
        <f t="shared" si="30"/>
        <v>3.0076229714431097E-3</v>
      </c>
      <c r="S210" s="2"/>
      <c r="T210" s="6">
        <v>54982.48</v>
      </c>
      <c r="U210" s="2"/>
      <c r="V210" s="7">
        <f t="shared" si="31"/>
        <v>2.9987291623071021E-3</v>
      </c>
      <c r="W210" s="2"/>
      <c r="X210" s="6">
        <f t="shared" si="32"/>
        <v>-611.18000000000757</v>
      </c>
      <c r="Y210" s="2"/>
      <c r="Z210" s="7">
        <f t="shared" si="33"/>
        <v>-1.1115904557233641E-2</v>
      </c>
    </row>
    <row r="211" spans="1:26" s="27" customFormat="1" outlineLevel="1" collapsed="1" x14ac:dyDescent="0.25">
      <c r="A211" s="25"/>
      <c r="B211" s="13" t="str">
        <f>CONCATENATE("     ","*Payroll                                          ")</f>
        <v xml:space="preserve">     *Payroll                                          </v>
      </c>
      <c r="C211" s="13"/>
      <c r="D211" s="1">
        <f>SUM(OSRRefD22_1x_0)</f>
        <v>611496.61</v>
      </c>
      <c r="E211" s="1"/>
      <c r="F211" s="5">
        <f t="shared" ref="F211:F218" si="34">IF(D$12=0,0,D211/D$12)</f>
        <v>0.30830397383438146</v>
      </c>
      <c r="G211" s="1"/>
      <c r="H211" s="1">
        <f>SUM(OSRRefH22_1x_0)</f>
        <v>580847.87</v>
      </c>
      <c r="I211" s="1"/>
      <c r="J211" s="5">
        <f t="shared" ref="J211:J218" si="35">IF(H$12=0,0,H211/H$12)</f>
        <v>0.24210373490968887</v>
      </c>
      <c r="K211" s="1"/>
      <c r="L211" s="1">
        <f t="shared" ref="L211:L218" si="36">+D211-H211</f>
        <v>30648.739999999991</v>
      </c>
      <c r="M211" s="1"/>
      <c r="N211" s="5">
        <f t="shared" ref="N211:N218" si="37">IF(H211=0,0,L211/H211)</f>
        <v>5.2765520169678837E-2</v>
      </c>
      <c r="O211" s="13"/>
      <c r="P211" s="1">
        <f>SUM(OSRRefP22_1x_0)</f>
        <v>4322862.0600000005</v>
      </c>
      <c r="Q211" s="1"/>
      <c r="R211" s="5">
        <f t="shared" ref="R211:R218" si="38">IF(P$12=0,0,P211/P$12)</f>
        <v>0.23912503901940702</v>
      </c>
      <c r="S211" s="1"/>
      <c r="T211" s="1">
        <f>SUM(OSRRefT22_1x_0)</f>
        <v>3960198.0799999996</v>
      </c>
      <c r="U211" s="1"/>
      <c r="V211" s="5">
        <f t="shared" ref="V211:V218" si="39">IF(T$12=0,0,T211/T$12)</f>
        <v>0.21598810150085249</v>
      </c>
      <c r="W211" s="1"/>
      <c r="X211" s="1">
        <f t="shared" ref="X211:X218" si="40">+P211-T211</f>
        <v>362663.98000000091</v>
      </c>
      <c r="Y211" s="1"/>
      <c r="Z211" s="5">
        <f t="shared" ref="Z211:Z218" si="41">IF(T211=0,0,X211/T211)</f>
        <v>9.1577232419647284E-2</v>
      </c>
    </row>
    <row r="212" spans="1:26" s="24" customFormat="1" hidden="1" outlineLevel="2" x14ac:dyDescent="0.25">
      <c r="A212" s="26"/>
      <c r="B212" s="11" t="str">
        <f>CONCATENATE("          ", "6001", " - ", "ADMINISTRATIVE SALARIES")</f>
        <v xml:space="preserve">          6001 - ADMINISTRATIVE SALARIES</v>
      </c>
      <c r="C212" s="11"/>
      <c r="D212" s="6">
        <v>35004.140000000007</v>
      </c>
      <c r="E212" s="2"/>
      <c r="F212" s="7">
        <f t="shared" si="34"/>
        <v>1.7648365152269654E-2</v>
      </c>
      <c r="G212" s="2"/>
      <c r="H212" s="6">
        <v>34928.43</v>
      </c>
      <c r="I212" s="2"/>
      <c r="J212" s="7">
        <f t="shared" si="35"/>
        <v>1.4558551032530471E-2</v>
      </c>
      <c r="K212" s="2"/>
      <c r="L212" s="6">
        <f t="shared" si="36"/>
        <v>75.710000000006403</v>
      </c>
      <c r="M212" s="2"/>
      <c r="N212" s="7">
        <f t="shared" si="37"/>
        <v>2.1675752388528886E-3</v>
      </c>
      <c r="O212" s="11"/>
      <c r="P212" s="6">
        <v>216828.76</v>
      </c>
      <c r="Q212" s="2"/>
      <c r="R212" s="7">
        <f t="shared" si="38"/>
        <v>1.1994180007568791E-2</v>
      </c>
      <c r="S212" s="2"/>
      <c r="T212" s="6">
        <v>212660.87999999998</v>
      </c>
      <c r="U212" s="2"/>
      <c r="V212" s="7">
        <f t="shared" si="39"/>
        <v>1.1598465229976731E-2</v>
      </c>
      <c r="W212" s="2"/>
      <c r="X212" s="6">
        <f t="shared" si="40"/>
        <v>4167.8800000000338</v>
      </c>
      <c r="Y212" s="2"/>
      <c r="Z212" s="7">
        <f t="shared" si="41"/>
        <v>1.9598715099834227E-2</v>
      </c>
    </row>
    <row r="213" spans="1:26" s="24" customFormat="1" hidden="1" outlineLevel="2" x14ac:dyDescent="0.25">
      <c r="A213" s="26"/>
      <c r="B213" s="11" t="str">
        <f>CONCATENATE("          ", "6002", " - ", "STAFF SALARIES")</f>
        <v xml:space="preserve">          6002 - STAFF SALARIES</v>
      </c>
      <c r="C213" s="11"/>
      <c r="D213" s="6">
        <v>168000.88</v>
      </c>
      <c r="E213" s="2"/>
      <c r="F213" s="7">
        <f t="shared" si="34"/>
        <v>8.4702577356353712E-2</v>
      </c>
      <c r="G213" s="2"/>
      <c r="H213" s="6">
        <v>168548.37</v>
      </c>
      <c r="I213" s="2"/>
      <c r="J213" s="7">
        <f t="shared" si="35"/>
        <v>7.0252801116306329E-2</v>
      </c>
      <c r="K213" s="2"/>
      <c r="L213" s="6">
        <f t="shared" si="36"/>
        <v>-547.48999999999069</v>
      </c>
      <c r="M213" s="2"/>
      <c r="N213" s="7">
        <f t="shared" si="37"/>
        <v>-3.2482663581972979E-3</v>
      </c>
      <c r="O213" s="11"/>
      <c r="P213" s="6">
        <v>1097813.4500000002</v>
      </c>
      <c r="Q213" s="2"/>
      <c r="R213" s="7">
        <f t="shared" si="38"/>
        <v>6.0727055460862857E-2</v>
      </c>
      <c r="S213" s="2"/>
      <c r="T213" s="6">
        <v>1040698.4</v>
      </c>
      <c r="U213" s="2"/>
      <c r="V213" s="7">
        <f t="shared" si="39"/>
        <v>5.6759401199188202E-2</v>
      </c>
      <c r="W213" s="2"/>
      <c r="X213" s="6">
        <f t="shared" si="40"/>
        <v>57115.050000000163</v>
      </c>
      <c r="Y213" s="2"/>
      <c r="Z213" s="7">
        <f t="shared" si="41"/>
        <v>5.4881462294935943E-2</v>
      </c>
    </row>
    <row r="214" spans="1:26" s="24" customFormat="1" hidden="1" outlineLevel="2" x14ac:dyDescent="0.25">
      <c r="A214" s="26"/>
      <c r="B214" s="11" t="str">
        <f>CONCATENATE("          ", "6004", " - ", "STAFF HOURLY")</f>
        <v xml:space="preserve">          6004 - STAFF HOURLY</v>
      </c>
      <c r="C214" s="11"/>
      <c r="D214" s="6">
        <v>80795.539999999994</v>
      </c>
      <c r="E214" s="2"/>
      <c r="F214" s="7">
        <f t="shared" si="34"/>
        <v>4.0735444224449122E-2</v>
      </c>
      <c r="G214" s="2"/>
      <c r="H214" s="6">
        <v>71859.22</v>
      </c>
      <c r="I214" s="2"/>
      <c r="J214" s="7">
        <f t="shared" si="35"/>
        <v>2.9951707578263157E-2</v>
      </c>
      <c r="K214" s="2"/>
      <c r="L214" s="6">
        <f t="shared" si="36"/>
        <v>8936.3199999999924</v>
      </c>
      <c r="M214" s="2"/>
      <c r="N214" s="7">
        <f t="shared" si="37"/>
        <v>0.1243587113803906</v>
      </c>
      <c r="O214" s="11"/>
      <c r="P214" s="6">
        <v>501564.13</v>
      </c>
      <c r="Q214" s="2"/>
      <c r="R214" s="7">
        <f t="shared" si="38"/>
        <v>2.7744707208396311E-2</v>
      </c>
      <c r="S214" s="2"/>
      <c r="T214" s="6">
        <v>483696.43000000005</v>
      </c>
      <c r="U214" s="2"/>
      <c r="V214" s="7">
        <f t="shared" si="39"/>
        <v>2.6380668721105994E-2</v>
      </c>
      <c r="W214" s="2"/>
      <c r="X214" s="6">
        <f t="shared" si="40"/>
        <v>17867.699999999953</v>
      </c>
      <c r="Y214" s="2"/>
      <c r="Z214" s="7">
        <f t="shared" si="41"/>
        <v>3.6939904642256612E-2</v>
      </c>
    </row>
    <row r="215" spans="1:26" s="24" customFormat="1" hidden="1" outlineLevel="2" x14ac:dyDescent="0.25">
      <c r="A215" s="26"/>
      <c r="B215" s="11" t="str">
        <f>CONCATENATE("          ", "6005", " - ", "TEMPORARY WAGES-HOURLY")</f>
        <v xml:space="preserve">          6005 - TEMPORARY WAGES-HOURLY</v>
      </c>
      <c r="C215" s="11"/>
      <c r="D215" s="6">
        <v>106158.06</v>
      </c>
      <c r="E215" s="2"/>
      <c r="F215" s="7">
        <f t="shared" si="34"/>
        <v>5.3522703506972337E-2</v>
      </c>
      <c r="G215" s="2"/>
      <c r="H215" s="6">
        <v>85684.12000000001</v>
      </c>
      <c r="I215" s="2"/>
      <c r="J215" s="7">
        <f t="shared" si="35"/>
        <v>3.5714076862242733E-2</v>
      </c>
      <c r="K215" s="2"/>
      <c r="L215" s="6">
        <f t="shared" si="36"/>
        <v>20473.939999999988</v>
      </c>
      <c r="M215" s="2"/>
      <c r="N215" s="7">
        <f t="shared" si="37"/>
        <v>0.23894672665133265</v>
      </c>
      <c r="O215" s="11"/>
      <c r="P215" s="6">
        <v>763302.91</v>
      </c>
      <c r="Q215" s="2"/>
      <c r="R215" s="7">
        <f t="shared" si="38"/>
        <v>4.2223146518206717E-2</v>
      </c>
      <c r="S215" s="2"/>
      <c r="T215" s="6">
        <v>616408.85</v>
      </c>
      <c r="U215" s="2"/>
      <c r="V215" s="7">
        <f t="shared" si="39"/>
        <v>3.361876718545951E-2</v>
      </c>
      <c r="W215" s="2"/>
      <c r="X215" s="6">
        <f t="shared" si="40"/>
        <v>146894.06000000006</v>
      </c>
      <c r="Y215" s="2"/>
      <c r="Z215" s="7">
        <f t="shared" si="41"/>
        <v>0.23830621510382283</v>
      </c>
    </row>
    <row r="216" spans="1:26" s="24" customFormat="1" hidden="1" outlineLevel="2" x14ac:dyDescent="0.25">
      <c r="A216" s="26"/>
      <c r="B216" s="11" t="str">
        <f>CONCATENATE("          ", "6006", " - ", "TEMPORARY PART TIME")</f>
        <v xml:space="preserve">          6006 - TEMPORARY PART TIME</v>
      </c>
      <c r="C216" s="11"/>
      <c r="D216" s="6">
        <v>5641.19</v>
      </c>
      <c r="E216" s="2"/>
      <c r="F216" s="7">
        <f t="shared" si="34"/>
        <v>2.8441716040826033E-3</v>
      </c>
      <c r="G216" s="2"/>
      <c r="H216" s="6">
        <v>4639.9799999999996</v>
      </c>
      <c r="I216" s="2"/>
      <c r="J216" s="7">
        <f t="shared" si="35"/>
        <v>1.9339943312631207E-3</v>
      </c>
      <c r="K216" s="2"/>
      <c r="L216" s="6">
        <f t="shared" si="36"/>
        <v>1001.21</v>
      </c>
      <c r="M216" s="2"/>
      <c r="N216" s="7">
        <f t="shared" si="37"/>
        <v>0.21577894732304884</v>
      </c>
      <c r="O216" s="11"/>
      <c r="P216" s="6">
        <v>78971.59</v>
      </c>
      <c r="Q216" s="2"/>
      <c r="R216" s="7">
        <f t="shared" si="38"/>
        <v>4.3684217257153497E-3</v>
      </c>
      <c r="S216" s="2"/>
      <c r="T216" s="6">
        <v>78241.88</v>
      </c>
      <c r="U216" s="2"/>
      <c r="V216" s="7">
        <f t="shared" si="39"/>
        <v>4.2672903672175714E-3</v>
      </c>
      <c r="W216" s="2"/>
      <c r="X216" s="6">
        <f t="shared" si="40"/>
        <v>729.70999999999185</v>
      </c>
      <c r="Y216" s="2"/>
      <c r="Z216" s="7">
        <f t="shared" si="41"/>
        <v>9.3263352056467946E-3</v>
      </c>
    </row>
    <row r="217" spans="1:26" s="24" customFormat="1" hidden="1" outlineLevel="2" x14ac:dyDescent="0.25">
      <c r="A217" s="26"/>
      <c r="B217" s="11" t="str">
        <f>CONCATENATE("          ", "6007", " - ", "STUDENT HOURLY")</f>
        <v xml:space="preserve">          6007 - STUDENT HOURLY</v>
      </c>
      <c r="C217" s="11"/>
      <c r="D217" s="6">
        <v>195646.83</v>
      </c>
      <c r="E217" s="2"/>
      <c r="F217" s="7">
        <f t="shared" si="34"/>
        <v>9.8641094931171694E-2</v>
      </c>
      <c r="G217" s="2"/>
      <c r="H217" s="6">
        <v>188797.72</v>
      </c>
      <c r="I217" s="2"/>
      <c r="J217" s="7">
        <f t="shared" si="35"/>
        <v>7.8692951313454357E-2</v>
      </c>
      <c r="K217" s="2"/>
      <c r="L217" s="6">
        <f t="shared" si="36"/>
        <v>6849.109999999986</v>
      </c>
      <c r="M217" s="2"/>
      <c r="N217" s="7">
        <f t="shared" si="37"/>
        <v>3.627750377493958E-2</v>
      </c>
      <c r="O217" s="11"/>
      <c r="P217" s="6">
        <v>1508463.68</v>
      </c>
      <c r="Q217" s="2"/>
      <c r="R217" s="7">
        <f t="shared" si="38"/>
        <v>8.3442735699819734E-2</v>
      </c>
      <c r="S217" s="2"/>
      <c r="T217" s="6">
        <v>1358304.07</v>
      </c>
      <c r="U217" s="2"/>
      <c r="V217" s="7">
        <f t="shared" si="39"/>
        <v>7.4081526078660462E-2</v>
      </c>
      <c r="W217" s="2"/>
      <c r="X217" s="6">
        <f t="shared" si="40"/>
        <v>150159.60999999987</v>
      </c>
      <c r="Y217" s="2"/>
      <c r="Z217" s="7">
        <f t="shared" si="41"/>
        <v>0.11054933377325436</v>
      </c>
    </row>
    <row r="218" spans="1:26" s="24" customFormat="1" hidden="1" outlineLevel="2" x14ac:dyDescent="0.25">
      <c r="A218" s="26"/>
      <c r="B218" s="11" t="str">
        <f>CONCATENATE("          ", "6008", " - ", "STUDENT HOURLY-FICA EXEMPT")</f>
        <v xml:space="preserve">          6008 - STUDENT HOURLY-FICA EXEMPT</v>
      </c>
      <c r="C218" s="11"/>
      <c r="D218" s="6">
        <v>20249.969999999998</v>
      </c>
      <c r="E218" s="2"/>
      <c r="F218" s="7">
        <f t="shared" si="34"/>
        <v>1.0209617059082321E-2</v>
      </c>
      <c r="G218" s="2"/>
      <c r="H218" s="6">
        <v>26390.030000000002</v>
      </c>
      <c r="I218" s="2"/>
      <c r="J218" s="7">
        <f t="shared" si="35"/>
        <v>1.099965267562871E-2</v>
      </c>
      <c r="K218" s="2"/>
      <c r="L218" s="6">
        <f t="shared" si="36"/>
        <v>-6140.0600000000049</v>
      </c>
      <c r="M218" s="2"/>
      <c r="N218" s="7">
        <f t="shared" si="37"/>
        <v>-0.23266589693153075</v>
      </c>
      <c r="O218" s="11"/>
      <c r="P218" s="6">
        <v>155917.54</v>
      </c>
      <c r="Q218" s="2"/>
      <c r="R218" s="7">
        <f t="shared" si="38"/>
        <v>8.6247923988372541E-3</v>
      </c>
      <c r="S218" s="2"/>
      <c r="T218" s="6">
        <v>170187.57</v>
      </c>
      <c r="U218" s="2"/>
      <c r="V218" s="7">
        <f t="shared" si="39"/>
        <v>9.2819827192440439E-3</v>
      </c>
      <c r="W218" s="2"/>
      <c r="X218" s="6">
        <f t="shared" si="40"/>
        <v>-14270.029999999999</v>
      </c>
      <c r="Y218" s="2"/>
      <c r="Z218" s="7">
        <f t="shared" si="41"/>
        <v>-8.3848838079067692E-2</v>
      </c>
    </row>
    <row r="219" spans="1:26" s="27" customFormat="1" outlineLevel="1" collapsed="1" x14ac:dyDescent="0.25">
      <c r="A219" s="25"/>
      <c r="B219" s="13" t="str">
        <f>CONCATENATE("     ","Advertising/Promo                                 ")</f>
        <v xml:space="preserve">     Advertising/Promo                                 </v>
      </c>
      <c r="C219" s="13"/>
      <c r="D219" s="1">
        <f>SUM(OSRRefD22_2x_0)</f>
        <v>8083.59</v>
      </c>
      <c r="E219" s="1"/>
      <c r="F219" s="5">
        <f t="shared" ref="F219:F223" si="42">IF(D$12=0,0,D219/D$12)</f>
        <v>4.0755792903706652E-3</v>
      </c>
      <c r="G219" s="1"/>
      <c r="H219" s="1">
        <f>SUM(OSRRefH22_2x_0)</f>
        <v>4528.46</v>
      </c>
      <c r="I219" s="1"/>
      <c r="J219" s="5">
        <f t="shared" ref="J219:J223" si="43">IF(H$12=0,0,H219/H$12)</f>
        <v>1.88751157749641E-3</v>
      </c>
      <c r="K219" s="1"/>
      <c r="L219" s="1">
        <f t="shared" ref="L219:L223" si="44">+D219-H219</f>
        <v>3555.13</v>
      </c>
      <c r="M219" s="1"/>
      <c r="N219" s="5">
        <f t="shared" ref="N219:N223" si="45">IF(H219=0,0,L219/H219)</f>
        <v>0.78506379652243807</v>
      </c>
      <c r="O219" s="13"/>
      <c r="P219" s="1">
        <f>SUM(OSRRefP22_2x_0)</f>
        <v>68920.320000000007</v>
      </c>
      <c r="Q219" s="1"/>
      <c r="R219" s="5">
        <f t="shared" ref="R219:R223" si="46">IF(P$12=0,0,P219/P$12)</f>
        <v>3.8124219511251347E-3</v>
      </c>
      <c r="S219" s="1"/>
      <c r="T219" s="1">
        <f>SUM(OSRRefT22_2x_0)</f>
        <v>71197.97</v>
      </c>
      <c r="U219" s="1"/>
      <c r="V219" s="5">
        <f t="shared" ref="V219:V223" si="47">IF(T$12=0,0,T219/T$12)</f>
        <v>3.8831174755315904E-3</v>
      </c>
      <c r="W219" s="1"/>
      <c r="X219" s="1">
        <f t="shared" ref="X219:X223" si="48">+P219-T219</f>
        <v>-2277.6499999999942</v>
      </c>
      <c r="Y219" s="1"/>
      <c r="Z219" s="5">
        <f t="shared" ref="Z219:Z223" si="49">IF(T219=0,0,X219/T219)</f>
        <v>-3.1990378377360955E-2</v>
      </c>
    </row>
    <row r="220" spans="1:26" s="24" customFormat="1" hidden="1" outlineLevel="2" x14ac:dyDescent="0.25">
      <c r="A220" s="26"/>
      <c r="B220" s="11" t="str">
        <f>CONCATENATE("          ", "6362", " - ", "ADVERTISING EXPENSE")</f>
        <v xml:space="preserve">          6362 - ADVERTISING EXPENSE</v>
      </c>
      <c r="C220" s="11"/>
      <c r="D220" s="6">
        <v>8083.59</v>
      </c>
      <c r="E220" s="2"/>
      <c r="F220" s="7">
        <f t="shared" si="42"/>
        <v>4.0755792903706652E-3</v>
      </c>
      <c r="G220" s="2"/>
      <c r="H220" s="6">
        <v>4528.46</v>
      </c>
      <c r="I220" s="2"/>
      <c r="J220" s="7">
        <f t="shared" si="43"/>
        <v>1.88751157749641E-3</v>
      </c>
      <c r="K220" s="2"/>
      <c r="L220" s="6">
        <f t="shared" si="44"/>
        <v>3555.13</v>
      </c>
      <c r="M220" s="2"/>
      <c r="N220" s="7">
        <f t="shared" si="45"/>
        <v>0.78506379652243807</v>
      </c>
      <c r="O220" s="11"/>
      <c r="P220" s="6">
        <v>68920.320000000007</v>
      </c>
      <c r="Q220" s="2"/>
      <c r="R220" s="7">
        <f t="shared" si="46"/>
        <v>3.8124219511251347E-3</v>
      </c>
      <c r="S220" s="2"/>
      <c r="T220" s="6">
        <v>71197.97</v>
      </c>
      <c r="U220" s="2"/>
      <c r="V220" s="7">
        <f t="shared" si="47"/>
        <v>3.8831174755315904E-3</v>
      </c>
      <c r="W220" s="2"/>
      <c r="X220" s="6">
        <f t="shared" si="48"/>
        <v>-2277.6499999999942</v>
      </c>
      <c r="Y220" s="2"/>
      <c r="Z220" s="7">
        <f t="shared" si="49"/>
        <v>-3.1990378377360955E-2</v>
      </c>
    </row>
    <row r="221" spans="1:26" s="27" customFormat="1" outlineLevel="1" collapsed="1" x14ac:dyDescent="0.25">
      <c r="A221" s="25"/>
      <c r="B221" s="13" t="str">
        <f>CONCATENATE("     ","Bad Debts/Over/Short                              ")</f>
        <v xml:space="preserve">     Bad Debts/Over/Short                              </v>
      </c>
      <c r="C221" s="13"/>
      <c r="D221" s="1">
        <f>SUM(OSRRefD22_3x_0)</f>
        <v>-21.5</v>
      </c>
      <c r="E221" s="1"/>
      <c r="F221" s="5">
        <f t="shared" si="42"/>
        <v>-1.0839856393380826E-5</v>
      </c>
      <c r="G221" s="1"/>
      <c r="H221" s="1">
        <f>SUM(OSRRefH22_3x_0)</f>
        <v>-230.74</v>
      </c>
      <c r="I221" s="1"/>
      <c r="J221" s="5">
        <f t="shared" si="43"/>
        <v>-9.6174951615233802E-5</v>
      </c>
      <c r="K221" s="1"/>
      <c r="L221" s="1">
        <f t="shared" si="44"/>
        <v>209.24</v>
      </c>
      <c r="M221" s="1"/>
      <c r="N221" s="5">
        <f t="shared" si="45"/>
        <v>-0.90682153072722549</v>
      </c>
      <c r="O221" s="13"/>
      <c r="P221" s="1">
        <f>SUM(OSRRefP22_3x_0)</f>
        <v>-195.85000000000002</v>
      </c>
      <c r="Q221" s="1"/>
      <c r="R221" s="5">
        <f t="shared" si="46"/>
        <v>-1.083371114829208E-5</v>
      </c>
      <c r="S221" s="1"/>
      <c r="T221" s="1">
        <f>SUM(OSRRefT22_3x_0)</f>
        <v>37.11</v>
      </c>
      <c r="U221" s="1"/>
      <c r="V221" s="5">
        <f t="shared" si="47"/>
        <v>2.0239690754803445E-6</v>
      </c>
      <c r="W221" s="1"/>
      <c r="X221" s="1">
        <f t="shared" si="48"/>
        <v>-232.96000000000004</v>
      </c>
      <c r="Y221" s="1"/>
      <c r="Z221" s="5">
        <f t="shared" si="49"/>
        <v>-6.2775532201562934</v>
      </c>
    </row>
    <row r="222" spans="1:26" s="24" customFormat="1" hidden="1" outlineLevel="2" x14ac:dyDescent="0.25">
      <c r="A222" s="26"/>
      <c r="B222" s="11" t="str">
        <f>CONCATENATE("          ", "6272", " - ", "CASH (OVER/SHORT)")</f>
        <v xml:space="preserve">          6272 - CASH (OVER/SHORT)</v>
      </c>
      <c r="C222" s="11"/>
      <c r="D222" s="6">
        <v>-21.5</v>
      </c>
      <c r="E222" s="2"/>
      <c r="F222" s="7">
        <f t="shared" si="42"/>
        <v>-1.0839856393380826E-5</v>
      </c>
      <c r="G222" s="2"/>
      <c r="H222" s="6">
        <v>-230.74</v>
      </c>
      <c r="I222" s="2"/>
      <c r="J222" s="7">
        <f t="shared" si="43"/>
        <v>-9.6174951615233802E-5</v>
      </c>
      <c r="K222" s="2"/>
      <c r="L222" s="6">
        <f t="shared" si="44"/>
        <v>209.24</v>
      </c>
      <c r="M222" s="2"/>
      <c r="N222" s="7">
        <f t="shared" si="45"/>
        <v>-0.90682153072722549</v>
      </c>
      <c r="O222" s="11"/>
      <c r="P222" s="6">
        <v>-240.65</v>
      </c>
      <c r="Q222" s="2"/>
      <c r="R222" s="7">
        <f t="shared" si="46"/>
        <v>-1.3311884543459222E-5</v>
      </c>
      <c r="S222" s="2"/>
      <c r="T222" s="6">
        <v>37.11</v>
      </c>
      <c r="U222" s="2"/>
      <c r="V222" s="7">
        <f t="shared" si="47"/>
        <v>2.0239690754803445E-6</v>
      </c>
      <c r="W222" s="2"/>
      <c r="X222" s="6">
        <f t="shared" si="48"/>
        <v>-277.76</v>
      </c>
      <c r="Y222" s="2"/>
      <c r="Z222" s="7">
        <f t="shared" si="49"/>
        <v>-7.4847749932632714</v>
      </c>
    </row>
    <row r="223" spans="1:26" s="24" customFormat="1" hidden="1" outlineLevel="2" x14ac:dyDescent="0.25">
      <c r="A223" s="26"/>
      <c r="B223" s="11" t="str">
        <f>CONCATENATE("          ", "6342", " - ", "BAD DEBT")</f>
        <v xml:space="preserve">          6342 - BAD DEBT</v>
      </c>
      <c r="C223" s="11"/>
      <c r="D223" s="6"/>
      <c r="E223" s="2"/>
      <c r="F223" s="7">
        <f t="shared" si="42"/>
        <v>0</v>
      </c>
      <c r="G223" s="2"/>
      <c r="H223" s="6"/>
      <c r="I223" s="2"/>
      <c r="J223" s="7">
        <f t="shared" si="43"/>
        <v>0</v>
      </c>
      <c r="K223" s="2"/>
      <c r="L223" s="6">
        <f t="shared" si="44"/>
        <v>0</v>
      </c>
      <c r="M223" s="2"/>
      <c r="N223" s="7">
        <f t="shared" si="45"/>
        <v>0</v>
      </c>
      <c r="O223" s="11"/>
      <c r="P223" s="6">
        <v>44.8</v>
      </c>
      <c r="Q223" s="2"/>
      <c r="R223" s="7">
        <f t="shared" si="46"/>
        <v>2.4781733951671437E-6</v>
      </c>
      <c r="S223" s="2"/>
      <c r="T223" s="6"/>
      <c r="U223" s="2"/>
      <c r="V223" s="7">
        <f t="shared" si="47"/>
        <v>0</v>
      </c>
      <c r="W223" s="2"/>
      <c r="X223" s="6">
        <f t="shared" si="48"/>
        <v>44.8</v>
      </c>
      <c r="Y223" s="2"/>
      <c r="Z223" s="7">
        <f t="shared" si="49"/>
        <v>0</v>
      </c>
    </row>
    <row r="224" spans="1:26" s="27" customFormat="1" outlineLevel="1" collapsed="1" x14ac:dyDescent="0.25">
      <c r="A224" s="25"/>
      <c r="B224" s="13" t="str">
        <f>CONCATENATE("     ","Bank/card Fees                                    ")</f>
        <v xml:space="preserve">     Bank/card Fees                                    </v>
      </c>
      <c r="C224" s="13"/>
      <c r="D224" s="1">
        <f>SUM(OSRRefD22_4x_0)</f>
        <v>43644.45</v>
      </c>
      <c r="E224" s="1"/>
      <c r="F224" s="5">
        <f t="shared" ref="F224:F229" si="50">IF(D$12=0,0,D224/D$12)</f>
        <v>2.2004631179911152E-2</v>
      </c>
      <c r="G224" s="1"/>
      <c r="H224" s="1">
        <f>SUM(OSRRefH22_4x_0)</f>
        <v>48304.990000000005</v>
      </c>
      <c r="I224" s="1"/>
      <c r="J224" s="5">
        <f t="shared" ref="J224:J229" si="51">IF(H$12=0,0,H224/H$12)</f>
        <v>2.0134047308764641E-2</v>
      </c>
      <c r="K224" s="1"/>
      <c r="L224" s="1">
        <f t="shared" ref="L224:L229" si="52">+D224-H224</f>
        <v>-4660.5400000000081</v>
      </c>
      <c r="M224" s="1"/>
      <c r="N224" s="5">
        <f t="shared" ref="N224:N229" si="53">IF(H224=0,0,L224/H224)</f>
        <v>-9.6481543625203267E-2</v>
      </c>
      <c r="O224" s="13"/>
      <c r="P224" s="1">
        <f>SUM(OSRRefP22_4x_0)</f>
        <v>266977.99</v>
      </c>
      <c r="Q224" s="1"/>
      <c r="R224" s="5">
        <f t="shared" ref="R224:R229" si="54">IF(P$12=0,0,P224/P$12)</f>
        <v>1.4768253390919637E-2</v>
      </c>
      <c r="S224" s="1"/>
      <c r="T224" s="1">
        <f>SUM(OSRRefT22_4x_0)</f>
        <v>261599.63000000003</v>
      </c>
      <c r="U224" s="1"/>
      <c r="V224" s="5">
        <f t="shared" ref="V224:V229" si="55">IF(T$12=0,0,T224/T$12)</f>
        <v>1.4267571039533827E-2</v>
      </c>
      <c r="W224" s="1"/>
      <c r="X224" s="1">
        <f t="shared" ref="X224:X229" si="56">+P224-T224</f>
        <v>5378.3599999999569</v>
      </c>
      <c r="Y224" s="1"/>
      <c r="Z224" s="5">
        <f t="shared" ref="Z224:Z229" si="57">IF(T224=0,0,X224/T224)</f>
        <v>2.0559509201140521E-2</v>
      </c>
    </row>
    <row r="225" spans="1:26" s="24" customFormat="1" hidden="1" outlineLevel="2" x14ac:dyDescent="0.25">
      <c r="A225" s="26"/>
      <c r="B225" s="11" t="str">
        <f>CONCATENATE("          ", "6381", " - ", "BANK/CREDIT CARD FEES")</f>
        <v xml:space="preserve">          6381 - BANK/CREDIT CARD FEES</v>
      </c>
      <c r="C225" s="11"/>
      <c r="D225" s="6">
        <v>43644.45</v>
      </c>
      <c r="E225" s="2"/>
      <c r="F225" s="7">
        <f t="shared" si="50"/>
        <v>2.2004631179911152E-2</v>
      </c>
      <c r="G225" s="2"/>
      <c r="H225" s="6">
        <v>48304.990000000005</v>
      </c>
      <c r="I225" s="2"/>
      <c r="J225" s="7">
        <f t="shared" si="51"/>
        <v>2.0134047308764641E-2</v>
      </c>
      <c r="K225" s="2"/>
      <c r="L225" s="6">
        <f t="shared" si="52"/>
        <v>-4660.5400000000081</v>
      </c>
      <c r="M225" s="2"/>
      <c r="N225" s="7">
        <f t="shared" si="53"/>
        <v>-9.6481543625203267E-2</v>
      </c>
      <c r="O225" s="11"/>
      <c r="P225" s="6">
        <v>266977.99</v>
      </c>
      <c r="Q225" s="2"/>
      <c r="R225" s="7">
        <f t="shared" si="54"/>
        <v>1.4768253390919637E-2</v>
      </c>
      <c r="S225" s="2"/>
      <c r="T225" s="6">
        <v>261599.63000000003</v>
      </c>
      <c r="U225" s="2"/>
      <c r="V225" s="7">
        <f t="shared" si="55"/>
        <v>1.4267571039533827E-2</v>
      </c>
      <c r="W225" s="2"/>
      <c r="X225" s="6">
        <f t="shared" si="56"/>
        <v>5378.3599999999569</v>
      </c>
      <c r="Y225" s="2"/>
      <c r="Z225" s="7">
        <f t="shared" si="57"/>
        <v>2.0559509201140521E-2</v>
      </c>
    </row>
    <row r="226" spans="1:26" s="27" customFormat="1" outlineLevel="1" collapsed="1" x14ac:dyDescent="0.25">
      <c r="A226" s="25"/>
      <c r="B226" s="13" t="str">
        <f>CONCATENATE("     ","Depreciation                                      ")</f>
        <v xml:space="preserve">     Depreciation                                      </v>
      </c>
      <c r="C226" s="13"/>
      <c r="D226" s="1">
        <f>SUM(OSRRefD22_5x_0)</f>
        <v>79350.27</v>
      </c>
      <c r="E226" s="1"/>
      <c r="F226" s="5">
        <f t="shared" si="50"/>
        <v>4.0006768910511387E-2</v>
      </c>
      <c r="G226" s="1"/>
      <c r="H226" s="1">
        <f>SUM(OSRRefH22_5x_0)</f>
        <v>73419.179999999993</v>
      </c>
      <c r="I226" s="1"/>
      <c r="J226" s="5">
        <f t="shared" si="51"/>
        <v>3.0601915940583081E-2</v>
      </c>
      <c r="K226" s="1"/>
      <c r="L226" s="1">
        <f t="shared" si="52"/>
        <v>5931.0900000000111</v>
      </c>
      <c r="M226" s="1"/>
      <c r="N226" s="5">
        <f t="shared" si="53"/>
        <v>8.0783931392314809E-2</v>
      </c>
      <c r="O226" s="13"/>
      <c r="P226" s="1">
        <f>SUM(OSRRefP22_5x_0)</f>
        <v>468662.27</v>
      </c>
      <c r="Q226" s="1"/>
      <c r="R226" s="5">
        <f t="shared" si="54"/>
        <v>2.5924695732871445E-2</v>
      </c>
      <c r="S226" s="1"/>
      <c r="T226" s="1">
        <f>SUM(OSRRefT22_5x_0)</f>
        <v>459488.94</v>
      </c>
      <c r="U226" s="1"/>
      <c r="V226" s="5">
        <f t="shared" si="55"/>
        <v>2.5060398951367385E-2</v>
      </c>
      <c r="W226" s="1"/>
      <c r="X226" s="1">
        <f t="shared" si="56"/>
        <v>9173.3300000000163</v>
      </c>
      <c r="Y226" s="1"/>
      <c r="Z226" s="5">
        <f t="shared" si="57"/>
        <v>1.996420196751638E-2</v>
      </c>
    </row>
    <row r="227" spans="1:26" s="24" customFormat="1" hidden="1" outlineLevel="2" x14ac:dyDescent="0.25">
      <c r="A227" s="26"/>
      <c r="B227" s="11" t="str">
        <f>CONCATENATE("          ", "6321", " - ", "BUILDING DEPRECIATION")</f>
        <v xml:space="preserve">          6321 - BUILDING DEPRECIATION</v>
      </c>
      <c r="C227" s="11"/>
      <c r="D227" s="6">
        <v>45519.990000000005</v>
      </c>
      <c r="E227" s="2"/>
      <c r="F227" s="7">
        <f t="shared" si="50"/>
        <v>2.2950239750145641E-2</v>
      </c>
      <c r="G227" s="2"/>
      <c r="H227" s="6">
        <v>43050.400000000001</v>
      </c>
      <c r="I227" s="2"/>
      <c r="J227" s="7">
        <f t="shared" si="51"/>
        <v>1.7943876818134964E-2</v>
      </c>
      <c r="K227" s="2"/>
      <c r="L227" s="6">
        <f t="shared" si="52"/>
        <v>2469.5900000000038</v>
      </c>
      <c r="M227" s="2"/>
      <c r="N227" s="7">
        <f t="shared" si="53"/>
        <v>5.7365088361548411E-2</v>
      </c>
      <c r="O227" s="11"/>
      <c r="P227" s="6">
        <v>273119.94</v>
      </c>
      <c r="Q227" s="2"/>
      <c r="R227" s="7">
        <f t="shared" si="54"/>
        <v>1.5108003772268898E-2</v>
      </c>
      <c r="S227" s="2"/>
      <c r="T227" s="6">
        <v>277276.26</v>
      </c>
      <c r="U227" s="2"/>
      <c r="V227" s="7">
        <f t="shared" si="55"/>
        <v>1.5122570078276684E-2</v>
      </c>
      <c r="W227" s="2"/>
      <c r="X227" s="6">
        <f t="shared" si="56"/>
        <v>-4156.320000000007</v>
      </c>
      <c r="Y227" s="2"/>
      <c r="Z227" s="7">
        <f t="shared" si="57"/>
        <v>-1.4989815572382601E-2</v>
      </c>
    </row>
    <row r="228" spans="1:26" s="24" customFormat="1" hidden="1" outlineLevel="2" x14ac:dyDescent="0.25">
      <c r="A228" s="26"/>
      <c r="B228" s="11" t="str">
        <f>CONCATENATE("          ", "6322", " - ", "EQUIPMENT DEPRECIATION EXPENSE")</f>
        <v xml:space="preserve">          6322 - EQUIPMENT DEPRECIATION EXPENSE</v>
      </c>
      <c r="C228" s="11"/>
      <c r="D228" s="6">
        <v>33406.03</v>
      </c>
      <c r="E228" s="2"/>
      <c r="F228" s="7">
        <f t="shared" si="50"/>
        <v>1.6842631063859147E-2</v>
      </c>
      <c r="G228" s="2"/>
      <c r="H228" s="6">
        <v>29944.53</v>
      </c>
      <c r="I228" s="2"/>
      <c r="J228" s="7">
        <f t="shared" si="51"/>
        <v>1.2481207089758676E-2</v>
      </c>
      <c r="K228" s="2"/>
      <c r="L228" s="6">
        <f t="shared" si="52"/>
        <v>3461.5</v>
      </c>
      <c r="M228" s="2"/>
      <c r="N228" s="7">
        <f t="shared" si="53"/>
        <v>0.11559707232005312</v>
      </c>
      <c r="O228" s="11"/>
      <c r="P228" s="6">
        <v>192996.83000000002</v>
      </c>
      <c r="Q228" s="2"/>
      <c r="R228" s="7">
        <f t="shared" si="54"/>
        <v>1.0675884139678484E-2</v>
      </c>
      <c r="S228" s="2"/>
      <c r="T228" s="6">
        <v>179667.18</v>
      </c>
      <c r="U228" s="2"/>
      <c r="V228" s="7">
        <f t="shared" si="55"/>
        <v>9.7989980112843083E-3</v>
      </c>
      <c r="W228" s="2"/>
      <c r="X228" s="6">
        <f t="shared" si="56"/>
        <v>13329.650000000023</v>
      </c>
      <c r="Y228" s="2"/>
      <c r="Z228" s="7">
        <f t="shared" si="57"/>
        <v>7.4190789881602326E-2</v>
      </c>
    </row>
    <row r="229" spans="1:26" s="24" customFormat="1" hidden="1" outlineLevel="2" x14ac:dyDescent="0.25">
      <c r="A229" s="26"/>
      <c r="B229" s="11" t="str">
        <f>CONCATENATE("          ", "6326", " - ", "VEHICLES DEPRECIATION EXPENSE")</f>
        <v xml:space="preserve">          6326 - VEHICLES DEPRECIATION EXPENSE</v>
      </c>
      <c r="C229" s="11"/>
      <c r="D229" s="6">
        <v>424.25</v>
      </c>
      <c r="E229" s="2"/>
      <c r="F229" s="7">
        <f t="shared" si="50"/>
        <v>2.1389809650659605E-4</v>
      </c>
      <c r="G229" s="2"/>
      <c r="H229" s="6">
        <v>424.25</v>
      </c>
      <c r="I229" s="2"/>
      <c r="J229" s="7">
        <f t="shared" si="51"/>
        <v>1.7683203268944672E-4</v>
      </c>
      <c r="K229" s="2"/>
      <c r="L229" s="6">
        <f t="shared" si="52"/>
        <v>0</v>
      </c>
      <c r="M229" s="2"/>
      <c r="N229" s="7">
        <f t="shared" si="53"/>
        <v>0</v>
      </c>
      <c r="O229" s="11"/>
      <c r="P229" s="6">
        <v>2545.5</v>
      </c>
      <c r="Q229" s="2"/>
      <c r="R229" s="7">
        <f t="shared" si="54"/>
        <v>1.408078209240617E-4</v>
      </c>
      <c r="S229" s="2"/>
      <c r="T229" s="6">
        <v>2545.5</v>
      </c>
      <c r="U229" s="2"/>
      <c r="V229" s="7">
        <f t="shared" si="55"/>
        <v>1.3883086180639228E-4</v>
      </c>
      <c r="W229" s="2"/>
      <c r="X229" s="6">
        <f t="shared" si="56"/>
        <v>0</v>
      </c>
      <c r="Y229" s="2"/>
      <c r="Z229" s="7">
        <f t="shared" si="57"/>
        <v>0</v>
      </c>
    </row>
    <row r="230" spans="1:26" s="27" customFormat="1" outlineLevel="1" collapsed="1" x14ac:dyDescent="0.25">
      <c r="A230" s="25"/>
      <c r="B230" s="13" t="str">
        <f>CONCATENATE("     ","Discounts and Markdowns                           ")</f>
        <v xml:space="preserve">     Discounts and Markdowns                           </v>
      </c>
      <c r="C230" s="13"/>
      <c r="D230" s="1">
        <f>SUM(OSRRefD22_6x_0)</f>
        <v>41769.519999999997</v>
      </c>
      <c r="E230" s="1"/>
      <c r="F230" s="5">
        <f t="shared" ref="F230:F232" si="58">IF(D$12=0,0,D230/D$12)</f>
        <v>2.1059330159090617E-2</v>
      </c>
      <c r="G230" s="1"/>
      <c r="H230" s="1">
        <f>SUM(OSRRefH22_6x_0)</f>
        <v>55246.07</v>
      </c>
      <c r="I230" s="1"/>
      <c r="J230" s="5">
        <f t="shared" ref="J230:J232" si="59">IF(H$12=0,0,H230/H$12)</f>
        <v>2.3027165247385888E-2</v>
      </c>
      <c r="K230" s="1"/>
      <c r="L230" s="1">
        <f t="shared" ref="L230:L232" si="60">+D230-H230</f>
        <v>-13476.550000000003</v>
      </c>
      <c r="M230" s="1"/>
      <c r="N230" s="5">
        <f t="shared" ref="N230:N232" si="61">IF(H230=0,0,L230/H230)</f>
        <v>-0.24393680853678829</v>
      </c>
      <c r="O230" s="13"/>
      <c r="P230" s="1">
        <f>SUM(OSRRefP22_6x_0)</f>
        <v>237051.37000000002</v>
      </c>
      <c r="Q230" s="1"/>
      <c r="R230" s="5">
        <f t="shared" ref="R230:R232" si="62">IF(P$12=0,0,P230/P$12)</f>
        <v>1.3112821393346493E-2</v>
      </c>
      <c r="S230" s="1"/>
      <c r="T230" s="1">
        <f>SUM(OSRRefT22_6x_0)</f>
        <v>256578.84000000003</v>
      </c>
      <c r="U230" s="1"/>
      <c r="V230" s="5">
        <f t="shared" ref="V230:V232" si="63">IF(T$12=0,0,T230/T$12)</f>
        <v>1.3993738549787641E-2</v>
      </c>
      <c r="W230" s="1"/>
      <c r="X230" s="1">
        <f t="shared" ref="X230:X232" si="64">+P230-T230</f>
        <v>-19527.47</v>
      </c>
      <c r="Y230" s="1"/>
      <c r="Z230" s="5">
        <f t="shared" ref="Z230:Z232" si="65">IF(T230=0,0,X230/T230)</f>
        <v>-7.6107094411994383E-2</v>
      </c>
    </row>
    <row r="231" spans="1:26" s="24" customFormat="1" hidden="1" outlineLevel="2" x14ac:dyDescent="0.25">
      <c r="A231" s="26"/>
      <c r="B231" s="11" t="str">
        <f>CONCATENATE("          ", "6382", " - ", "DISCOUNTS/MARK DOWNS")</f>
        <v xml:space="preserve">          6382 - DISCOUNTS/MARK DOWNS</v>
      </c>
      <c r="C231" s="11"/>
      <c r="D231" s="6">
        <v>41890.769999999997</v>
      </c>
      <c r="E231" s="2"/>
      <c r="F231" s="7">
        <f t="shared" si="58"/>
        <v>2.1120461907355611E-2</v>
      </c>
      <c r="G231" s="2"/>
      <c r="H231" s="6">
        <v>55393.77</v>
      </c>
      <c r="I231" s="2"/>
      <c r="J231" s="7">
        <f t="shared" si="59"/>
        <v>2.3088728220227915E-2</v>
      </c>
      <c r="K231" s="2"/>
      <c r="L231" s="6">
        <f t="shared" si="60"/>
        <v>-13503</v>
      </c>
      <c r="M231" s="2"/>
      <c r="N231" s="7">
        <f t="shared" si="61"/>
        <v>-0.24376387452957257</v>
      </c>
      <c r="O231" s="11"/>
      <c r="P231" s="6">
        <v>239537.87000000002</v>
      </c>
      <c r="Q231" s="2"/>
      <c r="R231" s="7">
        <f t="shared" si="62"/>
        <v>1.3250365548415311E-2</v>
      </c>
      <c r="S231" s="2"/>
      <c r="T231" s="6">
        <v>259405.53000000003</v>
      </c>
      <c r="U231" s="2"/>
      <c r="V231" s="7">
        <f t="shared" si="63"/>
        <v>1.4147905435963053E-2</v>
      </c>
      <c r="W231" s="2"/>
      <c r="X231" s="6">
        <f t="shared" si="64"/>
        <v>-19867.660000000003</v>
      </c>
      <c r="Y231" s="2"/>
      <c r="Z231" s="7">
        <f t="shared" si="65"/>
        <v>-7.6589192219610747E-2</v>
      </c>
    </row>
    <row r="232" spans="1:26" s="24" customFormat="1" hidden="1" outlineLevel="2" x14ac:dyDescent="0.25">
      <c r="A232" s="26"/>
      <c r="B232" s="11" t="str">
        <f>CONCATENATE("          ", "9175", " - ", "EARNED DISCOUNTS")</f>
        <v xml:space="preserve">          9175 - EARNED DISCOUNTS</v>
      </c>
      <c r="C232" s="11"/>
      <c r="D232" s="6">
        <v>-121.25</v>
      </c>
      <c r="E232" s="2"/>
      <c r="F232" s="7">
        <f t="shared" si="58"/>
        <v>-6.1131748264996522E-5</v>
      </c>
      <c r="G232" s="2"/>
      <c r="H232" s="6">
        <v>-147.69999999999999</v>
      </c>
      <c r="I232" s="2"/>
      <c r="J232" s="7">
        <f t="shared" si="59"/>
        <v>-6.1562972842030123E-5</v>
      </c>
      <c r="K232" s="2"/>
      <c r="L232" s="6">
        <f t="shared" si="60"/>
        <v>26.449999999999989</v>
      </c>
      <c r="M232" s="2"/>
      <c r="N232" s="7">
        <f t="shared" si="61"/>
        <v>-0.17907921462423826</v>
      </c>
      <c r="O232" s="11"/>
      <c r="P232" s="6">
        <v>-2486.5</v>
      </c>
      <c r="Q232" s="2"/>
      <c r="R232" s="7">
        <f t="shared" si="62"/>
        <v>-1.3754415506881927E-4</v>
      </c>
      <c r="S232" s="2"/>
      <c r="T232" s="6">
        <v>-2826.69</v>
      </c>
      <c r="U232" s="2"/>
      <c r="V232" s="7">
        <f t="shared" si="63"/>
        <v>-1.541668861754119E-4</v>
      </c>
      <c r="W232" s="2"/>
      <c r="X232" s="6">
        <f t="shared" si="64"/>
        <v>340.19000000000005</v>
      </c>
      <c r="Y232" s="2"/>
      <c r="Z232" s="7">
        <f t="shared" si="65"/>
        <v>-0.12034924240012171</v>
      </c>
    </row>
    <row r="233" spans="1:26" s="27" customFormat="1" outlineLevel="1" collapsed="1" x14ac:dyDescent="0.25">
      <c r="A233" s="25"/>
      <c r="B233" s="13" t="str">
        <f>CONCATENATE("     ","Donations                                         ")</f>
        <v xml:space="preserve">     Donations                                         </v>
      </c>
      <c r="C233" s="13"/>
      <c r="D233" s="1">
        <f>SUM(OSRRefD22_7x_0)</f>
        <v>11353.93</v>
      </c>
      <c r="E233" s="1"/>
      <c r="F233" s="5">
        <f t="shared" ref="F233:F241" si="66">IF(D$12=0,0,D233/D$12)</f>
        <v>5.7244172418836449E-3</v>
      </c>
      <c r="G233" s="1"/>
      <c r="H233" s="1">
        <f>SUM(OSRRefH22_7x_0)</f>
        <v>10186.17</v>
      </c>
      <c r="I233" s="1"/>
      <c r="J233" s="5">
        <f t="shared" ref="J233:J241" si="67">IF(H$12=0,0,H233/H$12)</f>
        <v>4.2457068860819363E-3</v>
      </c>
      <c r="K233" s="1"/>
      <c r="L233" s="1">
        <f t="shared" ref="L233:L241" si="68">+D233-H233</f>
        <v>1167.7600000000002</v>
      </c>
      <c r="M233" s="1"/>
      <c r="N233" s="5">
        <f t="shared" ref="N233:N241" si="69">IF(H233=0,0,L233/H233)</f>
        <v>0.11464171518833872</v>
      </c>
      <c r="O233" s="13"/>
      <c r="P233" s="1">
        <f>SUM(OSRRefP22_7x_0)</f>
        <v>87408.73</v>
      </c>
      <c r="Q233" s="1"/>
      <c r="R233" s="5">
        <f t="shared" ref="R233:R241" si="70">IF(P$12=0,0,P233/P$12)</f>
        <v>4.8351336873068791E-3</v>
      </c>
      <c r="S233" s="1"/>
      <c r="T233" s="1">
        <f>SUM(OSRRefT22_7x_0)</f>
        <v>72132.44</v>
      </c>
      <c r="U233" s="1"/>
      <c r="V233" s="5">
        <f t="shared" ref="V233:V241" si="71">IF(T$12=0,0,T233/T$12)</f>
        <v>3.9340832093490014E-3</v>
      </c>
      <c r="W233" s="1"/>
      <c r="X233" s="1">
        <f t="shared" ref="X233:X241" si="72">+P233-T233</f>
        <v>15276.289999999994</v>
      </c>
      <c r="Y233" s="1"/>
      <c r="Z233" s="5">
        <f t="shared" ref="Z233:Z241" si="73">IF(T233=0,0,X233/T233)</f>
        <v>0.21178113481257521</v>
      </c>
    </row>
    <row r="234" spans="1:26" s="24" customFormat="1" hidden="1" outlineLevel="2" x14ac:dyDescent="0.25">
      <c r="A234" s="26"/>
      <c r="B234" s="11" t="str">
        <f>CONCATENATE("          ", "6399", " - ", "DONATION-ON CAMPUS")</f>
        <v xml:space="preserve">          6399 - DONATION-ON CAMPUS</v>
      </c>
      <c r="C234" s="11"/>
      <c r="D234" s="6">
        <v>11353.93</v>
      </c>
      <c r="E234" s="2"/>
      <c r="F234" s="7">
        <f t="shared" si="66"/>
        <v>5.7244172418836449E-3</v>
      </c>
      <c r="G234" s="2"/>
      <c r="H234" s="6">
        <v>10186.17</v>
      </c>
      <c r="I234" s="2"/>
      <c r="J234" s="7">
        <f t="shared" si="67"/>
        <v>4.2457068860819363E-3</v>
      </c>
      <c r="K234" s="2"/>
      <c r="L234" s="6">
        <f t="shared" si="68"/>
        <v>1167.7600000000002</v>
      </c>
      <c r="M234" s="2"/>
      <c r="N234" s="7">
        <f t="shared" si="69"/>
        <v>0.11464171518833872</v>
      </c>
      <c r="O234" s="11"/>
      <c r="P234" s="6">
        <v>87408.73</v>
      </c>
      <c r="Q234" s="2"/>
      <c r="R234" s="7">
        <f t="shared" si="70"/>
        <v>4.8351336873068791E-3</v>
      </c>
      <c r="S234" s="2"/>
      <c r="T234" s="6">
        <v>72132.44</v>
      </c>
      <c r="U234" s="2"/>
      <c r="V234" s="7">
        <f t="shared" si="71"/>
        <v>3.9340832093490014E-3</v>
      </c>
      <c r="W234" s="2"/>
      <c r="X234" s="6">
        <f t="shared" si="72"/>
        <v>15276.289999999994</v>
      </c>
      <c r="Y234" s="2"/>
      <c r="Z234" s="7">
        <f t="shared" si="73"/>
        <v>0.21178113481257521</v>
      </c>
    </row>
    <row r="235" spans="1:26" s="27" customFormat="1" outlineLevel="1" collapsed="1" x14ac:dyDescent="0.25">
      <c r="A235" s="25"/>
      <c r="B235" s="13" t="str">
        <f>CONCATENATE("     ","Employees' Appreciation                           ")</f>
        <v xml:space="preserve">     Employees' Appreciation                           </v>
      </c>
      <c r="C235" s="13"/>
      <c r="D235" s="1">
        <f>SUM(OSRRefD22_8x_0)</f>
        <v>573.37</v>
      </c>
      <c r="E235" s="1"/>
      <c r="F235" s="5">
        <f t="shared" si="66"/>
        <v>2.8908132373361691E-4</v>
      </c>
      <c r="G235" s="1"/>
      <c r="H235" s="1">
        <f>SUM(OSRRefH22_8x_0)</f>
        <v>535.77</v>
      </c>
      <c r="I235" s="1"/>
      <c r="J235" s="5">
        <f t="shared" si="67"/>
        <v>2.2331478645615761E-4</v>
      </c>
      <c r="K235" s="1"/>
      <c r="L235" s="1">
        <f t="shared" si="68"/>
        <v>37.600000000000023</v>
      </c>
      <c r="M235" s="1"/>
      <c r="N235" s="5">
        <f t="shared" si="69"/>
        <v>7.0179368012393425E-2</v>
      </c>
      <c r="O235" s="13"/>
      <c r="P235" s="1">
        <f>SUM(OSRRefP22_8x_0)</f>
        <v>3748.75</v>
      </c>
      <c r="Q235" s="1"/>
      <c r="R235" s="5">
        <f t="shared" si="70"/>
        <v>2.0736724364135782E-4</v>
      </c>
      <c r="S235" s="1"/>
      <c r="T235" s="1">
        <f>SUM(OSRRefT22_8x_0)</f>
        <v>5111.37</v>
      </c>
      <c r="U235" s="1"/>
      <c r="V235" s="5">
        <f t="shared" si="71"/>
        <v>2.787726977455664E-4</v>
      </c>
      <c r="W235" s="1"/>
      <c r="X235" s="1">
        <f t="shared" si="72"/>
        <v>-1362.62</v>
      </c>
      <c r="Y235" s="1"/>
      <c r="Z235" s="5">
        <f t="shared" si="73"/>
        <v>-0.26658606205381336</v>
      </c>
    </row>
    <row r="236" spans="1:26" s="24" customFormat="1" hidden="1" outlineLevel="2" x14ac:dyDescent="0.25">
      <c r="A236" s="26"/>
      <c r="B236" s="11" t="str">
        <f>CONCATENATE("          ", "6277", " - ", "EMPLOYEE APPRECIATION")</f>
        <v xml:space="preserve">          6277 - EMPLOYEE APPRECIATION</v>
      </c>
      <c r="C236" s="11"/>
      <c r="D236" s="6">
        <v>573.37</v>
      </c>
      <c r="E236" s="2"/>
      <c r="F236" s="7">
        <f t="shared" si="66"/>
        <v>2.8908132373361691E-4</v>
      </c>
      <c r="G236" s="2"/>
      <c r="H236" s="6">
        <v>535.77</v>
      </c>
      <c r="I236" s="2"/>
      <c r="J236" s="7">
        <f t="shared" si="67"/>
        <v>2.2331478645615761E-4</v>
      </c>
      <c r="K236" s="2"/>
      <c r="L236" s="6">
        <f t="shared" si="68"/>
        <v>37.600000000000023</v>
      </c>
      <c r="M236" s="2"/>
      <c r="N236" s="7">
        <f t="shared" si="69"/>
        <v>7.0179368012393425E-2</v>
      </c>
      <c r="O236" s="11"/>
      <c r="P236" s="6">
        <v>3748.75</v>
      </c>
      <c r="Q236" s="2"/>
      <c r="R236" s="7">
        <f t="shared" si="70"/>
        <v>2.0736724364135782E-4</v>
      </c>
      <c r="S236" s="2"/>
      <c r="T236" s="6">
        <v>5111.37</v>
      </c>
      <c r="U236" s="2"/>
      <c r="V236" s="7">
        <f t="shared" si="71"/>
        <v>2.787726977455664E-4</v>
      </c>
      <c r="W236" s="2"/>
      <c r="X236" s="6">
        <f t="shared" si="72"/>
        <v>-1362.62</v>
      </c>
      <c r="Y236" s="2"/>
      <c r="Z236" s="7">
        <f t="shared" si="73"/>
        <v>-0.26658606205381336</v>
      </c>
    </row>
    <row r="237" spans="1:26" s="27" customFormat="1" outlineLevel="1" collapsed="1" x14ac:dyDescent="0.25">
      <c r="A237" s="25"/>
      <c r="B237" s="13" t="str">
        <f>CONCATENATE("     ","Equipment Rental                                  ")</f>
        <v xml:space="preserve">     Equipment Rental                                  </v>
      </c>
      <c r="C237" s="13"/>
      <c r="D237" s="1">
        <f>SUM(OSRRefD22_9x_0)</f>
        <v>3009.99</v>
      </c>
      <c r="E237" s="1"/>
      <c r="F237" s="5">
        <f t="shared" si="66"/>
        <v>1.517574853279644E-3</v>
      </c>
      <c r="G237" s="1"/>
      <c r="H237" s="1">
        <f>SUM(OSRRefH22_9x_0)</f>
        <v>4938.46</v>
      </c>
      <c r="I237" s="1"/>
      <c r="J237" s="5">
        <f t="shared" si="67"/>
        <v>2.0584040545799059E-3</v>
      </c>
      <c r="K237" s="1"/>
      <c r="L237" s="1">
        <f t="shared" si="68"/>
        <v>-1928.4700000000003</v>
      </c>
      <c r="M237" s="1"/>
      <c r="N237" s="5">
        <f t="shared" si="69"/>
        <v>-0.39050027741441667</v>
      </c>
      <c r="O237" s="13"/>
      <c r="P237" s="1">
        <f>SUM(OSRRefP22_9x_0)</f>
        <v>29436.74</v>
      </c>
      <c r="Q237" s="1"/>
      <c r="R237" s="5">
        <f t="shared" si="70"/>
        <v>1.628333614027957E-3</v>
      </c>
      <c r="S237" s="1"/>
      <c r="T237" s="1">
        <f>SUM(OSRRefT22_9x_0)</f>
        <v>33402.93</v>
      </c>
      <c r="U237" s="1"/>
      <c r="V237" s="5">
        <f t="shared" si="71"/>
        <v>1.8217865090389294E-3</v>
      </c>
      <c r="W237" s="1"/>
      <c r="X237" s="1">
        <f t="shared" si="72"/>
        <v>-3966.1899999999987</v>
      </c>
      <c r="Y237" s="1"/>
      <c r="Z237" s="5">
        <f t="shared" si="73"/>
        <v>-0.11873778737374233</v>
      </c>
    </row>
    <row r="238" spans="1:26" s="24" customFormat="1" hidden="1" outlineLevel="2" x14ac:dyDescent="0.25">
      <c r="A238" s="26"/>
      <c r="B238" s="11" t="str">
        <f>CONCATENATE("          ", "6351", " - ", "EQUIPMENT RENTAL")</f>
        <v xml:space="preserve">          6351 - EQUIPMENT RENTAL</v>
      </c>
      <c r="C238" s="11"/>
      <c r="D238" s="6">
        <v>3009.99</v>
      </c>
      <c r="E238" s="2"/>
      <c r="F238" s="7">
        <f t="shared" si="66"/>
        <v>1.517574853279644E-3</v>
      </c>
      <c r="G238" s="2"/>
      <c r="H238" s="6">
        <v>4938.46</v>
      </c>
      <c r="I238" s="2"/>
      <c r="J238" s="7">
        <f t="shared" si="67"/>
        <v>2.0584040545799059E-3</v>
      </c>
      <c r="K238" s="2"/>
      <c r="L238" s="6">
        <f t="shared" si="68"/>
        <v>-1928.4700000000003</v>
      </c>
      <c r="M238" s="2"/>
      <c r="N238" s="7">
        <f t="shared" si="69"/>
        <v>-0.39050027741441667</v>
      </c>
      <c r="O238" s="11"/>
      <c r="P238" s="6">
        <v>29436.74</v>
      </c>
      <c r="Q238" s="2"/>
      <c r="R238" s="7">
        <f t="shared" si="70"/>
        <v>1.628333614027957E-3</v>
      </c>
      <c r="S238" s="2"/>
      <c r="T238" s="6">
        <v>33402.93</v>
      </c>
      <c r="U238" s="2"/>
      <c r="V238" s="7">
        <f t="shared" si="71"/>
        <v>1.8217865090389294E-3</v>
      </c>
      <c r="W238" s="2"/>
      <c r="X238" s="6">
        <f t="shared" si="72"/>
        <v>-3966.1899999999987</v>
      </c>
      <c r="Y238" s="2"/>
      <c r="Z238" s="7">
        <f t="shared" si="73"/>
        <v>-0.11873778737374233</v>
      </c>
    </row>
    <row r="239" spans="1:26" s="27" customFormat="1" outlineLevel="1" collapsed="1" x14ac:dyDescent="0.25">
      <c r="A239" s="25"/>
      <c r="B239" s="13" t="str">
        <f>CONCATENATE("     ","Freight out/Postage                               ")</f>
        <v xml:space="preserve">     Freight out/Postage                               </v>
      </c>
      <c r="C239" s="13"/>
      <c r="D239" s="1">
        <f>SUM(OSRRefD22_10x_0)</f>
        <v>1921.3400000000001</v>
      </c>
      <c r="E239" s="1"/>
      <c r="F239" s="5">
        <f t="shared" si="66"/>
        <v>9.6869998524922406E-4</v>
      </c>
      <c r="G239" s="1"/>
      <c r="H239" s="1">
        <f>SUM(OSRRefH22_10x_0)</f>
        <v>1079.5100000000002</v>
      </c>
      <c r="I239" s="1"/>
      <c r="J239" s="5">
        <f t="shared" si="67"/>
        <v>4.4995155594245063E-4</v>
      </c>
      <c r="K239" s="1"/>
      <c r="L239" s="1">
        <f t="shared" si="68"/>
        <v>841.82999999999993</v>
      </c>
      <c r="M239" s="1"/>
      <c r="N239" s="5">
        <f t="shared" si="69"/>
        <v>0.77982603218126723</v>
      </c>
      <c r="O239" s="13"/>
      <c r="P239" s="1">
        <f>SUM(OSRRefP22_10x_0)</f>
        <v>6825.880000000001</v>
      </c>
      <c r="Q239" s="1"/>
      <c r="R239" s="5">
        <f t="shared" si="70"/>
        <v>3.7758290657597114E-4</v>
      </c>
      <c r="S239" s="1"/>
      <c r="T239" s="1">
        <f>SUM(OSRRefT22_10x_0)</f>
        <v>11277.150000000001</v>
      </c>
      <c r="U239" s="1"/>
      <c r="V239" s="5">
        <f t="shared" si="71"/>
        <v>6.1505262353956269E-4</v>
      </c>
      <c r="W239" s="1"/>
      <c r="X239" s="1">
        <f t="shared" si="72"/>
        <v>-4451.2700000000004</v>
      </c>
      <c r="Y239" s="1"/>
      <c r="Z239" s="5">
        <f t="shared" si="73"/>
        <v>-0.39471586349387922</v>
      </c>
    </row>
    <row r="240" spans="1:26" s="24" customFormat="1" hidden="1" outlineLevel="2" x14ac:dyDescent="0.25">
      <c r="A240" s="26"/>
      <c r="B240" s="11" t="str">
        <f>CONCATENATE("          ", "6305", " - ", "FREIGHT OUT")</f>
        <v xml:space="preserve">          6305 - FREIGHT OUT</v>
      </c>
      <c r="C240" s="11"/>
      <c r="D240" s="6">
        <v>6027.58</v>
      </c>
      <c r="E240" s="2"/>
      <c r="F240" s="7">
        <f t="shared" si="66"/>
        <v>3.0389814697495067E-3</v>
      </c>
      <c r="G240" s="2"/>
      <c r="H240" s="6">
        <v>2869.61</v>
      </c>
      <c r="I240" s="2"/>
      <c r="J240" s="7">
        <f t="shared" si="67"/>
        <v>1.1960847833257825E-3</v>
      </c>
      <c r="K240" s="2"/>
      <c r="L240" s="6">
        <f t="shared" si="68"/>
        <v>3157.97</v>
      </c>
      <c r="M240" s="2"/>
      <c r="N240" s="7">
        <f t="shared" si="69"/>
        <v>1.1004875226947215</v>
      </c>
      <c r="O240" s="11"/>
      <c r="P240" s="6">
        <v>34979.72</v>
      </c>
      <c r="Q240" s="2"/>
      <c r="R240" s="7">
        <f t="shared" si="70"/>
        <v>1.9349511489820546E-3</v>
      </c>
      <c r="S240" s="2"/>
      <c r="T240" s="6">
        <v>36214.6</v>
      </c>
      <c r="U240" s="2"/>
      <c r="V240" s="7">
        <f t="shared" si="71"/>
        <v>1.9751342085931149E-3</v>
      </c>
      <c r="W240" s="2"/>
      <c r="X240" s="6">
        <f t="shared" si="72"/>
        <v>-1234.8799999999974</v>
      </c>
      <c r="Y240" s="2"/>
      <c r="Z240" s="7">
        <f t="shared" si="73"/>
        <v>-3.409895456528575E-2</v>
      </c>
    </row>
    <row r="241" spans="1:26" s="24" customFormat="1" hidden="1" outlineLevel="2" x14ac:dyDescent="0.25">
      <c r="A241" s="26"/>
      <c r="B241" s="11" t="str">
        <f>CONCATENATE("          ", "6307", " - ", "POSTAGE")</f>
        <v xml:space="preserve">          6307 - POSTAGE</v>
      </c>
      <c r="C241" s="11"/>
      <c r="D241" s="6">
        <v>-4106.24</v>
      </c>
      <c r="E241" s="2"/>
      <c r="F241" s="7">
        <f t="shared" si="66"/>
        <v>-2.0702814845002825E-3</v>
      </c>
      <c r="G241" s="2"/>
      <c r="H241" s="6">
        <v>-1790.1</v>
      </c>
      <c r="I241" s="2"/>
      <c r="J241" s="7">
        <f t="shared" si="67"/>
        <v>-7.4613322738333195E-4</v>
      </c>
      <c r="K241" s="2"/>
      <c r="L241" s="6">
        <f t="shared" si="68"/>
        <v>-2316.14</v>
      </c>
      <c r="M241" s="2"/>
      <c r="N241" s="7">
        <f t="shared" si="69"/>
        <v>1.2938606781744038</v>
      </c>
      <c r="O241" s="11"/>
      <c r="P241" s="6">
        <v>-28153.84</v>
      </c>
      <c r="Q241" s="2"/>
      <c r="R241" s="7">
        <f t="shared" si="70"/>
        <v>-1.5573682424060834E-3</v>
      </c>
      <c r="S241" s="2"/>
      <c r="T241" s="6">
        <v>-24937.449999999997</v>
      </c>
      <c r="U241" s="2"/>
      <c r="V241" s="7">
        <f t="shared" si="71"/>
        <v>-1.360081585053552E-3</v>
      </c>
      <c r="W241" s="2"/>
      <c r="X241" s="6">
        <f t="shared" si="72"/>
        <v>-3216.3900000000031</v>
      </c>
      <c r="Y241" s="2"/>
      <c r="Z241" s="7">
        <f t="shared" si="73"/>
        <v>0.1289783037158973</v>
      </c>
    </row>
    <row r="242" spans="1:26" s="27" customFormat="1" outlineLevel="1" collapsed="1" x14ac:dyDescent="0.25">
      <c r="A242" s="25"/>
      <c r="B242" s="13" t="str">
        <f>CONCATENATE("     ","General                                           ")</f>
        <v xml:space="preserve">     General                                           </v>
      </c>
      <c r="C242" s="13"/>
      <c r="D242" s="1">
        <f>SUM(OSRRefD22_11x_0)</f>
        <v>7950.42</v>
      </c>
      <c r="E242" s="1"/>
      <c r="F242" s="5">
        <f t="shared" ref="F242:F244" si="74">IF(D$12=0,0,D242/D$12)</f>
        <v>4.0084377240494316E-3</v>
      </c>
      <c r="G242" s="1"/>
      <c r="H242" s="1">
        <f>SUM(OSRRefH22_11x_0)</f>
        <v>6968.14</v>
      </c>
      <c r="I242" s="1"/>
      <c r="J242" s="5">
        <f t="shared" ref="J242:J244" si="75">IF(H$12=0,0,H242/H$12)</f>
        <v>2.90439684210876E-3</v>
      </c>
      <c r="K242" s="1"/>
      <c r="L242" s="1">
        <f t="shared" ref="L242:L244" si="76">+D242-H242</f>
        <v>982.27999999999975</v>
      </c>
      <c r="M242" s="1"/>
      <c r="N242" s="5">
        <f t="shared" ref="N242:N244" si="77">IF(H242=0,0,L242/H242)</f>
        <v>0.14096731695976253</v>
      </c>
      <c r="O242" s="13"/>
      <c r="P242" s="1">
        <f>SUM(OSRRefP22_11x_0)</f>
        <v>78462.710000000006</v>
      </c>
      <c r="Q242" s="1"/>
      <c r="R242" s="5">
        <f t="shared" ref="R242:R244" si="78">IF(P$12=0,0,P242/P$12)</f>
        <v>4.3402723311320316E-3</v>
      </c>
      <c r="S242" s="1"/>
      <c r="T242" s="1">
        <f>SUM(OSRRefT22_11x_0)</f>
        <v>63284.959999999999</v>
      </c>
      <c r="U242" s="1"/>
      <c r="V242" s="5">
        <f t="shared" ref="V242:V244" si="79">IF(T$12=0,0,T242/T$12)</f>
        <v>3.4515441116413528E-3</v>
      </c>
      <c r="W242" s="1"/>
      <c r="X242" s="1">
        <f t="shared" ref="X242:X244" si="80">+P242-T242</f>
        <v>15177.750000000007</v>
      </c>
      <c r="Y242" s="1"/>
      <c r="Z242" s="5">
        <f t="shared" ref="Z242:Z244" si="81">IF(T242=0,0,X242/T242)</f>
        <v>0.23983186526466962</v>
      </c>
    </row>
    <row r="243" spans="1:26" s="24" customFormat="1" hidden="1" outlineLevel="2" x14ac:dyDescent="0.25">
      <c r="A243" s="26"/>
      <c r="B243" s="11" t="str">
        <f>CONCATENATE("          ", "6269", " - ", "ENTERTAINMENT")</f>
        <v xml:space="preserve">          6269 - ENTERTAINMENT</v>
      </c>
      <c r="C243" s="11"/>
      <c r="D243" s="6">
        <v>1250</v>
      </c>
      <c r="E243" s="2"/>
      <c r="F243" s="7">
        <f t="shared" si="74"/>
        <v>6.3022420891748984E-4</v>
      </c>
      <c r="G243" s="2"/>
      <c r="H243" s="6">
        <v>500</v>
      </c>
      <c r="I243" s="2"/>
      <c r="J243" s="7">
        <f t="shared" si="75"/>
        <v>2.0840545985792189E-4</v>
      </c>
      <c r="K243" s="2"/>
      <c r="L243" s="6">
        <f t="shared" si="76"/>
        <v>750</v>
      </c>
      <c r="M243" s="2"/>
      <c r="N243" s="7">
        <f t="shared" si="77"/>
        <v>1.5</v>
      </c>
      <c r="O243" s="11"/>
      <c r="P243" s="6">
        <v>7350</v>
      </c>
      <c r="Q243" s="2"/>
      <c r="R243" s="7">
        <f t="shared" si="78"/>
        <v>4.0657532264460955E-4</v>
      </c>
      <c r="S243" s="2"/>
      <c r="T243" s="6">
        <v>4860</v>
      </c>
      <c r="U243" s="2"/>
      <c r="V243" s="7">
        <f t="shared" si="79"/>
        <v>2.650630478802068E-4</v>
      </c>
      <c r="W243" s="2"/>
      <c r="X243" s="6">
        <f t="shared" si="80"/>
        <v>2490</v>
      </c>
      <c r="Y243" s="2"/>
      <c r="Z243" s="7">
        <f t="shared" si="81"/>
        <v>0.51234567901234573</v>
      </c>
    </row>
    <row r="244" spans="1:26" s="24" customFormat="1" hidden="1" outlineLevel="2" x14ac:dyDescent="0.25">
      <c r="A244" s="26"/>
      <c r="B244" s="11" t="str">
        <f>CONCATENATE("          ", "6279", " - ", "GENERAL EXPENSE")</f>
        <v xml:space="preserve">          6279 - GENERAL EXPENSE</v>
      </c>
      <c r="C244" s="11"/>
      <c r="D244" s="6">
        <v>6700.42</v>
      </c>
      <c r="E244" s="2"/>
      <c r="F244" s="7">
        <f t="shared" si="74"/>
        <v>3.378213515131942E-3</v>
      </c>
      <c r="G244" s="2"/>
      <c r="H244" s="6">
        <v>6468.14</v>
      </c>
      <c r="I244" s="2"/>
      <c r="J244" s="7">
        <f t="shared" si="75"/>
        <v>2.6959913822508382E-3</v>
      </c>
      <c r="K244" s="2"/>
      <c r="L244" s="6">
        <f t="shared" si="76"/>
        <v>232.27999999999975</v>
      </c>
      <c r="M244" s="2"/>
      <c r="N244" s="7">
        <f t="shared" si="77"/>
        <v>3.5911405751885353E-2</v>
      </c>
      <c r="O244" s="11"/>
      <c r="P244" s="6">
        <v>71112.710000000006</v>
      </c>
      <c r="Q244" s="2"/>
      <c r="R244" s="7">
        <f t="shared" si="78"/>
        <v>3.9336970084874225E-3</v>
      </c>
      <c r="S244" s="2"/>
      <c r="T244" s="6">
        <v>58424.959999999999</v>
      </c>
      <c r="U244" s="2"/>
      <c r="V244" s="7">
        <f t="shared" si="79"/>
        <v>3.1864810637611458E-3</v>
      </c>
      <c r="W244" s="2"/>
      <c r="X244" s="6">
        <f t="shared" si="80"/>
        <v>12687.750000000007</v>
      </c>
      <c r="Y244" s="2"/>
      <c r="Z244" s="7">
        <f t="shared" si="81"/>
        <v>0.21716317820328859</v>
      </c>
    </row>
    <row r="245" spans="1:26" s="27" customFormat="1" outlineLevel="1" collapsed="1" x14ac:dyDescent="0.25">
      <c r="A245" s="25"/>
      <c r="B245" s="13" t="str">
        <f>CONCATENATE("     ","Insurance                                         ")</f>
        <v xml:space="preserve">     Insurance                                         </v>
      </c>
      <c r="C245" s="13"/>
      <c r="D245" s="1">
        <f>SUM(OSRRefD22_12x_0)</f>
        <v>8563.32</v>
      </c>
      <c r="E245" s="1"/>
      <c r="F245" s="5">
        <f t="shared" ref="F245:F260" si="82">IF(D$12=0,0,D245/D$12)</f>
        <v>4.3174492581658551E-3</v>
      </c>
      <c r="G245" s="1"/>
      <c r="H245" s="1">
        <f>SUM(OSRRefH22_12x_0)</f>
        <v>8064.85</v>
      </c>
      <c r="I245" s="1"/>
      <c r="J245" s="5">
        <f t="shared" ref="J245:J260" si="83">IF(H$12=0,0,H245/H$12)</f>
        <v>3.361517545870323E-3</v>
      </c>
      <c r="K245" s="1"/>
      <c r="L245" s="1">
        <f t="shared" ref="L245:L260" si="84">+D245-H245</f>
        <v>498.46999999999935</v>
      </c>
      <c r="M245" s="1"/>
      <c r="N245" s="5">
        <f t="shared" ref="N245:N260" si="85">IF(H245=0,0,L245/H245)</f>
        <v>6.180772116034388E-2</v>
      </c>
      <c r="O245" s="13"/>
      <c r="P245" s="1">
        <f>SUM(OSRRefP22_12x_0)</f>
        <v>51379.92</v>
      </c>
      <c r="Q245" s="1"/>
      <c r="R245" s="5">
        <f t="shared" ref="R245:R260" si="86">IF(P$12=0,0,P245/P$12)</f>
        <v>2.842150687272684E-3</v>
      </c>
      <c r="S245" s="1"/>
      <c r="T245" s="1">
        <f>SUM(OSRRefT22_12x_0)</f>
        <v>52977.100000000006</v>
      </c>
      <c r="U245" s="1"/>
      <c r="V245" s="5">
        <f t="shared" ref="V245:V260" si="87">IF(T$12=0,0,T245/T$12)</f>
        <v>2.8893562950317916E-3</v>
      </c>
      <c r="W245" s="1"/>
      <c r="X245" s="1">
        <f t="shared" ref="X245:X260" si="88">+P245-T245</f>
        <v>-1597.1800000000076</v>
      </c>
      <c r="Y245" s="1"/>
      <c r="Z245" s="5">
        <f t="shared" ref="Z245:Z260" si="89">IF(T245=0,0,X245/T245)</f>
        <v>-3.0148498124661551E-2</v>
      </c>
    </row>
    <row r="246" spans="1:26" s="24" customFormat="1" hidden="1" outlineLevel="2" x14ac:dyDescent="0.25">
      <c r="A246" s="26"/>
      <c r="B246" s="11" t="str">
        <f>CONCATENATE("          ", "6314", " - ", "LIABILITY INSURANCE")</f>
        <v xml:space="preserve">          6314 - LIABILITY INSURANCE</v>
      </c>
      <c r="C246" s="11"/>
      <c r="D246" s="6">
        <v>8563.32</v>
      </c>
      <c r="E246" s="2"/>
      <c r="F246" s="7">
        <f t="shared" si="82"/>
        <v>4.3174492581658551E-3</v>
      </c>
      <c r="G246" s="2"/>
      <c r="H246" s="6">
        <v>8064.85</v>
      </c>
      <c r="I246" s="2"/>
      <c r="J246" s="7">
        <f t="shared" si="83"/>
        <v>3.361517545870323E-3</v>
      </c>
      <c r="K246" s="2"/>
      <c r="L246" s="6">
        <f t="shared" si="84"/>
        <v>498.46999999999935</v>
      </c>
      <c r="M246" s="2"/>
      <c r="N246" s="7">
        <f t="shared" si="85"/>
        <v>6.180772116034388E-2</v>
      </c>
      <c r="O246" s="11"/>
      <c r="P246" s="6">
        <v>51379.92</v>
      </c>
      <c r="Q246" s="2"/>
      <c r="R246" s="7">
        <f t="shared" si="86"/>
        <v>2.842150687272684E-3</v>
      </c>
      <c r="S246" s="2"/>
      <c r="T246" s="6">
        <v>52977.100000000006</v>
      </c>
      <c r="U246" s="2"/>
      <c r="V246" s="7">
        <f t="shared" si="87"/>
        <v>2.8893562950317916E-3</v>
      </c>
      <c r="W246" s="2"/>
      <c r="X246" s="6">
        <f t="shared" si="88"/>
        <v>-1597.1800000000076</v>
      </c>
      <c r="Y246" s="2"/>
      <c r="Z246" s="7">
        <f t="shared" si="89"/>
        <v>-3.0148498124661551E-2</v>
      </c>
    </row>
    <row r="247" spans="1:26" s="27" customFormat="1" outlineLevel="1" collapsed="1" x14ac:dyDescent="0.25">
      <c r="A247" s="25"/>
      <c r="B247" s="13" t="str">
        <f>CONCATENATE("     ","Interest                                          ")</f>
        <v xml:space="preserve">     Interest                                          </v>
      </c>
      <c r="C247" s="13"/>
      <c r="D247" s="1">
        <f>SUM(OSRRefD22_13x_0)</f>
        <v>11929</v>
      </c>
      <c r="E247" s="1"/>
      <c r="F247" s="5">
        <f t="shared" si="82"/>
        <v>6.0143556705413896E-3</v>
      </c>
      <c r="G247" s="1"/>
      <c r="H247" s="1">
        <f>SUM(OSRRefH22_13x_0)</f>
        <v>12229</v>
      </c>
      <c r="I247" s="1"/>
      <c r="J247" s="5">
        <f t="shared" si="83"/>
        <v>5.0971807372050537E-3</v>
      </c>
      <c r="K247" s="1"/>
      <c r="L247" s="1">
        <f t="shared" si="84"/>
        <v>-300</v>
      </c>
      <c r="M247" s="1"/>
      <c r="N247" s="5">
        <f t="shared" si="85"/>
        <v>-2.4531850519257502E-2</v>
      </c>
      <c r="O247" s="13"/>
      <c r="P247" s="1">
        <f>SUM(OSRRefP22_13x_0)</f>
        <v>70975</v>
      </c>
      <c r="Q247" s="1"/>
      <c r="R247" s="5">
        <f t="shared" si="86"/>
        <v>3.9260793911158045E-3</v>
      </c>
      <c r="S247" s="1"/>
      <c r="T247" s="1">
        <f>SUM(OSRRefT22_13x_0)</f>
        <v>72759</v>
      </c>
      <c r="U247" s="1"/>
      <c r="V247" s="5">
        <f t="shared" si="87"/>
        <v>3.9682556174312697E-3</v>
      </c>
      <c r="W247" s="1"/>
      <c r="X247" s="1">
        <f t="shared" si="88"/>
        <v>-1784</v>
      </c>
      <c r="Y247" s="1"/>
      <c r="Z247" s="5">
        <f t="shared" si="89"/>
        <v>-2.4519303453868251E-2</v>
      </c>
    </row>
    <row r="248" spans="1:26" s="24" customFormat="1" hidden="1" outlineLevel="2" x14ac:dyDescent="0.25">
      <c r="A248" s="26"/>
      <c r="B248" s="11" t="str">
        <f>CONCATENATE("          ", "6401", " - ", "INTEREST EXPENSE")</f>
        <v xml:space="preserve">          6401 - INTEREST EXPENSE</v>
      </c>
      <c r="C248" s="11"/>
      <c r="D248" s="6">
        <v>11929</v>
      </c>
      <c r="E248" s="2"/>
      <c r="F248" s="7">
        <f t="shared" si="82"/>
        <v>6.0143556705413896E-3</v>
      </c>
      <c r="G248" s="2"/>
      <c r="H248" s="6">
        <v>12229</v>
      </c>
      <c r="I248" s="2"/>
      <c r="J248" s="7">
        <f t="shared" si="83"/>
        <v>5.0971807372050537E-3</v>
      </c>
      <c r="K248" s="2"/>
      <c r="L248" s="6">
        <f t="shared" si="84"/>
        <v>-300</v>
      </c>
      <c r="M248" s="2"/>
      <c r="N248" s="7">
        <f t="shared" si="85"/>
        <v>-2.4531850519257502E-2</v>
      </c>
      <c r="O248" s="11"/>
      <c r="P248" s="6">
        <v>70975</v>
      </c>
      <c r="Q248" s="2"/>
      <c r="R248" s="7">
        <f t="shared" si="86"/>
        <v>3.9260793911158045E-3</v>
      </c>
      <c r="S248" s="2"/>
      <c r="T248" s="6">
        <v>72759</v>
      </c>
      <c r="U248" s="2"/>
      <c r="V248" s="7">
        <f t="shared" si="87"/>
        <v>3.9682556174312697E-3</v>
      </c>
      <c r="W248" s="2"/>
      <c r="X248" s="6">
        <f t="shared" si="88"/>
        <v>-1784</v>
      </c>
      <c r="Y248" s="2"/>
      <c r="Z248" s="7">
        <f t="shared" si="89"/>
        <v>-2.4519303453868251E-2</v>
      </c>
    </row>
    <row r="249" spans="1:26" s="27" customFormat="1" outlineLevel="1" collapsed="1" x14ac:dyDescent="0.25">
      <c r="A249" s="25"/>
      <c r="B249" s="13" t="str">
        <f>CONCATENATE("     ","Inventory Adjustment                              ")</f>
        <v xml:space="preserve">     Inventory Adjustment                              </v>
      </c>
      <c r="C249" s="13"/>
      <c r="D249" s="1">
        <f>SUM(OSRRefD22_14x_0)</f>
        <v>10050</v>
      </c>
      <c r="E249" s="1"/>
      <c r="F249" s="5">
        <f t="shared" si="82"/>
        <v>5.0670026396966187E-3</v>
      </c>
      <c r="G249" s="1"/>
      <c r="H249" s="1">
        <f>SUM(OSRRefH22_14x_0)</f>
        <v>10000</v>
      </c>
      <c r="I249" s="1"/>
      <c r="J249" s="5">
        <f t="shared" si="83"/>
        <v>4.1681091971584377E-3</v>
      </c>
      <c r="K249" s="1"/>
      <c r="L249" s="1">
        <f t="shared" si="84"/>
        <v>50</v>
      </c>
      <c r="M249" s="1"/>
      <c r="N249" s="5">
        <f t="shared" si="85"/>
        <v>5.0000000000000001E-3</v>
      </c>
      <c r="O249" s="13"/>
      <c r="P249" s="1">
        <f>SUM(OSRRefP22_14x_0)</f>
        <v>31200</v>
      </c>
      <c r="Q249" s="1"/>
      <c r="R249" s="5">
        <f t="shared" si="86"/>
        <v>1.7258707573485465E-3</v>
      </c>
      <c r="S249" s="1"/>
      <c r="T249" s="1">
        <f>SUM(OSRRefT22_14x_0)</f>
        <v>60000</v>
      </c>
      <c r="U249" s="1"/>
      <c r="V249" s="5">
        <f t="shared" si="87"/>
        <v>3.2723833071630474E-3</v>
      </c>
      <c r="W249" s="1"/>
      <c r="X249" s="1">
        <f t="shared" si="88"/>
        <v>-28800</v>
      </c>
      <c r="Y249" s="1"/>
      <c r="Z249" s="5">
        <f t="shared" si="89"/>
        <v>-0.48</v>
      </c>
    </row>
    <row r="250" spans="1:26" s="24" customFormat="1" hidden="1" outlineLevel="2" x14ac:dyDescent="0.25">
      <c r="A250" s="26"/>
      <c r="B250" s="11" t="str">
        <f>CONCATENATE("          ", "6408", " - ", "INVENTORY ADJUSTMENT")</f>
        <v xml:space="preserve">          6408 - INVENTORY ADJUSTMENT</v>
      </c>
      <c r="C250" s="11"/>
      <c r="D250" s="6">
        <v>10050</v>
      </c>
      <c r="E250" s="2"/>
      <c r="F250" s="7">
        <f t="shared" si="82"/>
        <v>5.0670026396966187E-3</v>
      </c>
      <c r="G250" s="2"/>
      <c r="H250" s="6">
        <v>10000</v>
      </c>
      <c r="I250" s="2"/>
      <c r="J250" s="7">
        <f t="shared" si="83"/>
        <v>4.1681091971584377E-3</v>
      </c>
      <c r="K250" s="2"/>
      <c r="L250" s="6">
        <f t="shared" si="84"/>
        <v>50</v>
      </c>
      <c r="M250" s="2"/>
      <c r="N250" s="7">
        <f t="shared" si="85"/>
        <v>5.0000000000000001E-3</v>
      </c>
      <c r="O250" s="11"/>
      <c r="P250" s="6">
        <v>31200</v>
      </c>
      <c r="Q250" s="2"/>
      <c r="R250" s="7">
        <f t="shared" si="86"/>
        <v>1.7258707573485465E-3</v>
      </c>
      <c r="S250" s="2"/>
      <c r="T250" s="6">
        <v>60000</v>
      </c>
      <c r="U250" s="2"/>
      <c r="V250" s="7">
        <f t="shared" si="87"/>
        <v>3.2723833071630474E-3</v>
      </c>
      <c r="W250" s="2"/>
      <c r="X250" s="6">
        <f t="shared" si="88"/>
        <v>-28800</v>
      </c>
      <c r="Y250" s="2"/>
      <c r="Z250" s="7">
        <f t="shared" si="89"/>
        <v>-0.48</v>
      </c>
    </row>
    <row r="251" spans="1:26" s="27" customFormat="1" outlineLevel="1" collapsed="1" x14ac:dyDescent="0.25">
      <c r="A251" s="25"/>
      <c r="B251" s="13" t="str">
        <f>CONCATENATE("     ","Professional Services                             ")</f>
        <v xml:space="preserve">     Professional Services                             </v>
      </c>
      <c r="C251" s="13"/>
      <c r="D251" s="1">
        <f>SUM(OSRRefD22_15x_0)</f>
        <v>41.15</v>
      </c>
      <c r="E251" s="1"/>
      <c r="F251" s="5">
        <f t="shared" si="82"/>
        <v>2.0746980957563766E-5</v>
      </c>
      <c r="G251" s="1"/>
      <c r="H251" s="1">
        <f>SUM(OSRRefH22_15x_0)</f>
        <v>0</v>
      </c>
      <c r="I251" s="1"/>
      <c r="J251" s="5">
        <f t="shared" si="83"/>
        <v>0</v>
      </c>
      <c r="K251" s="1"/>
      <c r="L251" s="1">
        <f t="shared" si="84"/>
        <v>41.15</v>
      </c>
      <c r="M251" s="1"/>
      <c r="N251" s="5">
        <f t="shared" si="85"/>
        <v>0</v>
      </c>
      <c r="O251" s="13"/>
      <c r="P251" s="1">
        <f>SUM(OSRRefP22_15x_0)</f>
        <v>6324.56</v>
      </c>
      <c r="Q251" s="1"/>
      <c r="R251" s="5">
        <f t="shared" si="86"/>
        <v>3.4985170375308731E-4</v>
      </c>
      <c r="S251" s="1"/>
      <c r="T251" s="1">
        <f>SUM(OSRRefT22_15x_0)</f>
        <v>9956.43</v>
      </c>
      <c r="U251" s="1"/>
      <c r="V251" s="5">
        <f t="shared" si="87"/>
        <v>5.4302092218228969E-4</v>
      </c>
      <c r="W251" s="1"/>
      <c r="X251" s="1">
        <f t="shared" si="88"/>
        <v>-3631.87</v>
      </c>
      <c r="Y251" s="1"/>
      <c r="Z251" s="5">
        <f t="shared" si="89"/>
        <v>-0.36477633047186592</v>
      </c>
    </row>
    <row r="252" spans="1:26" s="24" customFormat="1" hidden="1" outlineLevel="2" x14ac:dyDescent="0.25">
      <c r="A252" s="26"/>
      <c r="B252" s="11" t="str">
        <f>CONCATENATE("          ", "6336", " - ", "PROFESSIONAL SERVICES")</f>
        <v xml:space="preserve">          6336 - PROFESSIONAL SERVICES</v>
      </c>
      <c r="C252" s="11"/>
      <c r="D252" s="6">
        <v>41.15</v>
      </c>
      <c r="E252" s="2"/>
      <c r="F252" s="7">
        <f t="shared" si="82"/>
        <v>2.0746980957563766E-5</v>
      </c>
      <c r="G252" s="2"/>
      <c r="H252" s="6"/>
      <c r="I252" s="2"/>
      <c r="J252" s="7">
        <f t="shared" si="83"/>
        <v>0</v>
      </c>
      <c r="K252" s="2"/>
      <c r="L252" s="6">
        <f t="shared" si="84"/>
        <v>41.15</v>
      </c>
      <c r="M252" s="2"/>
      <c r="N252" s="7">
        <f t="shared" si="85"/>
        <v>0</v>
      </c>
      <c r="O252" s="11"/>
      <c r="P252" s="6">
        <v>6324.56</v>
      </c>
      <c r="Q252" s="2"/>
      <c r="R252" s="7">
        <f t="shared" si="86"/>
        <v>3.4985170375308731E-4</v>
      </c>
      <c r="S252" s="2"/>
      <c r="T252" s="6">
        <v>9956.43</v>
      </c>
      <c r="U252" s="2"/>
      <c r="V252" s="7">
        <f t="shared" si="87"/>
        <v>5.4302092218228969E-4</v>
      </c>
      <c r="W252" s="2"/>
      <c r="X252" s="6">
        <f t="shared" si="88"/>
        <v>-3631.87</v>
      </c>
      <c r="Y252" s="2"/>
      <c r="Z252" s="7">
        <f t="shared" si="89"/>
        <v>-0.36477633047186592</v>
      </c>
    </row>
    <row r="253" spans="1:26" s="27" customFormat="1" outlineLevel="1" collapsed="1" x14ac:dyDescent="0.25">
      <c r="A253" s="25"/>
      <c r="B253" s="13" t="str">
        <f>CONCATENATE("     ","R/H Commissions                                   ")</f>
        <v xml:space="preserve">     R/H Commissions                                   </v>
      </c>
      <c r="C253" s="13"/>
      <c r="D253" s="1">
        <f>SUM(OSRRefD22_16x_0)</f>
        <v>64695.709999999992</v>
      </c>
      <c r="E253" s="1"/>
      <c r="F253" s="5">
        <f t="shared" si="82"/>
        <v>3.2618242124084269E-2</v>
      </c>
      <c r="G253" s="1"/>
      <c r="H253" s="1">
        <f>SUM(OSRRefH22_16x_0)</f>
        <v>72216.760000000009</v>
      </c>
      <c r="I253" s="1"/>
      <c r="J253" s="5">
        <f t="shared" si="83"/>
        <v>3.0100734154498363E-2</v>
      </c>
      <c r="K253" s="1"/>
      <c r="L253" s="1">
        <f t="shared" si="84"/>
        <v>-7521.0500000000175</v>
      </c>
      <c r="M253" s="1"/>
      <c r="N253" s="5">
        <f t="shared" si="85"/>
        <v>-0.1041454919882866</v>
      </c>
      <c r="O253" s="13"/>
      <c r="P253" s="1">
        <f>SUM(OSRRefP22_16x_0)</f>
        <v>471590.87</v>
      </c>
      <c r="Q253" s="1"/>
      <c r="R253" s="5">
        <f t="shared" si="86"/>
        <v>2.6086695255306408E-2</v>
      </c>
      <c r="S253" s="1"/>
      <c r="T253" s="1">
        <f>SUM(OSRRefT22_16x_0)</f>
        <v>449498.97000000003</v>
      </c>
      <c r="U253" s="1"/>
      <c r="V253" s="5">
        <f t="shared" si="87"/>
        <v>2.451554876691639E-2</v>
      </c>
      <c r="W253" s="1"/>
      <c r="X253" s="1">
        <f t="shared" si="88"/>
        <v>22091.899999999965</v>
      </c>
      <c r="Y253" s="1"/>
      <c r="Z253" s="5">
        <f t="shared" si="89"/>
        <v>4.9147832307602314E-2</v>
      </c>
    </row>
    <row r="254" spans="1:26" s="24" customFormat="1" hidden="1" outlineLevel="2" x14ac:dyDescent="0.25">
      <c r="A254" s="26"/>
      <c r="B254" s="11" t="str">
        <f>CONCATENATE("          ", "6387", " - ", "COMMISSION DUE HOUSING")</f>
        <v xml:space="preserve">          6387 - COMMISSION DUE HOUSING</v>
      </c>
      <c r="C254" s="11"/>
      <c r="D254" s="6">
        <v>64695.709999999992</v>
      </c>
      <c r="E254" s="2"/>
      <c r="F254" s="7">
        <f t="shared" si="82"/>
        <v>3.2618242124084269E-2</v>
      </c>
      <c r="G254" s="2"/>
      <c r="H254" s="6">
        <v>72216.760000000009</v>
      </c>
      <c r="I254" s="2"/>
      <c r="J254" s="7">
        <f t="shared" si="83"/>
        <v>3.0100734154498363E-2</v>
      </c>
      <c r="K254" s="2"/>
      <c r="L254" s="6">
        <f t="shared" si="84"/>
        <v>-7521.0500000000175</v>
      </c>
      <c r="M254" s="2"/>
      <c r="N254" s="7">
        <f t="shared" si="85"/>
        <v>-0.1041454919882866</v>
      </c>
      <c r="O254" s="11"/>
      <c r="P254" s="6">
        <v>471590.87</v>
      </c>
      <c r="Q254" s="2"/>
      <c r="R254" s="7">
        <f t="shared" si="86"/>
        <v>2.6086695255306408E-2</v>
      </c>
      <c r="S254" s="2"/>
      <c r="T254" s="6">
        <v>449498.97000000003</v>
      </c>
      <c r="U254" s="2"/>
      <c r="V254" s="7">
        <f t="shared" si="87"/>
        <v>2.451554876691639E-2</v>
      </c>
      <c r="W254" s="2"/>
      <c r="X254" s="6">
        <f t="shared" si="88"/>
        <v>22091.899999999965</v>
      </c>
      <c r="Y254" s="2"/>
      <c r="Z254" s="7">
        <f t="shared" si="89"/>
        <v>4.9147832307602314E-2</v>
      </c>
    </row>
    <row r="255" spans="1:26" s="27" customFormat="1" outlineLevel="1" collapsed="1" x14ac:dyDescent="0.25">
      <c r="A255" s="25"/>
      <c r="B255" s="13" t="str">
        <f>CONCATENATE("     ","Rent                                              ")</f>
        <v xml:space="preserve">     Rent                                              </v>
      </c>
      <c r="C255" s="13"/>
      <c r="D255" s="1">
        <f>SUM(OSRRefD22_17x_0)</f>
        <v>9900</v>
      </c>
      <c r="E255" s="1"/>
      <c r="F255" s="5">
        <f t="shared" si="82"/>
        <v>4.9913757346265195E-3</v>
      </c>
      <c r="G255" s="1"/>
      <c r="H255" s="1">
        <f>SUM(OSRRefH22_17x_0)</f>
        <v>9900</v>
      </c>
      <c r="I255" s="1"/>
      <c r="J255" s="5">
        <f t="shared" si="83"/>
        <v>4.1264281051868537E-3</v>
      </c>
      <c r="K255" s="1"/>
      <c r="L255" s="1">
        <f t="shared" si="84"/>
        <v>0</v>
      </c>
      <c r="M255" s="1"/>
      <c r="N255" s="5">
        <f t="shared" si="85"/>
        <v>0</v>
      </c>
      <c r="O255" s="13"/>
      <c r="P255" s="1">
        <f>SUM(OSRRefP22_17x_0)</f>
        <v>59400</v>
      </c>
      <c r="Q255" s="1"/>
      <c r="R255" s="5">
        <f t="shared" si="86"/>
        <v>3.2857924034135791E-3</v>
      </c>
      <c r="S255" s="1"/>
      <c r="T255" s="1">
        <f>SUM(OSRRefT22_17x_0)</f>
        <v>59500.850000000006</v>
      </c>
      <c r="U255" s="1"/>
      <c r="V255" s="5">
        <f t="shared" si="87"/>
        <v>3.2451598050335403E-3</v>
      </c>
      <c r="W255" s="1"/>
      <c r="X255" s="1">
        <f t="shared" si="88"/>
        <v>-100.85000000000582</v>
      </c>
      <c r="Y255" s="1"/>
      <c r="Z255" s="5">
        <f t="shared" si="89"/>
        <v>-1.6949337698538057E-3</v>
      </c>
    </row>
    <row r="256" spans="1:26" s="24" customFormat="1" hidden="1" outlineLevel="2" x14ac:dyDescent="0.25">
      <c r="A256" s="26"/>
      <c r="B256" s="11" t="str">
        <f>CONCATENATE("          ", "6273", " - ", "RENT")</f>
        <v xml:space="preserve">          6273 - RENT</v>
      </c>
      <c r="C256" s="11"/>
      <c r="D256" s="6">
        <v>9900</v>
      </c>
      <c r="E256" s="2"/>
      <c r="F256" s="7">
        <f t="shared" si="82"/>
        <v>4.9913757346265195E-3</v>
      </c>
      <c r="G256" s="2"/>
      <c r="H256" s="6">
        <v>9900</v>
      </c>
      <c r="I256" s="2"/>
      <c r="J256" s="7">
        <f t="shared" si="83"/>
        <v>4.1264281051868537E-3</v>
      </c>
      <c r="K256" s="2"/>
      <c r="L256" s="6">
        <f t="shared" si="84"/>
        <v>0</v>
      </c>
      <c r="M256" s="2"/>
      <c r="N256" s="7">
        <f t="shared" si="85"/>
        <v>0</v>
      </c>
      <c r="O256" s="11"/>
      <c r="P256" s="6">
        <v>59400</v>
      </c>
      <c r="Q256" s="2"/>
      <c r="R256" s="7">
        <f t="shared" si="86"/>
        <v>3.2857924034135791E-3</v>
      </c>
      <c r="S256" s="2"/>
      <c r="T256" s="6">
        <v>59500.850000000006</v>
      </c>
      <c r="U256" s="2"/>
      <c r="V256" s="7">
        <f t="shared" si="87"/>
        <v>3.2451598050335403E-3</v>
      </c>
      <c r="W256" s="2"/>
      <c r="X256" s="6">
        <f t="shared" si="88"/>
        <v>-100.85000000000582</v>
      </c>
      <c r="Y256" s="2"/>
      <c r="Z256" s="7">
        <f t="shared" si="89"/>
        <v>-1.6949337698538057E-3</v>
      </c>
    </row>
    <row r="257" spans="1:26" s="27" customFormat="1" outlineLevel="1" collapsed="1" x14ac:dyDescent="0.25">
      <c r="A257" s="25"/>
      <c r="B257" s="13" t="str">
        <f>CONCATENATE("     ","Repair and Maintenance                            ")</f>
        <v xml:space="preserve">     Repair and Maintenance                            </v>
      </c>
      <c r="C257" s="13"/>
      <c r="D257" s="1">
        <f>SUM(OSRRefD22_18x_0)</f>
        <v>41824.879999999997</v>
      </c>
      <c r="E257" s="1"/>
      <c r="F257" s="5">
        <f t="shared" si="82"/>
        <v>2.1087241528855154E-2</v>
      </c>
      <c r="G257" s="1"/>
      <c r="H257" s="1">
        <f>SUM(OSRRefH22_18x_0)</f>
        <v>34129.019999999997</v>
      </c>
      <c r="I257" s="1"/>
      <c r="J257" s="5">
        <f t="shared" si="83"/>
        <v>1.4225348215200426E-2</v>
      </c>
      <c r="K257" s="1"/>
      <c r="L257" s="1">
        <f t="shared" si="84"/>
        <v>7695.8600000000006</v>
      </c>
      <c r="M257" s="1"/>
      <c r="N257" s="5">
        <f t="shared" si="85"/>
        <v>0.22549314337182846</v>
      </c>
      <c r="O257" s="13"/>
      <c r="P257" s="1">
        <f>SUM(OSRRefP22_18x_0)</f>
        <v>265747.91000000003</v>
      </c>
      <c r="Q257" s="1"/>
      <c r="R257" s="5">
        <f t="shared" si="86"/>
        <v>1.4700209829983765E-2</v>
      </c>
      <c r="S257" s="1"/>
      <c r="T257" s="1">
        <f>SUM(OSRRefT22_18x_0)</f>
        <v>306459.32</v>
      </c>
      <c r="U257" s="1"/>
      <c r="V257" s="5">
        <f t="shared" si="87"/>
        <v>1.6714206051542311E-2</v>
      </c>
      <c r="W257" s="1"/>
      <c r="X257" s="1">
        <f t="shared" si="88"/>
        <v>-40711.409999999974</v>
      </c>
      <c r="Y257" s="1"/>
      <c r="Z257" s="5">
        <f t="shared" si="89"/>
        <v>-0.13284441798017424</v>
      </c>
    </row>
    <row r="258" spans="1:26" s="24" customFormat="1" hidden="1" outlineLevel="2" x14ac:dyDescent="0.25">
      <c r="A258" s="26"/>
      <c r="B258" s="11" t="str">
        <f>CONCATENATE("          ", "6371", " - ", "COMPUTER SOFTWARE MAINTENANCE")</f>
        <v xml:space="preserve">          6371 - COMPUTER SOFTWARE MAINTENANCE</v>
      </c>
      <c r="C258" s="11"/>
      <c r="D258" s="6">
        <v>601</v>
      </c>
      <c r="E258" s="2"/>
      <c r="F258" s="7">
        <f t="shared" si="82"/>
        <v>3.0301179964752913E-4</v>
      </c>
      <c r="G258" s="2"/>
      <c r="H258" s="6">
        <v>3438.26</v>
      </c>
      <c r="I258" s="2"/>
      <c r="J258" s="7">
        <f t="shared" si="83"/>
        <v>1.4331043128221971E-3</v>
      </c>
      <c r="K258" s="2"/>
      <c r="L258" s="6">
        <f t="shared" si="84"/>
        <v>-2837.26</v>
      </c>
      <c r="M258" s="2"/>
      <c r="N258" s="7">
        <f t="shared" si="85"/>
        <v>-0.82520228254989447</v>
      </c>
      <c r="O258" s="11"/>
      <c r="P258" s="6">
        <v>49453.26</v>
      </c>
      <c r="Q258" s="2"/>
      <c r="R258" s="7">
        <f t="shared" si="86"/>
        <v>2.7355748490241858E-3</v>
      </c>
      <c r="S258" s="2"/>
      <c r="T258" s="6">
        <v>77030.59</v>
      </c>
      <c r="U258" s="2"/>
      <c r="V258" s="7">
        <f t="shared" si="87"/>
        <v>4.2012269476153462E-3</v>
      </c>
      <c r="W258" s="2"/>
      <c r="X258" s="6">
        <f t="shared" si="88"/>
        <v>-27577.329999999994</v>
      </c>
      <c r="Y258" s="2"/>
      <c r="Z258" s="7">
        <f t="shared" si="89"/>
        <v>-0.35800491726728301</v>
      </c>
    </row>
    <row r="259" spans="1:26" s="24" customFormat="1" hidden="1" outlineLevel="2" x14ac:dyDescent="0.25">
      <c r="A259" s="26"/>
      <c r="B259" s="11" t="str">
        <f>CONCATENATE("          ", "6373", " - ", "MAINTENANCE CONTRACTS")</f>
        <v xml:space="preserve">          6373 - MAINTENANCE CONTRACTS</v>
      </c>
      <c r="C259" s="11"/>
      <c r="D259" s="6">
        <v>25634.289999999997</v>
      </c>
      <c r="E259" s="2"/>
      <c r="F259" s="7">
        <f t="shared" si="82"/>
        <v>1.2924280109129216E-2</v>
      </c>
      <c r="G259" s="2"/>
      <c r="H259" s="6">
        <v>10714.32</v>
      </c>
      <c r="I259" s="2"/>
      <c r="J259" s="7">
        <f t="shared" si="83"/>
        <v>4.4658455733298597E-3</v>
      </c>
      <c r="K259" s="2"/>
      <c r="L259" s="6">
        <f t="shared" si="84"/>
        <v>14919.969999999998</v>
      </c>
      <c r="M259" s="2"/>
      <c r="N259" s="7">
        <f t="shared" si="85"/>
        <v>1.392526077249886</v>
      </c>
      <c r="O259" s="11"/>
      <c r="P259" s="6">
        <v>99084.450000000012</v>
      </c>
      <c r="Q259" s="2"/>
      <c r="R259" s="7">
        <f t="shared" si="86"/>
        <v>5.4809921398385969E-3</v>
      </c>
      <c r="S259" s="2"/>
      <c r="T259" s="6">
        <v>121672.44</v>
      </c>
      <c r="U259" s="2"/>
      <c r="V259" s="7">
        <f t="shared" si="87"/>
        <v>6.6359810266299578E-3</v>
      </c>
      <c r="W259" s="2"/>
      <c r="X259" s="6">
        <f t="shared" si="88"/>
        <v>-22587.989999999991</v>
      </c>
      <c r="Y259" s="2"/>
      <c r="Z259" s="7">
        <f t="shared" si="89"/>
        <v>-0.18564590304920317</v>
      </c>
    </row>
    <row r="260" spans="1:26" s="24" customFormat="1" hidden="1" outlineLevel="2" x14ac:dyDescent="0.25">
      <c r="A260" s="26"/>
      <c r="B260" s="11" t="str">
        <f>CONCATENATE("          ", "6375", " - ", "OUTSIDE REPAIRS &amp; MAINTENANCE")</f>
        <v xml:space="preserve">          6375 - OUTSIDE REPAIRS &amp; MAINTENANCE</v>
      </c>
      <c r="C260" s="11"/>
      <c r="D260" s="6">
        <v>15589.590000000002</v>
      </c>
      <c r="E260" s="2"/>
      <c r="F260" s="7">
        <f t="shared" si="82"/>
        <v>7.8599496200784102E-3</v>
      </c>
      <c r="G260" s="2"/>
      <c r="H260" s="6">
        <v>19976.439999999999</v>
      </c>
      <c r="I260" s="2"/>
      <c r="J260" s="7">
        <f t="shared" si="83"/>
        <v>8.3263983290483706E-3</v>
      </c>
      <c r="K260" s="2"/>
      <c r="L260" s="6">
        <f t="shared" si="84"/>
        <v>-4386.8499999999967</v>
      </c>
      <c r="M260" s="2"/>
      <c r="N260" s="7">
        <f t="shared" si="85"/>
        <v>-0.21960119020205787</v>
      </c>
      <c r="O260" s="11"/>
      <c r="P260" s="6">
        <v>117210.20000000001</v>
      </c>
      <c r="Q260" s="2"/>
      <c r="R260" s="7">
        <f t="shared" si="86"/>
        <v>6.4836428411209823E-3</v>
      </c>
      <c r="S260" s="2"/>
      <c r="T260" s="6">
        <v>107756.29000000001</v>
      </c>
      <c r="U260" s="2"/>
      <c r="V260" s="7">
        <f t="shared" si="87"/>
        <v>5.8769980772970069E-3</v>
      </c>
      <c r="W260" s="2"/>
      <c r="X260" s="6">
        <f t="shared" si="88"/>
        <v>9453.9100000000035</v>
      </c>
      <c r="Y260" s="2"/>
      <c r="Z260" s="7">
        <f t="shared" si="89"/>
        <v>8.7734182385084E-2</v>
      </c>
    </row>
    <row r="261" spans="1:26" s="27" customFormat="1" outlineLevel="1" collapsed="1" x14ac:dyDescent="0.25">
      <c r="A261" s="25"/>
      <c r="B261" s="13" t="str">
        <f>CONCATENATE("     ","Royalty &amp; Commissions                             ")</f>
        <v xml:space="preserve">     Royalty &amp; Commissions                             </v>
      </c>
      <c r="C261" s="13"/>
      <c r="D261" s="1">
        <f>SUM(OSRRefD22_19x_0)</f>
        <v>41568.94</v>
      </c>
      <c r="E261" s="1"/>
      <c r="F261" s="5">
        <f t="shared" ref="F261:F264" si="90">IF(D$12=0,0,D261/D$12)</f>
        <v>2.095820186163088E-2</v>
      </c>
      <c r="G261" s="1"/>
      <c r="H261" s="1">
        <f>SUM(OSRRefH22_19x_0)</f>
        <v>50715.75</v>
      </c>
      <c r="I261" s="1"/>
      <c r="J261" s="5">
        <f t="shared" ref="J261:J264" si="91">IF(H$12=0,0,H261/H$12)</f>
        <v>2.1138878401578805E-2</v>
      </c>
      <c r="K261" s="1"/>
      <c r="L261" s="1">
        <f t="shared" ref="L261:L264" si="92">+D261-H261</f>
        <v>-9146.8099999999977</v>
      </c>
      <c r="M261" s="1"/>
      <c r="N261" s="5">
        <f t="shared" ref="N261:N264" si="93">IF(H261=0,0,L261/H261)</f>
        <v>-0.18035442638628035</v>
      </c>
      <c r="O261" s="13"/>
      <c r="P261" s="1">
        <f>SUM(OSRRefP22_19x_0)</f>
        <v>212497.74</v>
      </c>
      <c r="Q261" s="1"/>
      <c r="R261" s="5">
        <f t="shared" ref="R261:R264" si="94">IF(P$12=0,0,P261/P$12)</f>
        <v>1.1754603700918414E-2</v>
      </c>
      <c r="S261" s="1"/>
      <c r="T261" s="1">
        <f>SUM(OSRRefT22_19x_0)</f>
        <v>244006.02999999997</v>
      </c>
      <c r="U261" s="1"/>
      <c r="V261" s="5">
        <f t="shared" ref="V261:V264" si="95">IF(T$12=0,0,T261/T$12)</f>
        <v>1.3308020990318761E-2</v>
      </c>
      <c r="W261" s="1"/>
      <c r="X261" s="1">
        <f t="shared" ref="X261:X264" si="96">+P261-T261</f>
        <v>-31508.289999999979</v>
      </c>
      <c r="Y261" s="1"/>
      <c r="Z261" s="5">
        <f t="shared" ref="Z261:Z264" si="97">IF(T261=0,0,X261/T261)</f>
        <v>-0.12912914488219812</v>
      </c>
    </row>
    <row r="262" spans="1:26" s="24" customFormat="1" hidden="1" outlineLevel="2" x14ac:dyDescent="0.25">
      <c r="A262" s="26"/>
      <c r="B262" s="11" t="str">
        <f>CONCATENATE("          ", "6253", " - ", "ROYALTY DUE ATHLETICS-LRG")</f>
        <v xml:space="preserve">          6253 - ROYALTY DUE ATHLETICS-LRG</v>
      </c>
      <c r="C262" s="11"/>
      <c r="D262" s="6"/>
      <c r="E262" s="2"/>
      <c r="F262" s="7">
        <f t="shared" si="90"/>
        <v>0</v>
      </c>
      <c r="G262" s="2"/>
      <c r="H262" s="6">
        <v>3178</v>
      </c>
      <c r="I262" s="2"/>
      <c r="J262" s="7">
        <f t="shared" si="91"/>
        <v>1.3246251028569515E-3</v>
      </c>
      <c r="K262" s="2"/>
      <c r="L262" s="6">
        <f t="shared" si="92"/>
        <v>-3178</v>
      </c>
      <c r="M262" s="2"/>
      <c r="N262" s="7">
        <f t="shared" si="93"/>
        <v>-1</v>
      </c>
      <c r="O262" s="11"/>
      <c r="P262" s="6">
        <v>4366.95</v>
      </c>
      <c r="Q262" s="2"/>
      <c r="R262" s="7">
        <f t="shared" si="94"/>
        <v>2.4156382383984728E-4</v>
      </c>
      <c r="S262" s="2"/>
      <c r="T262" s="6">
        <v>26172.42</v>
      </c>
      <c r="U262" s="2"/>
      <c r="V262" s="7">
        <f t="shared" si="95"/>
        <v>1.4274365052676713E-3</v>
      </c>
      <c r="W262" s="2"/>
      <c r="X262" s="6">
        <f t="shared" si="96"/>
        <v>-21805.469999999998</v>
      </c>
      <c r="Y262" s="2"/>
      <c r="Z262" s="7">
        <f t="shared" si="97"/>
        <v>-0.8331468775145745</v>
      </c>
    </row>
    <row r="263" spans="1:26" s="24" customFormat="1" hidden="1" outlineLevel="2" x14ac:dyDescent="0.25">
      <c r="A263" s="26"/>
      <c r="B263" s="11" t="str">
        <f>CONCATENATE("          ", "6254", " - ", "ROYALTY &amp; COMMISSIONS")</f>
        <v xml:space="preserve">          6254 - ROYALTY &amp; COMMISSIONS</v>
      </c>
      <c r="C263" s="11"/>
      <c r="D263" s="6">
        <v>17964.400000000001</v>
      </c>
      <c r="E263" s="2"/>
      <c r="F263" s="7">
        <f t="shared" si="90"/>
        <v>9.0572798229418845E-3</v>
      </c>
      <c r="G263" s="2"/>
      <c r="H263" s="6">
        <v>25838.62</v>
      </c>
      <c r="I263" s="2"/>
      <c r="J263" s="7">
        <f t="shared" si="91"/>
        <v>1.0769818966388196E-2</v>
      </c>
      <c r="K263" s="2"/>
      <c r="L263" s="6">
        <f t="shared" si="92"/>
        <v>-7874.2199999999975</v>
      </c>
      <c r="M263" s="2"/>
      <c r="N263" s="7">
        <f t="shared" si="93"/>
        <v>-0.30474615130374599</v>
      </c>
      <c r="O263" s="11"/>
      <c r="P263" s="6">
        <v>78925.69</v>
      </c>
      <c r="Q263" s="2"/>
      <c r="R263" s="7">
        <f t="shared" si="94"/>
        <v>4.3658827043127121E-3</v>
      </c>
      <c r="S263" s="2"/>
      <c r="T263" s="6">
        <v>89973.78</v>
      </c>
      <c r="U263" s="2"/>
      <c r="V263" s="7">
        <f t="shared" si="95"/>
        <v>4.9071449292393404E-3</v>
      </c>
      <c r="W263" s="2"/>
      <c r="X263" s="6">
        <f t="shared" si="96"/>
        <v>-11048.089999999997</v>
      </c>
      <c r="Y263" s="2"/>
      <c r="Z263" s="7">
        <f t="shared" si="97"/>
        <v>-0.12279232905408662</v>
      </c>
    </row>
    <row r="264" spans="1:26" s="24" customFormat="1" hidden="1" outlineLevel="2" x14ac:dyDescent="0.25">
      <c r="A264" s="26"/>
      <c r="B264" s="11" t="str">
        <f>CONCATENATE("          ", "6259", " - ", "ROYALTY &amp; COMMISSIONS")</f>
        <v xml:space="preserve">          6259 - ROYALTY &amp; COMMISSIONS</v>
      </c>
      <c r="C264" s="11"/>
      <c r="D264" s="6">
        <v>23604.54</v>
      </c>
      <c r="E264" s="2"/>
      <c r="F264" s="7">
        <f t="shared" si="90"/>
        <v>1.1900922038688998E-2</v>
      </c>
      <c r="G264" s="2"/>
      <c r="H264" s="6">
        <v>21699.129999999997</v>
      </c>
      <c r="I264" s="2"/>
      <c r="J264" s="7">
        <f t="shared" si="91"/>
        <v>9.0444343323336559E-3</v>
      </c>
      <c r="K264" s="2"/>
      <c r="L264" s="6">
        <f t="shared" si="92"/>
        <v>1905.4100000000035</v>
      </c>
      <c r="M264" s="2"/>
      <c r="N264" s="7">
        <f t="shared" si="93"/>
        <v>8.7810432952842063E-2</v>
      </c>
      <c r="O264" s="11"/>
      <c r="P264" s="6">
        <v>129205.1</v>
      </c>
      <c r="Q264" s="2"/>
      <c r="R264" s="7">
        <f t="shared" si="94"/>
        <v>7.1471571727658558E-3</v>
      </c>
      <c r="S264" s="2"/>
      <c r="T264" s="6">
        <v>127859.82999999999</v>
      </c>
      <c r="U264" s="2"/>
      <c r="V264" s="7">
        <f t="shared" si="95"/>
        <v>6.9734395558117496E-3</v>
      </c>
      <c r="W264" s="2"/>
      <c r="X264" s="6">
        <f t="shared" si="96"/>
        <v>1345.2700000000186</v>
      </c>
      <c r="Y264" s="2"/>
      <c r="Z264" s="7">
        <f t="shared" si="97"/>
        <v>1.0521443677815141E-2</v>
      </c>
    </row>
    <row r="265" spans="1:26" s="27" customFormat="1" outlineLevel="1" collapsed="1" x14ac:dyDescent="0.25">
      <c r="A265" s="25"/>
      <c r="B265" s="13" t="str">
        <f>CONCATENATE("     ","Services                                          ")</f>
        <v xml:space="preserve">     Services                                          </v>
      </c>
      <c r="C265" s="13"/>
      <c r="D265" s="1">
        <f>SUM(OSRRefD22_20x_0)</f>
        <v>53423.659999999996</v>
      </c>
      <c r="E265" s="1"/>
      <c r="F265" s="5">
        <f t="shared" ref="F265:F270" si="98">IF(D$12=0,0,D265/D$12)</f>
        <v>2.6935107088781555E-2</v>
      </c>
      <c r="G265" s="1"/>
      <c r="H265" s="1">
        <f>SUM(OSRRefH22_20x_0)</f>
        <v>38131.97</v>
      </c>
      <c r="I265" s="1"/>
      <c r="J265" s="5">
        <f t="shared" ref="J265:J270" si="99">IF(H$12=0,0,H265/H$12)</f>
        <v>1.5893821486276966E-2</v>
      </c>
      <c r="K265" s="1"/>
      <c r="L265" s="1">
        <f t="shared" ref="L265:L270" si="100">+D265-H265</f>
        <v>15291.689999999995</v>
      </c>
      <c r="M265" s="1"/>
      <c r="N265" s="5">
        <f t="shared" ref="N265:N270" si="101">IF(H265=0,0,L265/H265)</f>
        <v>0.40102019381636972</v>
      </c>
      <c r="O265" s="13"/>
      <c r="P265" s="1">
        <f>SUM(OSRRefP22_20x_0)</f>
        <v>282982.90999999997</v>
      </c>
      <c r="Q265" s="1"/>
      <c r="R265" s="5">
        <f t="shared" ref="R265:R270" si="102">IF(P$12=0,0,P265/P$12)</f>
        <v>1.5653587474307552E-2</v>
      </c>
      <c r="S265" s="1"/>
      <c r="T265" s="1">
        <f>SUM(OSRRefT22_20x_0)</f>
        <v>256122.93000000002</v>
      </c>
      <c r="U265" s="1"/>
      <c r="V265" s="5">
        <f t="shared" ref="V265:V270" si="103">IF(T$12=0,0,T265/T$12)</f>
        <v>1.3968873345228162E-2</v>
      </c>
      <c r="W265" s="1"/>
      <c r="X265" s="1">
        <f t="shared" ref="X265:X270" si="104">+P265-T265</f>
        <v>26859.979999999952</v>
      </c>
      <c r="Y265" s="1"/>
      <c r="Z265" s="5">
        <f t="shared" ref="Z265:Z270" si="105">IF(T265=0,0,X265/T265)</f>
        <v>0.10487143810200808</v>
      </c>
    </row>
    <row r="266" spans="1:26" s="24" customFormat="1" hidden="1" outlineLevel="2" x14ac:dyDescent="0.25">
      <c r="A266" s="26"/>
      <c r="B266" s="11" t="str">
        <f>CONCATENATE("          ", "6282", " - ", "JANITORIAL/EXTERMINATOR EXPENS")</f>
        <v xml:space="preserve">          6282 - JANITORIAL/EXTERMINATOR EXPENS</v>
      </c>
      <c r="C266" s="11"/>
      <c r="D266" s="6">
        <v>7110.73</v>
      </c>
      <c r="E266" s="2"/>
      <c r="F266" s="7">
        <f t="shared" si="98"/>
        <v>3.58508335126069E-3</v>
      </c>
      <c r="G266" s="2"/>
      <c r="H266" s="6">
        <v>249</v>
      </c>
      <c r="I266" s="2"/>
      <c r="J266" s="7">
        <f t="shared" si="99"/>
        <v>1.0378591900924511E-4</v>
      </c>
      <c r="K266" s="2"/>
      <c r="L266" s="6">
        <f t="shared" si="100"/>
        <v>6861.73</v>
      </c>
      <c r="M266" s="2"/>
      <c r="N266" s="7">
        <f t="shared" si="101"/>
        <v>27.557148594377509</v>
      </c>
      <c r="O266" s="11"/>
      <c r="P266" s="6">
        <v>25521.72</v>
      </c>
      <c r="Q266" s="2"/>
      <c r="R266" s="7">
        <f t="shared" si="102"/>
        <v>1.4117689174755626E-3</v>
      </c>
      <c r="S266" s="2"/>
      <c r="T266" s="6">
        <v>18271.289999999997</v>
      </c>
      <c r="U266" s="2"/>
      <c r="V266" s="7">
        <f t="shared" si="103"/>
        <v>9.9651107327225182E-4</v>
      </c>
      <c r="W266" s="2"/>
      <c r="X266" s="6">
        <f t="shared" si="104"/>
        <v>7250.4300000000039</v>
      </c>
      <c r="Y266" s="2"/>
      <c r="Z266" s="7">
        <f t="shared" si="105"/>
        <v>0.39682091412264842</v>
      </c>
    </row>
    <row r="267" spans="1:26" s="24" customFormat="1" hidden="1" outlineLevel="2" x14ac:dyDescent="0.25">
      <c r="A267" s="26"/>
      <c r="B267" s="11" t="str">
        <f>CONCATENATE("          ", "6283", " - ", "PLANT SERVICE")</f>
        <v xml:space="preserve">          6283 - PLANT SERVICE</v>
      </c>
      <c r="C267" s="11"/>
      <c r="D267" s="6"/>
      <c r="E267" s="2"/>
      <c r="F267" s="7">
        <f t="shared" si="98"/>
        <v>0</v>
      </c>
      <c r="G267" s="2"/>
      <c r="H267" s="6">
        <v>349</v>
      </c>
      <c r="I267" s="2"/>
      <c r="J267" s="7">
        <f t="shared" si="99"/>
        <v>1.4546701098082948E-4</v>
      </c>
      <c r="K267" s="2"/>
      <c r="L267" s="6">
        <f t="shared" si="100"/>
        <v>-349</v>
      </c>
      <c r="M267" s="2"/>
      <c r="N267" s="7">
        <f t="shared" si="101"/>
        <v>-1</v>
      </c>
      <c r="O267" s="11"/>
      <c r="P267" s="6">
        <v>1341.1</v>
      </c>
      <c r="Q267" s="2"/>
      <c r="R267" s="7">
        <f t="shared" si="102"/>
        <v>7.4184784380773583E-5</v>
      </c>
      <c r="S267" s="2"/>
      <c r="T267" s="6">
        <v>2216.5</v>
      </c>
      <c r="U267" s="2"/>
      <c r="V267" s="7">
        <f t="shared" si="103"/>
        <v>1.2088729333878157E-4</v>
      </c>
      <c r="W267" s="2"/>
      <c r="X267" s="6">
        <f t="shared" si="104"/>
        <v>-875.40000000000009</v>
      </c>
      <c r="Y267" s="2"/>
      <c r="Z267" s="7">
        <f t="shared" si="105"/>
        <v>-0.39494698849537563</v>
      </c>
    </row>
    <row r="268" spans="1:26" s="24" customFormat="1" hidden="1" outlineLevel="2" x14ac:dyDescent="0.25">
      <c r="A268" s="26"/>
      <c r="B268" s="11" t="str">
        <f>CONCATENATE("          ", "6284", " - ", "TRASH REMOVAL EXPENSE")</f>
        <v xml:space="preserve">          6284 - TRASH REMOVAL EXPENSE</v>
      </c>
      <c r="C268" s="11"/>
      <c r="D268" s="6">
        <v>10592.82</v>
      </c>
      <c r="E268" s="2"/>
      <c r="F268" s="7">
        <f t="shared" si="98"/>
        <v>5.3406812837642915E-3</v>
      </c>
      <c r="G268" s="2"/>
      <c r="H268" s="6">
        <v>4557.46</v>
      </c>
      <c r="I268" s="2"/>
      <c r="J268" s="7">
        <f t="shared" si="99"/>
        <v>1.8995990941681694E-3</v>
      </c>
      <c r="K268" s="2"/>
      <c r="L268" s="6">
        <f t="shared" si="100"/>
        <v>6035.36</v>
      </c>
      <c r="M268" s="2"/>
      <c r="N268" s="7">
        <f t="shared" si="101"/>
        <v>1.3242815076819106</v>
      </c>
      <c r="O268" s="11"/>
      <c r="P268" s="6">
        <v>25434.92</v>
      </c>
      <c r="Q268" s="2"/>
      <c r="R268" s="7">
        <f t="shared" si="102"/>
        <v>1.4069674565224261E-3</v>
      </c>
      <c r="S268" s="2"/>
      <c r="T268" s="6">
        <v>37421.760000000002</v>
      </c>
      <c r="U268" s="2"/>
      <c r="V268" s="7">
        <f t="shared" si="103"/>
        <v>2.0409723791443642E-3</v>
      </c>
      <c r="W268" s="2"/>
      <c r="X268" s="6">
        <f t="shared" si="104"/>
        <v>-11986.840000000004</v>
      </c>
      <c r="Y268" s="2"/>
      <c r="Z268" s="7">
        <f t="shared" si="105"/>
        <v>-0.3203173768417093</v>
      </c>
    </row>
    <row r="269" spans="1:26" s="24" customFormat="1" hidden="1" outlineLevel="2" x14ac:dyDescent="0.25">
      <c r="A269" s="26"/>
      <c r="B269" s="11" t="str">
        <f>CONCATENATE("          ", "6285", " - ", "JANITORIAL SERVICES")</f>
        <v xml:space="preserve">          6285 - JANITORIAL SERVICES</v>
      </c>
      <c r="C269" s="11"/>
      <c r="D269" s="6">
        <v>29006.79</v>
      </c>
      <c r="E269" s="2"/>
      <c r="F269" s="7">
        <f t="shared" si="98"/>
        <v>1.4624625024788606E-2</v>
      </c>
      <c r="G269" s="2"/>
      <c r="H269" s="6">
        <v>27390.66</v>
      </c>
      <c r="I269" s="2"/>
      <c r="J269" s="7">
        <f t="shared" si="99"/>
        <v>1.1416726186223974E-2</v>
      </c>
      <c r="K269" s="2"/>
      <c r="L269" s="6">
        <f t="shared" si="100"/>
        <v>1616.130000000001</v>
      </c>
      <c r="M269" s="2"/>
      <c r="N269" s="7">
        <f t="shared" si="101"/>
        <v>5.9002959402949799E-2</v>
      </c>
      <c r="O269" s="11"/>
      <c r="P269" s="6">
        <v>178825.13999999998</v>
      </c>
      <c r="Q269" s="2"/>
      <c r="R269" s="7">
        <f t="shared" si="102"/>
        <v>9.8919576860499944E-3</v>
      </c>
      <c r="S269" s="2"/>
      <c r="T269" s="6">
        <v>152195.23000000001</v>
      </c>
      <c r="U269" s="2"/>
      <c r="V269" s="7">
        <f t="shared" si="103"/>
        <v>8.3006855013640114E-3</v>
      </c>
      <c r="W269" s="2"/>
      <c r="X269" s="6">
        <f t="shared" si="104"/>
        <v>26629.909999999974</v>
      </c>
      <c r="Y269" s="2"/>
      <c r="Z269" s="7">
        <f t="shared" si="105"/>
        <v>0.17497204084516954</v>
      </c>
    </row>
    <row r="270" spans="1:26" s="24" customFormat="1" hidden="1" outlineLevel="2" x14ac:dyDescent="0.25">
      <c r="A270" s="26"/>
      <c r="B270" s="11" t="str">
        <f>CONCATENATE("          ", "6286", " - ", "LAUNDRY EXPENSE")</f>
        <v xml:space="preserve">          6286 - LAUNDRY EXPENSE</v>
      </c>
      <c r="C270" s="11"/>
      <c r="D270" s="6">
        <v>6713.32</v>
      </c>
      <c r="E270" s="2"/>
      <c r="F270" s="7">
        <f t="shared" si="98"/>
        <v>3.3847174289679703E-3</v>
      </c>
      <c r="G270" s="2"/>
      <c r="H270" s="6">
        <v>5585.85</v>
      </c>
      <c r="I270" s="2"/>
      <c r="J270" s="7">
        <f t="shared" si="99"/>
        <v>2.3282432758947461E-3</v>
      </c>
      <c r="K270" s="2"/>
      <c r="L270" s="6">
        <f t="shared" si="100"/>
        <v>1127.4699999999993</v>
      </c>
      <c r="M270" s="2"/>
      <c r="N270" s="7">
        <f t="shared" si="101"/>
        <v>0.20184394496808888</v>
      </c>
      <c r="O270" s="11"/>
      <c r="P270" s="6">
        <v>51860.03</v>
      </c>
      <c r="Q270" s="2"/>
      <c r="R270" s="7">
        <f t="shared" si="102"/>
        <v>2.868708629878793E-3</v>
      </c>
      <c r="S270" s="2"/>
      <c r="T270" s="6">
        <v>46018.15</v>
      </c>
      <c r="U270" s="2"/>
      <c r="V270" s="7">
        <f t="shared" si="103"/>
        <v>2.509817098108753E-3</v>
      </c>
      <c r="W270" s="2"/>
      <c r="X270" s="6">
        <f t="shared" si="104"/>
        <v>5841.8799999999974</v>
      </c>
      <c r="Y270" s="2"/>
      <c r="Z270" s="7">
        <f t="shared" si="105"/>
        <v>0.12694730231441284</v>
      </c>
    </row>
    <row r="271" spans="1:26" s="27" customFormat="1" outlineLevel="1" collapsed="1" x14ac:dyDescent="0.25">
      <c r="A271" s="25"/>
      <c r="B271" s="13" t="str">
        <f>CONCATENATE("     ","Subscriptions &amp; Dues                              ")</f>
        <v xml:space="preserve">     Subscriptions &amp; Dues                              </v>
      </c>
      <c r="C271" s="13"/>
      <c r="D271" s="1">
        <f>SUM(OSRRefD22_21x_0)</f>
        <v>4726.22</v>
      </c>
      <c r="E271" s="1"/>
      <c r="F271" s="5">
        <f t="shared" ref="F271:F273" si="106">IF(D$12=0,0,D271/D$12)</f>
        <v>2.3828626085360153E-3</v>
      </c>
      <c r="G271" s="1"/>
      <c r="H271" s="1">
        <f>SUM(OSRRefH22_21x_0)</f>
        <v>4604.45</v>
      </c>
      <c r="I271" s="1"/>
      <c r="J271" s="5">
        <f t="shared" ref="J271:J273" si="107">IF(H$12=0,0,H271/H$12)</f>
        <v>1.919185039285617E-3</v>
      </c>
      <c r="K271" s="1"/>
      <c r="L271" s="1">
        <f t="shared" ref="L271:L273" si="108">+D271-H271</f>
        <v>121.77000000000044</v>
      </c>
      <c r="M271" s="1"/>
      <c r="N271" s="5">
        <f t="shared" ref="N271:N273" si="109">IF(H271=0,0,L271/H271)</f>
        <v>2.644615534971613E-2</v>
      </c>
      <c r="O271" s="13"/>
      <c r="P271" s="1">
        <f>SUM(OSRRefP22_21x_0)</f>
        <v>4800.7599999999993</v>
      </c>
      <c r="Q271" s="1"/>
      <c r="R271" s="5">
        <f t="shared" ref="R271:R273" si="110">IF(P$12=0,0,P271/P$12)</f>
        <v>2.6556061849514765E-4</v>
      </c>
      <c r="S271" s="1"/>
      <c r="T271" s="1">
        <f>SUM(OSRRefT22_21x_0)</f>
        <v>13552.92</v>
      </c>
      <c r="U271" s="1"/>
      <c r="V271" s="5">
        <f t="shared" ref="V271:V273" si="111">IF(T$12=0,0,T271/T$12)</f>
        <v>7.3917248618860345E-4</v>
      </c>
      <c r="W271" s="1"/>
      <c r="X271" s="1">
        <f t="shared" ref="X271:X273" si="112">+P271-T271</f>
        <v>-8752.16</v>
      </c>
      <c r="Y271" s="1"/>
      <c r="Z271" s="5">
        <f t="shared" ref="Z271:Z273" si="113">IF(T271=0,0,X271/T271)</f>
        <v>-0.64577670347054361</v>
      </c>
    </row>
    <row r="272" spans="1:26" s="24" customFormat="1" hidden="1" outlineLevel="2" x14ac:dyDescent="0.25">
      <c r="A272" s="26"/>
      <c r="B272" s="11" t="str">
        <f>CONCATENATE("          ", "6258", " - ", "MEMBERSHIP DUES")</f>
        <v xml:space="preserve">          6258 - MEMBERSHIP DUES</v>
      </c>
      <c r="C272" s="11"/>
      <c r="D272" s="6">
        <v>3980</v>
      </c>
      <c r="E272" s="2"/>
      <c r="F272" s="7">
        <f t="shared" si="106"/>
        <v>2.0066338811932879E-3</v>
      </c>
      <c r="G272" s="2"/>
      <c r="H272" s="6">
        <v>305.70999999999998</v>
      </c>
      <c r="I272" s="2"/>
      <c r="J272" s="7">
        <f t="shared" si="107"/>
        <v>1.2742326626633059E-4</v>
      </c>
      <c r="K272" s="2"/>
      <c r="L272" s="6">
        <f t="shared" si="108"/>
        <v>3674.29</v>
      </c>
      <c r="M272" s="2"/>
      <c r="N272" s="7">
        <f t="shared" si="109"/>
        <v>12.018874096365838</v>
      </c>
      <c r="O272" s="11"/>
      <c r="P272" s="6">
        <v>407.4</v>
      </c>
      <c r="Q272" s="2"/>
      <c r="R272" s="7">
        <f t="shared" si="110"/>
        <v>2.2535889312301212E-5</v>
      </c>
      <c r="S272" s="2"/>
      <c r="T272" s="6">
        <v>5587.64</v>
      </c>
      <c r="U272" s="2"/>
      <c r="V272" s="7">
        <f t="shared" si="111"/>
        <v>3.0474833104060886E-4</v>
      </c>
      <c r="W272" s="2"/>
      <c r="X272" s="6">
        <f t="shared" si="112"/>
        <v>-5180.2400000000007</v>
      </c>
      <c r="Y272" s="2"/>
      <c r="Z272" s="7">
        <f t="shared" si="113"/>
        <v>-0.92708907517306061</v>
      </c>
    </row>
    <row r="273" spans="1:26" s="24" customFormat="1" hidden="1" outlineLevel="2" x14ac:dyDescent="0.25">
      <c r="A273" s="26"/>
      <c r="B273" s="11" t="str">
        <f>CONCATENATE("          ", "6275", " - ", "SUBSCRIPTIONS")</f>
        <v xml:space="preserve">          6275 - SUBSCRIPTIONS</v>
      </c>
      <c r="C273" s="11"/>
      <c r="D273" s="6">
        <v>746.22</v>
      </c>
      <c r="E273" s="2"/>
      <c r="F273" s="7">
        <f t="shared" si="106"/>
        <v>3.7622872734272743E-4</v>
      </c>
      <c r="G273" s="2"/>
      <c r="H273" s="6">
        <v>4298.74</v>
      </c>
      <c r="I273" s="2"/>
      <c r="J273" s="7">
        <f t="shared" si="107"/>
        <v>1.7917617730192864E-3</v>
      </c>
      <c r="K273" s="2"/>
      <c r="L273" s="6">
        <f t="shared" si="108"/>
        <v>-3552.5199999999995</v>
      </c>
      <c r="M273" s="2"/>
      <c r="N273" s="7">
        <f t="shared" si="109"/>
        <v>-0.82640959909182687</v>
      </c>
      <c r="O273" s="11"/>
      <c r="P273" s="6">
        <v>4393.3599999999997</v>
      </c>
      <c r="Q273" s="2"/>
      <c r="R273" s="7">
        <f t="shared" si="110"/>
        <v>2.4302472918284648E-4</v>
      </c>
      <c r="S273" s="2"/>
      <c r="T273" s="6">
        <v>7965.28</v>
      </c>
      <c r="U273" s="2"/>
      <c r="V273" s="7">
        <f t="shared" si="111"/>
        <v>4.3442415514799459E-4</v>
      </c>
      <c r="W273" s="2"/>
      <c r="X273" s="6">
        <f t="shared" si="112"/>
        <v>-3571.92</v>
      </c>
      <c r="Y273" s="2"/>
      <c r="Z273" s="7">
        <f t="shared" si="113"/>
        <v>-0.44843621316513671</v>
      </c>
    </row>
    <row r="274" spans="1:26" s="27" customFormat="1" outlineLevel="1" collapsed="1" x14ac:dyDescent="0.25">
      <c r="A274" s="25"/>
      <c r="B274" s="13" t="str">
        <f>CONCATENATE("     ","Supplies                                          ")</f>
        <v xml:space="preserve">     Supplies                                          </v>
      </c>
      <c r="C274" s="13"/>
      <c r="D274" s="1">
        <f>SUM(OSRRefD22_22x_0)</f>
        <v>33466.619999999995</v>
      </c>
      <c r="E274" s="1"/>
      <c r="F274" s="5">
        <f t="shared" ref="F274:F282" si="114">IF(D$12=0,0,D274/D$12)</f>
        <v>1.6873179291713794E-2</v>
      </c>
      <c r="G274" s="1"/>
      <c r="H274" s="1">
        <f>SUM(OSRRefH22_22x_0)</f>
        <v>59291.6</v>
      </c>
      <c r="I274" s="1"/>
      <c r="J274" s="5">
        <f t="shared" ref="J274:J282" si="115">IF(H$12=0,0,H274/H$12)</f>
        <v>2.4713386327423925E-2</v>
      </c>
      <c r="K274" s="1"/>
      <c r="L274" s="1">
        <f t="shared" ref="L274:L282" si="116">+D274-H274</f>
        <v>-25824.980000000003</v>
      </c>
      <c r="M274" s="1"/>
      <c r="N274" s="5">
        <f t="shared" ref="N274:N282" si="117">IF(H274=0,0,L274/H274)</f>
        <v>-0.43555883126783562</v>
      </c>
      <c r="O274" s="13"/>
      <c r="P274" s="1">
        <f>SUM(OSRRefP22_22x_0)</f>
        <v>360912.55999999994</v>
      </c>
      <c r="Q274" s="1"/>
      <c r="R274" s="5">
        <f t="shared" ref="R274:R282" si="118">IF(P$12=0,0,P274/P$12)</f>
        <v>1.9964372861019316E-2</v>
      </c>
      <c r="S274" s="1"/>
      <c r="T274" s="1">
        <f>SUM(OSRRefT22_22x_0)</f>
        <v>410164.52999999997</v>
      </c>
      <c r="U274" s="1"/>
      <c r="V274" s="5">
        <f t="shared" ref="V274:V282" si="119">IF(T$12=0,0,T274/T$12)</f>
        <v>2.2370259352706281E-2</v>
      </c>
      <c r="W274" s="1"/>
      <c r="X274" s="1">
        <f t="shared" ref="X274:X282" si="120">+P274-T274</f>
        <v>-49251.97000000003</v>
      </c>
      <c r="Y274" s="1"/>
      <c r="Z274" s="5">
        <f t="shared" ref="Z274:Z282" si="121">IF(T274=0,0,X274/T274)</f>
        <v>-0.12007856944626595</v>
      </c>
    </row>
    <row r="275" spans="1:26" s="24" customFormat="1" hidden="1" outlineLevel="2" x14ac:dyDescent="0.25">
      <c r="A275" s="26"/>
      <c r="B275" s="11" t="str">
        <f>CONCATENATE("          ", "6234", " - ", "EXPENDABLE SUPPLIES &amp; EQUIPMEN")</f>
        <v xml:space="preserve">          6234 - EXPENDABLE SUPPLIES &amp; EQUIPMEN</v>
      </c>
      <c r="C275" s="11"/>
      <c r="D275" s="6"/>
      <c r="E275" s="2"/>
      <c r="F275" s="7">
        <f t="shared" si="114"/>
        <v>0</v>
      </c>
      <c r="G275" s="2"/>
      <c r="H275" s="6">
        <v>144.53</v>
      </c>
      <c r="I275" s="2"/>
      <c r="J275" s="7">
        <f t="shared" si="115"/>
        <v>6.0241682226530905E-5</v>
      </c>
      <c r="K275" s="2"/>
      <c r="L275" s="6">
        <f t="shared" si="116"/>
        <v>-144.53</v>
      </c>
      <c r="M275" s="2"/>
      <c r="N275" s="7">
        <f t="shared" si="117"/>
        <v>-1</v>
      </c>
      <c r="O275" s="11"/>
      <c r="P275" s="6">
        <v>15631.2</v>
      </c>
      <c r="Q275" s="2"/>
      <c r="R275" s="7">
        <f t="shared" si="118"/>
        <v>8.6466124943162192E-4</v>
      </c>
      <c r="S275" s="2"/>
      <c r="T275" s="6">
        <v>11422.39</v>
      </c>
      <c r="U275" s="2"/>
      <c r="V275" s="7">
        <f t="shared" si="119"/>
        <v>6.2297397273176859E-4</v>
      </c>
      <c r="W275" s="2"/>
      <c r="X275" s="6">
        <f t="shared" si="120"/>
        <v>4208.8100000000013</v>
      </c>
      <c r="Y275" s="2"/>
      <c r="Z275" s="7">
        <f t="shared" si="121"/>
        <v>0.36847017130390414</v>
      </c>
    </row>
    <row r="276" spans="1:26" s="24" customFormat="1" hidden="1" outlineLevel="2" x14ac:dyDescent="0.25">
      <c r="A276" s="26"/>
      <c r="B276" s="11" t="str">
        <f>CONCATENATE("          ", "6237", " - ", "JANITORIAL SUPPLIES")</f>
        <v xml:space="preserve">          6237 - JANITORIAL SUPPLIES</v>
      </c>
      <c r="C276" s="11"/>
      <c r="D276" s="6">
        <v>10899.49</v>
      </c>
      <c r="E276" s="2"/>
      <c r="F276" s="7">
        <f t="shared" si="114"/>
        <v>5.4952979702832735E-3</v>
      </c>
      <c r="G276" s="2"/>
      <c r="H276" s="6">
        <v>16871.89</v>
      </c>
      <c r="I276" s="2"/>
      <c r="J276" s="7">
        <f t="shared" si="115"/>
        <v>7.032387988244548E-3</v>
      </c>
      <c r="K276" s="2"/>
      <c r="L276" s="6">
        <f t="shared" si="116"/>
        <v>-5972.4</v>
      </c>
      <c r="M276" s="2"/>
      <c r="N276" s="7">
        <f t="shared" si="117"/>
        <v>-0.35398523816833799</v>
      </c>
      <c r="O276" s="11"/>
      <c r="P276" s="6">
        <v>86182.58</v>
      </c>
      <c r="Q276" s="2"/>
      <c r="R276" s="7">
        <f t="shared" si="118"/>
        <v>4.7673075197067856E-3</v>
      </c>
      <c r="S276" s="2"/>
      <c r="T276" s="6">
        <v>94993.709999999992</v>
      </c>
      <c r="U276" s="2"/>
      <c r="V276" s="7">
        <f t="shared" si="119"/>
        <v>5.1809305148247898E-3</v>
      </c>
      <c r="W276" s="2"/>
      <c r="X276" s="6">
        <f t="shared" si="120"/>
        <v>-8811.1299999999901</v>
      </c>
      <c r="Y276" s="2"/>
      <c r="Z276" s="7">
        <f t="shared" si="121"/>
        <v>-9.2754878191408582E-2</v>
      </c>
    </row>
    <row r="277" spans="1:26" s="24" customFormat="1" hidden="1" outlineLevel="2" x14ac:dyDescent="0.25">
      <c r="A277" s="26"/>
      <c r="B277" s="11" t="str">
        <f>CONCATENATE("          ", "6239", " - ", "KITCHEN SUPPLIES")</f>
        <v xml:space="preserve">          6239 - KITCHEN SUPPLIES</v>
      </c>
      <c r="C277" s="11"/>
      <c r="D277" s="6">
        <v>3255.8</v>
      </c>
      <c r="E277" s="2"/>
      <c r="F277" s="7">
        <f t="shared" si="114"/>
        <v>1.6415071835148508E-3</v>
      </c>
      <c r="G277" s="2"/>
      <c r="H277" s="6">
        <v>5010.5600000000004</v>
      </c>
      <c r="I277" s="2"/>
      <c r="J277" s="7">
        <f t="shared" si="115"/>
        <v>2.0884561218914187E-3</v>
      </c>
      <c r="K277" s="2"/>
      <c r="L277" s="6">
        <f t="shared" si="116"/>
        <v>-1754.7600000000002</v>
      </c>
      <c r="M277" s="2"/>
      <c r="N277" s="7">
        <f t="shared" si="117"/>
        <v>-0.3502123515136033</v>
      </c>
      <c r="O277" s="11"/>
      <c r="P277" s="6">
        <v>55062.03</v>
      </c>
      <c r="Q277" s="2"/>
      <c r="R277" s="7">
        <f t="shared" si="118"/>
        <v>3.0458316479887305E-3</v>
      </c>
      <c r="S277" s="2"/>
      <c r="T277" s="6">
        <v>33201.129999999997</v>
      </c>
      <c r="U277" s="2"/>
      <c r="V277" s="7">
        <f t="shared" si="119"/>
        <v>1.8107803931825042E-3</v>
      </c>
      <c r="W277" s="2"/>
      <c r="X277" s="6">
        <f t="shared" si="120"/>
        <v>21860.9</v>
      </c>
      <c r="Y277" s="2"/>
      <c r="Z277" s="7">
        <f t="shared" si="121"/>
        <v>0.65843843266780389</v>
      </c>
    </row>
    <row r="278" spans="1:26" s="24" customFormat="1" hidden="1" outlineLevel="2" x14ac:dyDescent="0.25">
      <c r="A278" s="26"/>
      <c r="B278" s="11" t="str">
        <f>CONCATENATE("          ", "6241", " - ", "OFFICE EXPENSE")</f>
        <v xml:space="preserve">          6241 - OFFICE EXPENSE</v>
      </c>
      <c r="C278" s="11"/>
      <c r="D278" s="6">
        <v>5299.35</v>
      </c>
      <c r="E278" s="2"/>
      <c r="F278" s="7">
        <f t="shared" si="114"/>
        <v>2.67182292922152E-3</v>
      </c>
      <c r="G278" s="2"/>
      <c r="H278" s="6">
        <v>24251.15</v>
      </c>
      <c r="I278" s="2"/>
      <c r="J278" s="7">
        <f t="shared" si="115"/>
        <v>1.0108144135666885E-2</v>
      </c>
      <c r="K278" s="2"/>
      <c r="L278" s="6">
        <f t="shared" si="116"/>
        <v>-18951.800000000003</v>
      </c>
      <c r="M278" s="2"/>
      <c r="N278" s="7">
        <f t="shared" si="117"/>
        <v>-0.78148046587481423</v>
      </c>
      <c r="O278" s="11"/>
      <c r="P278" s="6">
        <v>79329.47</v>
      </c>
      <c r="Q278" s="2"/>
      <c r="R278" s="7">
        <f t="shared" si="118"/>
        <v>4.3882183483640643E-3</v>
      </c>
      <c r="S278" s="2"/>
      <c r="T278" s="6">
        <v>90723.86</v>
      </c>
      <c r="U278" s="2"/>
      <c r="V278" s="7">
        <f t="shared" si="119"/>
        <v>4.9480540837566218E-3</v>
      </c>
      <c r="W278" s="2"/>
      <c r="X278" s="6">
        <f t="shared" si="120"/>
        <v>-11394.39</v>
      </c>
      <c r="Y278" s="2"/>
      <c r="Z278" s="7">
        <f t="shared" si="121"/>
        <v>-0.12559419319239723</v>
      </c>
    </row>
    <row r="279" spans="1:26" s="24" customFormat="1" hidden="1" outlineLevel="2" x14ac:dyDescent="0.25">
      <c r="A279" s="26"/>
      <c r="B279" s="11" t="str">
        <f>CONCATENATE("          ", "6243", " - ", "PAPER SUPPLIES")</f>
        <v xml:space="preserve">          6243 - PAPER SUPPLIES</v>
      </c>
      <c r="C279" s="11"/>
      <c r="D279" s="6">
        <v>10157.1</v>
      </c>
      <c r="E279" s="2"/>
      <c r="F279" s="7">
        <f t="shared" si="114"/>
        <v>5.1210002499166695E-3</v>
      </c>
      <c r="G279" s="2"/>
      <c r="H279" s="6">
        <v>8401.35</v>
      </c>
      <c r="I279" s="2"/>
      <c r="J279" s="7">
        <f t="shared" si="115"/>
        <v>3.5017744203547046E-3</v>
      </c>
      <c r="K279" s="2"/>
      <c r="L279" s="6">
        <f t="shared" si="116"/>
        <v>1755.75</v>
      </c>
      <c r="M279" s="2"/>
      <c r="N279" s="7">
        <f t="shared" si="117"/>
        <v>0.20898427038511666</v>
      </c>
      <c r="O279" s="11"/>
      <c r="P279" s="6">
        <v>69590.320000000007</v>
      </c>
      <c r="Q279" s="2"/>
      <c r="R279" s="7">
        <f t="shared" si="118"/>
        <v>3.8494839193117859E-3</v>
      </c>
      <c r="S279" s="2"/>
      <c r="T279" s="6">
        <v>91308.43</v>
      </c>
      <c r="U279" s="2"/>
      <c r="V279" s="7">
        <f t="shared" si="119"/>
        <v>4.9799363689210932E-3</v>
      </c>
      <c r="W279" s="2"/>
      <c r="X279" s="6">
        <f t="shared" si="120"/>
        <v>-21718.109999999986</v>
      </c>
      <c r="Y279" s="2"/>
      <c r="Z279" s="7">
        <f t="shared" si="121"/>
        <v>-0.2378543799296515</v>
      </c>
    </row>
    <row r="280" spans="1:26" s="24" customFormat="1" hidden="1" outlineLevel="2" x14ac:dyDescent="0.25">
      <c r="A280" s="26"/>
      <c r="B280" s="11" t="str">
        <f>CONCATENATE("          ", "6245", " - ", "PRINTING")</f>
        <v xml:space="preserve">          6245 - PRINTING</v>
      </c>
      <c r="C280" s="11"/>
      <c r="D280" s="6">
        <v>748.76</v>
      </c>
      <c r="E280" s="2"/>
      <c r="F280" s="7">
        <f t="shared" si="114"/>
        <v>3.7750934293524774E-4</v>
      </c>
      <c r="G280" s="2"/>
      <c r="H280" s="6">
        <v>2689.99</v>
      </c>
      <c r="I280" s="2"/>
      <c r="J280" s="7">
        <f t="shared" si="115"/>
        <v>1.1212172059264225E-3</v>
      </c>
      <c r="K280" s="2"/>
      <c r="L280" s="6">
        <f t="shared" si="116"/>
        <v>-1941.2299999999998</v>
      </c>
      <c r="M280" s="2"/>
      <c r="N280" s="7">
        <f t="shared" si="117"/>
        <v>-0.72164952286067974</v>
      </c>
      <c r="O280" s="11"/>
      <c r="P280" s="6">
        <v>7418.72</v>
      </c>
      <c r="Q280" s="2"/>
      <c r="R280" s="7">
        <f t="shared" si="118"/>
        <v>4.1037666362041058E-4</v>
      </c>
      <c r="S280" s="2"/>
      <c r="T280" s="6">
        <v>11553.06</v>
      </c>
      <c r="U280" s="2"/>
      <c r="V280" s="7">
        <f t="shared" si="119"/>
        <v>6.3010067817755185E-4</v>
      </c>
      <c r="W280" s="2"/>
      <c r="X280" s="6">
        <f t="shared" si="120"/>
        <v>-4134.3399999999992</v>
      </c>
      <c r="Y280" s="2"/>
      <c r="Z280" s="7">
        <f t="shared" si="121"/>
        <v>-0.35785670636177769</v>
      </c>
    </row>
    <row r="281" spans="1:26" s="24" customFormat="1" hidden="1" outlineLevel="2" x14ac:dyDescent="0.25">
      <c r="A281" s="26"/>
      <c r="B281" s="11" t="str">
        <f>CONCATENATE("          ", "6247", " - ", "STORE SUPPLIES")</f>
        <v xml:space="preserve">          6247 - STORE SUPPLIES</v>
      </c>
      <c r="C281" s="11"/>
      <c r="D281" s="6">
        <v>3106.12</v>
      </c>
      <c r="E281" s="2"/>
      <c r="F281" s="7">
        <f t="shared" si="114"/>
        <v>1.5660416158422349E-3</v>
      </c>
      <c r="G281" s="2"/>
      <c r="H281" s="6">
        <v>922.61</v>
      </c>
      <c r="I281" s="2"/>
      <c r="J281" s="7">
        <f t="shared" si="115"/>
        <v>3.8455392263903466E-4</v>
      </c>
      <c r="K281" s="2"/>
      <c r="L281" s="6">
        <f t="shared" si="116"/>
        <v>2183.5099999999998</v>
      </c>
      <c r="M281" s="2"/>
      <c r="N281" s="7">
        <f t="shared" si="117"/>
        <v>2.3666663053728008</v>
      </c>
      <c r="O281" s="11"/>
      <c r="P281" s="6">
        <v>47849.84</v>
      </c>
      <c r="Q281" s="2"/>
      <c r="R281" s="7">
        <f t="shared" si="118"/>
        <v>2.646879474352781E-3</v>
      </c>
      <c r="S281" s="2"/>
      <c r="T281" s="6">
        <v>57567.75</v>
      </c>
      <c r="U281" s="2"/>
      <c r="V281" s="7">
        <f t="shared" si="119"/>
        <v>3.1397290688489252E-3</v>
      </c>
      <c r="W281" s="2"/>
      <c r="X281" s="6">
        <f t="shared" si="120"/>
        <v>-9717.9100000000035</v>
      </c>
      <c r="Y281" s="2"/>
      <c r="Z281" s="7">
        <f t="shared" si="121"/>
        <v>-0.16880823030255662</v>
      </c>
    </row>
    <row r="282" spans="1:26" s="24" customFormat="1" hidden="1" outlineLevel="2" x14ac:dyDescent="0.25">
      <c r="A282" s="26"/>
      <c r="B282" s="11" t="str">
        <f>CONCATENATE("          ", "6248", " - ", "UNIFORMS")</f>
        <v xml:space="preserve">          6248 - UNIFORMS</v>
      </c>
      <c r="C282" s="11"/>
      <c r="D282" s="6"/>
      <c r="E282" s="2"/>
      <c r="F282" s="7">
        <f t="shared" si="114"/>
        <v>0</v>
      </c>
      <c r="G282" s="2"/>
      <c r="H282" s="6">
        <v>999.52</v>
      </c>
      <c r="I282" s="2"/>
      <c r="J282" s="7">
        <f t="shared" si="115"/>
        <v>4.1661085047438019E-4</v>
      </c>
      <c r="K282" s="2"/>
      <c r="L282" s="6">
        <f t="shared" si="116"/>
        <v>-999.52</v>
      </c>
      <c r="M282" s="2"/>
      <c r="N282" s="7">
        <f t="shared" si="117"/>
        <v>-1</v>
      </c>
      <c r="O282" s="11"/>
      <c r="P282" s="6">
        <v>-151.6</v>
      </c>
      <c r="Q282" s="2"/>
      <c r="R282" s="7">
        <f t="shared" si="118"/>
        <v>-8.3859617568602446E-6</v>
      </c>
      <c r="S282" s="2"/>
      <c r="T282" s="6">
        <v>19394.2</v>
      </c>
      <c r="U282" s="2"/>
      <c r="V282" s="7">
        <f t="shared" si="119"/>
        <v>1.0577542722630263E-3</v>
      </c>
      <c r="W282" s="2"/>
      <c r="X282" s="6">
        <f t="shared" si="120"/>
        <v>-19545.8</v>
      </c>
      <c r="Y282" s="2"/>
      <c r="Z282" s="7">
        <f t="shared" si="121"/>
        <v>-1.0078167699621536</v>
      </c>
    </row>
    <row r="283" spans="1:26" s="27" customFormat="1" outlineLevel="1" collapsed="1" x14ac:dyDescent="0.25">
      <c r="A283" s="25"/>
      <c r="B283" s="13" t="str">
        <f>CONCATENATE("     ","Telephone/Data Lines                              ")</f>
        <v xml:space="preserve">     Telephone/Data Lines                              </v>
      </c>
      <c r="C283" s="13"/>
      <c r="D283" s="1">
        <f>SUM(OSRRefD22_23x_0)</f>
        <v>6040.64</v>
      </c>
      <c r="E283" s="1"/>
      <c r="F283" s="5">
        <f t="shared" ref="F283:F285" si="122">IF(D$12=0,0,D283/D$12)</f>
        <v>3.0455660522842772E-3</v>
      </c>
      <c r="G283" s="1"/>
      <c r="H283" s="1">
        <f>SUM(OSRRefH22_23x_0)</f>
        <v>5727.59</v>
      </c>
      <c r="I283" s="1"/>
      <c r="J283" s="5">
        <f t="shared" ref="J283:J285" si="123">IF(H$12=0,0,H283/H$12)</f>
        <v>2.3873220556552698E-3</v>
      </c>
      <c r="K283" s="1"/>
      <c r="L283" s="1">
        <f t="shared" ref="L283:L285" si="124">+D283-H283</f>
        <v>313.05000000000018</v>
      </c>
      <c r="M283" s="1"/>
      <c r="N283" s="5">
        <f t="shared" ref="N283:N285" si="125">IF(H283=0,0,L283/H283)</f>
        <v>5.4656496013157398E-2</v>
      </c>
      <c r="O283" s="13"/>
      <c r="P283" s="1">
        <f>SUM(OSRRefP22_23x_0)</f>
        <v>34958.590000000004</v>
      </c>
      <c r="Q283" s="1"/>
      <c r="R283" s="5">
        <f t="shared" ref="R283:R285" si="126">IF(P$12=0,0,P283/P$12)</f>
        <v>1.9337823140749145E-3</v>
      </c>
      <c r="S283" s="1"/>
      <c r="T283" s="1">
        <f>SUM(OSRRefT22_23x_0)</f>
        <v>37973.060000000005</v>
      </c>
      <c r="U283" s="1"/>
      <c r="V283" s="5">
        <f t="shared" ref="V283:V285" si="127">IF(T$12=0,0,T283/T$12)</f>
        <v>2.071040127765014E-3</v>
      </c>
      <c r="W283" s="1"/>
      <c r="X283" s="1">
        <f t="shared" ref="X283:X285" si="128">+P283-T283</f>
        <v>-3014.4700000000012</v>
      </c>
      <c r="Y283" s="1"/>
      <c r="Z283" s="5">
        <f t="shared" ref="Z283:Z285" si="129">IF(T283=0,0,X283/T283)</f>
        <v>-7.9384437282641981E-2</v>
      </c>
    </row>
    <row r="284" spans="1:26" s="24" customFormat="1" hidden="1" outlineLevel="2" x14ac:dyDescent="0.25">
      <c r="A284" s="26"/>
      <c r="B284" s="11" t="str">
        <f>CONCATENATE("          ", "6303", " - ", "DATA PHONE LINES")</f>
        <v xml:space="preserve">          6303 - DATA PHONE LINES</v>
      </c>
      <c r="C284" s="11"/>
      <c r="D284" s="6">
        <v>295</v>
      </c>
      <c r="E284" s="2"/>
      <c r="F284" s="7">
        <f t="shared" si="122"/>
        <v>1.487329133045276E-4</v>
      </c>
      <c r="G284" s="2"/>
      <c r="H284" s="6"/>
      <c r="I284" s="2"/>
      <c r="J284" s="7">
        <f t="shared" si="123"/>
        <v>0</v>
      </c>
      <c r="K284" s="2"/>
      <c r="L284" s="6">
        <f t="shared" si="124"/>
        <v>295</v>
      </c>
      <c r="M284" s="2"/>
      <c r="N284" s="7">
        <f t="shared" si="125"/>
        <v>0</v>
      </c>
      <c r="O284" s="11"/>
      <c r="P284" s="6">
        <v>1770</v>
      </c>
      <c r="Q284" s="2"/>
      <c r="R284" s="7">
        <f t="shared" si="126"/>
        <v>9.7909975657273316E-5</v>
      </c>
      <c r="S284" s="2"/>
      <c r="T284" s="6">
        <v>885</v>
      </c>
      <c r="U284" s="2"/>
      <c r="V284" s="7">
        <f t="shared" si="127"/>
        <v>4.826765378065495E-5</v>
      </c>
      <c r="W284" s="2"/>
      <c r="X284" s="6">
        <f t="shared" si="128"/>
        <v>885</v>
      </c>
      <c r="Y284" s="2"/>
      <c r="Z284" s="7">
        <f t="shared" si="129"/>
        <v>1</v>
      </c>
    </row>
    <row r="285" spans="1:26" s="24" customFormat="1" hidden="1" outlineLevel="2" x14ac:dyDescent="0.25">
      <c r="A285" s="26"/>
      <c r="B285" s="11" t="str">
        <f>CONCATENATE("          ", "6309", " - ", "TELEPHONE")</f>
        <v xml:space="preserve">          6309 - TELEPHONE</v>
      </c>
      <c r="C285" s="11"/>
      <c r="D285" s="6">
        <v>5745.64</v>
      </c>
      <c r="E285" s="2"/>
      <c r="F285" s="7">
        <f t="shared" si="122"/>
        <v>2.8968331389797493E-3</v>
      </c>
      <c r="G285" s="2"/>
      <c r="H285" s="6">
        <v>5727.59</v>
      </c>
      <c r="I285" s="2"/>
      <c r="J285" s="7">
        <f t="shared" si="123"/>
        <v>2.3873220556552698E-3</v>
      </c>
      <c r="K285" s="2"/>
      <c r="L285" s="6">
        <f t="shared" si="124"/>
        <v>18.050000000000182</v>
      </c>
      <c r="M285" s="2"/>
      <c r="N285" s="7">
        <f t="shared" si="125"/>
        <v>3.1514127233269458E-3</v>
      </c>
      <c r="O285" s="11"/>
      <c r="P285" s="6">
        <v>33188.590000000004</v>
      </c>
      <c r="Q285" s="2"/>
      <c r="R285" s="7">
        <f t="shared" si="126"/>
        <v>1.8358723384176412E-3</v>
      </c>
      <c r="S285" s="2"/>
      <c r="T285" s="6">
        <v>37088.060000000005</v>
      </c>
      <c r="U285" s="2"/>
      <c r="V285" s="7">
        <f t="shared" si="127"/>
        <v>2.0227724739843591E-3</v>
      </c>
      <c r="W285" s="2"/>
      <c r="X285" s="6">
        <f t="shared" si="128"/>
        <v>-3899.4700000000012</v>
      </c>
      <c r="Y285" s="2"/>
      <c r="Z285" s="7">
        <f t="shared" si="129"/>
        <v>-0.10514084586791546</v>
      </c>
    </row>
    <row r="286" spans="1:26" s="27" customFormat="1" outlineLevel="1" collapsed="1" x14ac:dyDescent="0.25">
      <c r="A286" s="25"/>
      <c r="B286" s="13" t="str">
        <f>CONCATENATE("     ","Training                                          ")</f>
        <v xml:space="preserve">     Training                                          </v>
      </c>
      <c r="C286" s="13"/>
      <c r="D286" s="1">
        <f>SUM(OSRRefD22_24x_0)</f>
        <v>1663.1</v>
      </c>
      <c r="E286" s="1"/>
      <c r="F286" s="5">
        <f t="shared" ref="F286:F291" si="130">IF(D$12=0,0,D286/D$12)</f>
        <v>8.3850070548054188E-4</v>
      </c>
      <c r="G286" s="1"/>
      <c r="H286" s="1">
        <f>SUM(OSRRefH22_24x_0)</f>
        <v>2443.5300000000002</v>
      </c>
      <c r="I286" s="1"/>
      <c r="J286" s="5">
        <f t="shared" ref="J286:J291" si="131">IF(H$12=0,0,H286/H$12)</f>
        <v>1.0184899866532559E-3</v>
      </c>
      <c r="K286" s="1"/>
      <c r="L286" s="1">
        <f t="shared" ref="L286:L291" si="132">+D286-H286</f>
        <v>-780.43000000000029</v>
      </c>
      <c r="M286" s="1"/>
      <c r="N286" s="5">
        <f t="shared" ref="N286:N291" si="133">IF(H286=0,0,L286/H286)</f>
        <v>-0.31938629769227317</v>
      </c>
      <c r="O286" s="13"/>
      <c r="P286" s="1">
        <f>SUM(OSRRefP22_24x_0)</f>
        <v>16396.310000000001</v>
      </c>
      <c r="Q286" s="1"/>
      <c r="R286" s="5">
        <f t="shared" ref="R286:R291" si="134">IF(P$12=0,0,P286/P$12)</f>
        <v>9.0698435760966508E-4</v>
      </c>
      <c r="S286" s="1"/>
      <c r="T286" s="1">
        <f>SUM(OSRRefT22_24x_0)</f>
        <v>14645.88</v>
      </c>
      <c r="U286" s="1"/>
      <c r="V286" s="5">
        <f t="shared" ref="V286:V291" si="135">IF(T$12=0,0,T286/T$12)</f>
        <v>7.987822205118855E-4</v>
      </c>
      <c r="W286" s="1"/>
      <c r="X286" s="1">
        <f t="shared" ref="X286:X291" si="136">+P286-T286</f>
        <v>1750.4300000000021</v>
      </c>
      <c r="Y286" s="1"/>
      <c r="Z286" s="5">
        <f t="shared" ref="Z286:Z291" si="137">IF(T286=0,0,X286/T286)</f>
        <v>0.11951688802584769</v>
      </c>
    </row>
    <row r="287" spans="1:26" s="24" customFormat="1" hidden="1" outlineLevel="2" x14ac:dyDescent="0.25">
      <c r="A287" s="26"/>
      <c r="B287" s="11" t="str">
        <f>CONCATENATE("          ", "6376", " - ", "TRAINING")</f>
        <v xml:space="preserve">          6376 - TRAINING</v>
      </c>
      <c r="C287" s="11"/>
      <c r="D287" s="6">
        <v>1663.1</v>
      </c>
      <c r="E287" s="2"/>
      <c r="F287" s="7">
        <f t="shared" si="130"/>
        <v>8.3850070548054188E-4</v>
      </c>
      <c r="G287" s="2"/>
      <c r="H287" s="6">
        <v>2443.5300000000002</v>
      </c>
      <c r="I287" s="2"/>
      <c r="J287" s="7">
        <f t="shared" si="131"/>
        <v>1.0184899866532559E-3</v>
      </c>
      <c r="K287" s="2"/>
      <c r="L287" s="6">
        <f t="shared" si="132"/>
        <v>-780.43000000000029</v>
      </c>
      <c r="M287" s="2"/>
      <c r="N287" s="7">
        <f t="shared" si="133"/>
        <v>-0.31938629769227317</v>
      </c>
      <c r="O287" s="11"/>
      <c r="P287" s="6">
        <v>16396.310000000001</v>
      </c>
      <c r="Q287" s="2"/>
      <c r="R287" s="7">
        <f t="shared" si="134"/>
        <v>9.0698435760966508E-4</v>
      </c>
      <c r="S287" s="2"/>
      <c r="T287" s="6">
        <v>14645.88</v>
      </c>
      <c r="U287" s="2"/>
      <c r="V287" s="7">
        <f t="shared" si="135"/>
        <v>7.987822205118855E-4</v>
      </c>
      <c r="W287" s="2"/>
      <c r="X287" s="6">
        <f t="shared" si="136"/>
        <v>1750.4300000000021</v>
      </c>
      <c r="Y287" s="2"/>
      <c r="Z287" s="7">
        <f t="shared" si="137"/>
        <v>0.11951688802584769</v>
      </c>
    </row>
    <row r="288" spans="1:26" s="27" customFormat="1" outlineLevel="1" collapsed="1" x14ac:dyDescent="0.25">
      <c r="A288" s="25"/>
      <c r="B288" s="13" t="str">
        <f>CONCATENATE("     ","Travel                                            ")</f>
        <v xml:space="preserve">     Travel                                            </v>
      </c>
      <c r="C288" s="13"/>
      <c r="D288" s="1">
        <f>SUM(OSRRefD22_25x_0)</f>
        <v>1113.98</v>
      </c>
      <c r="E288" s="1"/>
      <c r="F288" s="5">
        <f t="shared" si="130"/>
        <v>5.6164573139992429E-4</v>
      </c>
      <c r="G288" s="1"/>
      <c r="H288" s="1">
        <f>SUM(OSRRefH22_25x_0)</f>
        <v>972.67</v>
      </c>
      <c r="I288" s="1"/>
      <c r="J288" s="5">
        <f t="shared" si="131"/>
        <v>4.0541947728000975E-4</v>
      </c>
      <c r="K288" s="1"/>
      <c r="L288" s="1">
        <f t="shared" si="132"/>
        <v>141.31000000000006</v>
      </c>
      <c r="M288" s="1"/>
      <c r="N288" s="5">
        <f t="shared" si="133"/>
        <v>0.14528051651639309</v>
      </c>
      <c r="O288" s="13"/>
      <c r="P288" s="1">
        <f>SUM(OSRRefP22_25x_0)</f>
        <v>5947.14</v>
      </c>
      <c r="Q288" s="1"/>
      <c r="R288" s="5">
        <f t="shared" si="134"/>
        <v>3.2897419922621267E-4</v>
      </c>
      <c r="S288" s="1"/>
      <c r="T288" s="1">
        <f>SUM(OSRRefT22_25x_0)</f>
        <v>6278.17</v>
      </c>
      <c r="U288" s="1"/>
      <c r="V288" s="5">
        <f t="shared" si="135"/>
        <v>3.4240964512553048E-4</v>
      </c>
      <c r="W288" s="1"/>
      <c r="X288" s="1">
        <f t="shared" si="136"/>
        <v>-331.02999999999975</v>
      </c>
      <c r="Y288" s="1"/>
      <c r="Z288" s="5">
        <f t="shared" si="137"/>
        <v>-5.2727148197643542E-2</v>
      </c>
    </row>
    <row r="289" spans="1:26" s="24" customFormat="1" hidden="1" outlineLevel="2" x14ac:dyDescent="0.25">
      <c r="A289" s="26"/>
      <c r="B289" s="11" t="str">
        <f>CONCATENATE("          ", "6292", " - ", "TRAVEL/CONFERENCE")</f>
        <v xml:space="preserve">          6292 - TRAVEL/CONFERENCE</v>
      </c>
      <c r="C289" s="11"/>
      <c r="D289" s="6">
        <v>835.94</v>
      </c>
      <c r="E289" s="2"/>
      <c r="F289" s="7">
        <f t="shared" si="130"/>
        <v>4.2146370016198922E-4</v>
      </c>
      <c r="G289" s="2"/>
      <c r="H289" s="6">
        <v>633.6</v>
      </c>
      <c r="I289" s="2"/>
      <c r="J289" s="7">
        <f t="shared" si="131"/>
        <v>2.6409139873195863E-4</v>
      </c>
      <c r="K289" s="2"/>
      <c r="L289" s="6">
        <f t="shared" si="132"/>
        <v>202.34000000000003</v>
      </c>
      <c r="M289" s="2"/>
      <c r="N289" s="7">
        <f t="shared" si="133"/>
        <v>0.31934974747474754</v>
      </c>
      <c r="O289" s="11"/>
      <c r="P289" s="6">
        <v>4052.42</v>
      </c>
      <c r="Q289" s="2"/>
      <c r="R289" s="7">
        <f t="shared" si="134"/>
        <v>2.2416516584917941E-4</v>
      </c>
      <c r="S289" s="2"/>
      <c r="T289" s="6">
        <v>3123.05</v>
      </c>
      <c r="U289" s="2"/>
      <c r="V289" s="7">
        <f t="shared" si="135"/>
        <v>1.7033027812392591E-4</v>
      </c>
      <c r="W289" s="2"/>
      <c r="X289" s="6">
        <f t="shared" si="136"/>
        <v>929.36999999999989</v>
      </c>
      <c r="Y289" s="2"/>
      <c r="Z289" s="7">
        <f t="shared" si="137"/>
        <v>0.29758409247370354</v>
      </c>
    </row>
    <row r="290" spans="1:26" s="24" customFormat="1" hidden="1" outlineLevel="2" x14ac:dyDescent="0.25">
      <c r="A290" s="26"/>
      <c r="B290" s="11" t="str">
        <f>CONCATENATE("          ", "6294", " - ", "TRAVEL OPERATIONAL")</f>
        <v xml:space="preserve">          6294 - TRAVEL OPERATIONAL</v>
      </c>
      <c r="C290" s="11"/>
      <c r="D290" s="6">
        <v>125.14</v>
      </c>
      <c r="E290" s="2"/>
      <c r="F290" s="7">
        <f t="shared" si="130"/>
        <v>6.3093006003147741E-5</v>
      </c>
      <c r="G290" s="2"/>
      <c r="H290" s="6">
        <v>90.68</v>
      </c>
      <c r="I290" s="2"/>
      <c r="J290" s="7">
        <f t="shared" si="131"/>
        <v>3.7796414199832719E-5</v>
      </c>
      <c r="K290" s="2"/>
      <c r="L290" s="6">
        <f t="shared" si="132"/>
        <v>34.459999999999994</v>
      </c>
      <c r="M290" s="2"/>
      <c r="N290" s="7">
        <f t="shared" si="133"/>
        <v>0.38001764446404929</v>
      </c>
      <c r="O290" s="11"/>
      <c r="P290" s="6">
        <v>864.43</v>
      </c>
      <c r="Q290" s="2"/>
      <c r="R290" s="7">
        <f t="shared" si="134"/>
        <v>4.7817130088936029E-5</v>
      </c>
      <c r="S290" s="2"/>
      <c r="T290" s="6">
        <v>2260.7600000000002</v>
      </c>
      <c r="U290" s="2"/>
      <c r="V290" s="7">
        <f t="shared" si="135"/>
        <v>1.233012214250322E-4</v>
      </c>
      <c r="W290" s="2"/>
      <c r="X290" s="6">
        <f t="shared" si="136"/>
        <v>-1396.3300000000004</v>
      </c>
      <c r="Y290" s="2"/>
      <c r="Z290" s="7">
        <f t="shared" si="137"/>
        <v>-0.61763743166014984</v>
      </c>
    </row>
    <row r="291" spans="1:26" s="24" customFormat="1" hidden="1" outlineLevel="2" x14ac:dyDescent="0.25">
      <c r="A291" s="26"/>
      <c r="B291" s="11" t="str">
        <f>CONCATENATE("          ", "6298", " - ", "VEHICLE MILEAGE")</f>
        <v xml:space="preserve">          6298 - VEHICLE MILEAGE</v>
      </c>
      <c r="C291" s="11"/>
      <c r="D291" s="6">
        <v>152.9</v>
      </c>
      <c r="E291" s="2"/>
      <c r="F291" s="7">
        <f t="shared" si="130"/>
        <v>7.7089025234787357E-5</v>
      </c>
      <c r="G291" s="2"/>
      <c r="H291" s="6">
        <v>248.39</v>
      </c>
      <c r="I291" s="2"/>
      <c r="J291" s="7">
        <f t="shared" si="131"/>
        <v>1.0353166434821844E-4</v>
      </c>
      <c r="K291" s="2"/>
      <c r="L291" s="6">
        <f t="shared" si="132"/>
        <v>-95.489999999999981</v>
      </c>
      <c r="M291" s="2"/>
      <c r="N291" s="7">
        <f t="shared" si="133"/>
        <v>-0.3844357663351986</v>
      </c>
      <c r="O291" s="11"/>
      <c r="P291" s="6">
        <v>1030.29</v>
      </c>
      <c r="Q291" s="2"/>
      <c r="R291" s="7">
        <f t="shared" si="134"/>
        <v>5.6991903288097244E-5</v>
      </c>
      <c r="S291" s="2"/>
      <c r="T291" s="6">
        <v>894.36</v>
      </c>
      <c r="U291" s="2"/>
      <c r="V291" s="7">
        <f t="shared" si="135"/>
        <v>4.8778145576572382E-5</v>
      </c>
      <c r="W291" s="2"/>
      <c r="X291" s="6">
        <f t="shared" si="136"/>
        <v>135.92999999999995</v>
      </c>
      <c r="Y291" s="2"/>
      <c r="Z291" s="7">
        <f t="shared" si="137"/>
        <v>0.15198577753924589</v>
      </c>
    </row>
    <row r="292" spans="1:26" s="27" customFormat="1" outlineLevel="1" collapsed="1" x14ac:dyDescent="0.25">
      <c r="A292" s="25"/>
      <c r="B292" s="13" t="str">
        <f>CONCATENATE("     ","Utilities                                         ")</f>
        <v xml:space="preserve">     Utilities                                         </v>
      </c>
      <c r="C292" s="13"/>
      <c r="D292" s="1">
        <f>SUM(OSRRefD22_26x_0)</f>
        <v>50394.76</v>
      </c>
      <c r="E292" s="1"/>
      <c r="F292" s="5">
        <f t="shared" ref="F292:F293" si="138">IF(D$12=0,0,D292/D$12)</f>
        <v>2.5407998203669409E-2</v>
      </c>
      <c r="G292" s="1"/>
      <c r="H292" s="1">
        <f>SUM(OSRRefH22_26x_0)</f>
        <v>20426.489999999998</v>
      </c>
      <c r="I292" s="1"/>
      <c r="J292" s="5">
        <f t="shared" ref="J292:J293" si="139">IF(H$12=0,0,H292/H$12)</f>
        <v>8.5139840834664859E-3</v>
      </c>
      <c r="K292" s="1"/>
      <c r="L292" s="1">
        <f t="shared" ref="L292:L293" si="140">+D292-H292</f>
        <v>29968.270000000004</v>
      </c>
      <c r="M292" s="1"/>
      <c r="N292" s="5">
        <f t="shared" ref="N292:N293" si="141">IF(H292=0,0,L292/H292)</f>
        <v>1.4671277346230316</v>
      </c>
      <c r="O292" s="13"/>
      <c r="P292" s="1">
        <f>SUM(OSRRefP22_26x_0)</f>
        <v>134371.80000000002</v>
      </c>
      <c r="Q292" s="1"/>
      <c r="R292" s="5">
        <f t="shared" ref="R292:R293" si="142">IF(P$12=0,0,P292/P$12)</f>
        <v>7.4329602638553679E-3</v>
      </c>
      <c r="S292" s="1"/>
      <c r="T292" s="1">
        <f>SUM(OSRRefT22_26x_0)</f>
        <v>89026.840000000011</v>
      </c>
      <c r="U292" s="1"/>
      <c r="V292" s="5">
        <f t="shared" ref="V292:V293" si="143">IF(T$12=0,0,T292/T$12)</f>
        <v>4.8554990850912579E-3</v>
      </c>
      <c r="W292" s="1"/>
      <c r="X292" s="1">
        <f t="shared" ref="X292:X293" si="144">+P292-T292</f>
        <v>45344.960000000006</v>
      </c>
      <c r="Y292" s="1"/>
      <c r="Z292" s="5">
        <f t="shared" ref="Z292:Z293" si="145">IF(T292=0,0,X292/T292)</f>
        <v>0.50934032927598016</v>
      </c>
    </row>
    <row r="293" spans="1:26" s="24" customFormat="1" hidden="1" outlineLevel="2" x14ac:dyDescent="0.25">
      <c r="A293" s="26"/>
      <c r="B293" s="11" t="str">
        <f>CONCATENATE("          ", "6274", " - ", "UTILITIES")</f>
        <v xml:space="preserve">          6274 - UTILITIES</v>
      </c>
      <c r="C293" s="11"/>
      <c r="D293" s="6">
        <v>50394.76</v>
      </c>
      <c r="E293" s="2"/>
      <c r="F293" s="7">
        <f t="shared" si="138"/>
        <v>2.5407998203669409E-2</v>
      </c>
      <c r="G293" s="2"/>
      <c r="H293" s="6">
        <v>20426.489999999998</v>
      </c>
      <c r="I293" s="2"/>
      <c r="J293" s="7">
        <f t="shared" si="139"/>
        <v>8.5139840834664859E-3</v>
      </c>
      <c r="K293" s="2"/>
      <c r="L293" s="6">
        <f t="shared" si="140"/>
        <v>29968.270000000004</v>
      </c>
      <c r="M293" s="2"/>
      <c r="N293" s="7">
        <f t="shared" si="141"/>
        <v>1.4671277346230316</v>
      </c>
      <c r="O293" s="11"/>
      <c r="P293" s="6">
        <v>134371.80000000002</v>
      </c>
      <c r="Q293" s="2"/>
      <c r="R293" s="7">
        <f t="shared" si="142"/>
        <v>7.4329602638553679E-3</v>
      </c>
      <c r="S293" s="2"/>
      <c r="T293" s="6">
        <v>89026.840000000011</v>
      </c>
      <c r="U293" s="2"/>
      <c r="V293" s="7">
        <f t="shared" si="143"/>
        <v>4.8554990850912579E-3</v>
      </c>
      <c r="W293" s="2"/>
      <c r="X293" s="6">
        <f t="shared" si="144"/>
        <v>45344.960000000006</v>
      </c>
      <c r="Y293" s="2"/>
      <c r="Z293" s="7">
        <f t="shared" si="145"/>
        <v>0.50934032927598016</v>
      </c>
    </row>
    <row r="294" spans="1:26" s="61" customFormat="1" x14ac:dyDescent="0.25">
      <c r="A294" s="37"/>
      <c r="B294" s="37"/>
      <c r="C294" s="37"/>
      <c r="D294" s="1"/>
      <c r="E294" s="1"/>
      <c r="F294" s="5"/>
      <c r="G294" s="1"/>
      <c r="H294" s="1"/>
      <c r="I294" s="1"/>
      <c r="J294" s="5"/>
      <c r="K294" s="1"/>
      <c r="L294" s="1"/>
      <c r="M294" s="1"/>
      <c r="N294" s="5"/>
      <c r="O294" s="37"/>
      <c r="P294" s="1"/>
      <c r="Q294" s="1"/>
      <c r="R294" s="5"/>
      <c r="S294" s="1"/>
      <c r="T294" s="1"/>
      <c r="U294" s="1"/>
      <c r="V294" s="5"/>
      <c r="W294" s="1"/>
      <c r="X294" s="1"/>
      <c r="Y294" s="1"/>
      <c r="Z294" s="5"/>
    </row>
    <row r="295" spans="1:26" s="23" customFormat="1" collapsed="1" x14ac:dyDescent="0.25">
      <c r="A295" s="10"/>
      <c r="B295" s="28" t="s">
        <v>0</v>
      </c>
      <c r="C295" s="10"/>
      <c r="D295" s="4">
        <f>SUM(OSRRefD25x_0)</f>
        <v>46005.49</v>
      </c>
      <c r="E295" s="4"/>
      <c r="F295" s="12">
        <f t="shared" ref="F295:F308" si="146">IF(D$12=0,0,D295/D$12)</f>
        <v>2.3195018832889193E-2</v>
      </c>
      <c r="G295" s="4"/>
      <c r="H295" s="4">
        <f>SUM(OSRRefH25x_0)</f>
        <v>58505.75</v>
      </c>
      <c r="I295" s="4"/>
      <c r="J295" s="12">
        <f t="shared" ref="J295:J308" si="147">IF(H$12=0,0,H295/H$12)</f>
        <v>2.4385835466165229E-2</v>
      </c>
      <c r="K295" s="4"/>
      <c r="L295" s="4">
        <f t="shared" ref="L295:L308" si="148">+D295-H295</f>
        <v>-12500.260000000002</v>
      </c>
      <c r="M295" s="4"/>
      <c r="N295" s="12">
        <f t="shared" ref="N295:N308" si="149">IF(H295=0,0,L295/H295)</f>
        <v>-0.21365865748238425</v>
      </c>
      <c r="O295" s="10"/>
      <c r="P295" s="4">
        <f>SUM(OSRRefP25x_0)</f>
        <v>958891.85999999987</v>
      </c>
      <c r="Q295" s="4"/>
      <c r="R295" s="12">
        <f t="shared" ref="R295:R308" si="150">IF(P$12=0,0,P295/P$12)</f>
        <v>5.3042417327998602E-2</v>
      </c>
      <c r="S295" s="4"/>
      <c r="T295" s="4">
        <f>SUM(OSRRefT25x_0)</f>
        <v>871371.8</v>
      </c>
      <c r="U295" s="4"/>
      <c r="V295" s="12">
        <f t="shared" ref="V295:V308" si="151">IF(T$12=0,0,T295/T$12)</f>
        <v>4.7524375544210296E-2</v>
      </c>
      <c r="W295" s="4"/>
      <c r="X295" s="4">
        <f t="shared" ref="X295:X308" si="152">+P295-T295</f>
        <v>87520.059999999823</v>
      </c>
      <c r="Y295" s="4"/>
      <c r="Z295" s="12">
        <f t="shared" ref="Z295:Z308" si="153">IF(T295=0,0,X295/T295)</f>
        <v>0.10043939911757509</v>
      </c>
    </row>
    <row r="296" spans="1:26" s="24" customFormat="1" hidden="1" outlineLevel="1" x14ac:dyDescent="0.25">
      <c r="A296" s="44"/>
      <c r="B296" s="11" t="str">
        <f>CONCATENATE("          ", "4098", " - ", "TAXABLE SALES-GRAD RENTALS")</f>
        <v xml:space="preserve">          4098 - TAXABLE SALES-GRAD RENTALS</v>
      </c>
      <c r="C296" s="11"/>
      <c r="D296" s="2">
        <f>0</f>
        <v>0</v>
      </c>
      <c r="E296" s="2"/>
      <c r="F296" s="19">
        <f t="shared" si="146"/>
        <v>0</v>
      </c>
      <c r="G296" s="2"/>
      <c r="H296" s="2">
        <f>--1289</f>
        <v>1289</v>
      </c>
      <c r="I296" s="2"/>
      <c r="J296" s="19">
        <f t="shared" si="147"/>
        <v>5.3726927551372267E-4</v>
      </c>
      <c r="K296" s="2"/>
      <c r="L296" s="2">
        <f t="shared" si="148"/>
        <v>-1289</v>
      </c>
      <c r="M296" s="2"/>
      <c r="N296" s="19">
        <f t="shared" si="149"/>
        <v>-1</v>
      </c>
      <c r="O296" s="11"/>
      <c r="P296" s="2">
        <f>--1626.85</f>
        <v>1626.85</v>
      </c>
      <c r="Q296" s="2"/>
      <c r="R296" s="19">
        <f t="shared" si="150"/>
        <v>8.9991437230528299E-5</v>
      </c>
      <c r="S296" s="2"/>
      <c r="T296" s="2">
        <f>--2269.5</f>
        <v>2269.5</v>
      </c>
      <c r="U296" s="2"/>
      <c r="V296" s="19">
        <f t="shared" si="151"/>
        <v>1.2377789859344227E-4</v>
      </c>
      <c r="W296" s="2"/>
      <c r="X296" s="2">
        <f t="shared" si="152"/>
        <v>-642.65000000000009</v>
      </c>
      <c r="Y296" s="2"/>
      <c r="Z296" s="19">
        <f t="shared" si="153"/>
        <v>-0.28316809870015425</v>
      </c>
    </row>
    <row r="297" spans="1:26" s="24" customFormat="1" hidden="1" outlineLevel="1" x14ac:dyDescent="0.25">
      <c r="A297" s="44"/>
      <c r="B297" s="11" t="str">
        <f>CONCATENATE("          ", "4187", " - ", "NON-TAXABLE SALES-COMPUTER REP")</f>
        <v xml:space="preserve">          4187 - NON-TAXABLE SALES-COMPUTER REP</v>
      </c>
      <c r="C297" s="11"/>
      <c r="D297" s="2">
        <f>--456.99</f>
        <v>456.99</v>
      </c>
      <c r="E297" s="2"/>
      <c r="F297" s="19">
        <f t="shared" si="146"/>
        <v>2.3040492898656297E-4</v>
      </c>
      <c r="G297" s="2"/>
      <c r="H297" s="2">
        <f>--348.37</f>
        <v>348.37</v>
      </c>
      <c r="I297" s="2"/>
      <c r="J297" s="19">
        <f t="shared" si="147"/>
        <v>1.4520442010140851E-4</v>
      </c>
      <c r="K297" s="2"/>
      <c r="L297" s="2">
        <f t="shared" si="148"/>
        <v>108.62</v>
      </c>
      <c r="M297" s="2"/>
      <c r="N297" s="19">
        <f t="shared" si="149"/>
        <v>0.31179493067715364</v>
      </c>
      <c r="O297" s="11"/>
      <c r="P297" s="2">
        <f>--13188.92</f>
        <v>13188.92</v>
      </c>
      <c r="Q297" s="2"/>
      <c r="R297" s="19">
        <f t="shared" si="150"/>
        <v>7.295631842631216E-4</v>
      </c>
      <c r="S297" s="2"/>
      <c r="T297" s="2">
        <f>--5309.75</f>
        <v>5309.75</v>
      </c>
      <c r="U297" s="2"/>
      <c r="V297" s="19">
        <f t="shared" si="151"/>
        <v>2.8959228775348318E-4</v>
      </c>
      <c r="W297" s="2"/>
      <c r="X297" s="2">
        <f t="shared" si="152"/>
        <v>7879.17</v>
      </c>
      <c r="Y297" s="2"/>
      <c r="Z297" s="19">
        <f t="shared" si="153"/>
        <v>1.4839060219407694</v>
      </c>
    </row>
    <row r="298" spans="1:26" s="24" customFormat="1" hidden="1" outlineLevel="1" x14ac:dyDescent="0.25">
      <c r="A298" s="44"/>
      <c r="B298" s="11" t="str">
        <f>CONCATENATE("          ", "4197", " - ", "NON-TAXABLE SALES-RETURNED CHE")</f>
        <v xml:space="preserve">          4197 - NON-TAXABLE SALES-RETURNED CHE</v>
      </c>
      <c r="C298" s="11"/>
      <c r="D298" s="2">
        <f t="shared" ref="D298:D300" si="154">0</f>
        <v>0</v>
      </c>
      <c r="E298" s="2"/>
      <c r="F298" s="19">
        <f t="shared" si="146"/>
        <v>0</v>
      </c>
      <c r="G298" s="2"/>
      <c r="H298" s="2">
        <f t="shared" ref="H298:H301" si="155">0</f>
        <v>0</v>
      </c>
      <c r="I298" s="2"/>
      <c r="J298" s="19">
        <f t="shared" si="147"/>
        <v>0</v>
      </c>
      <c r="K298" s="2"/>
      <c r="L298" s="2">
        <f t="shared" si="148"/>
        <v>0</v>
      </c>
      <c r="M298" s="2"/>
      <c r="N298" s="19">
        <f t="shared" si="149"/>
        <v>0</v>
      </c>
      <c r="O298" s="11"/>
      <c r="P298" s="2">
        <f>--30</f>
        <v>30</v>
      </c>
      <c r="Q298" s="2"/>
      <c r="R298" s="19">
        <f t="shared" si="150"/>
        <v>1.6594911128351409E-6</v>
      </c>
      <c r="S298" s="2"/>
      <c r="T298" s="2">
        <f>--260</f>
        <v>260</v>
      </c>
      <c r="U298" s="2"/>
      <c r="V298" s="19">
        <f t="shared" si="151"/>
        <v>1.4180327664373205E-5</v>
      </c>
      <c r="W298" s="2"/>
      <c r="X298" s="2">
        <f t="shared" si="152"/>
        <v>-230</v>
      </c>
      <c r="Y298" s="2"/>
      <c r="Z298" s="19">
        <f t="shared" si="153"/>
        <v>-0.88461538461538458</v>
      </c>
    </row>
    <row r="299" spans="1:26" s="24" customFormat="1" hidden="1" outlineLevel="1" x14ac:dyDescent="0.25">
      <c r="A299" s="44"/>
      <c r="B299" s="11" t="str">
        <f>CONCATENATE("          ", "4198", " - ", "NON-TAXABLE SALES-GRAD RENTALS")</f>
        <v xml:space="preserve">          4198 - NON-TAXABLE SALES-GRAD RENTALS</v>
      </c>
      <c r="C299" s="11"/>
      <c r="D299" s="2">
        <f t="shared" si="154"/>
        <v>0</v>
      </c>
      <c r="E299" s="2"/>
      <c r="F299" s="19">
        <f t="shared" si="146"/>
        <v>0</v>
      </c>
      <c r="G299" s="2"/>
      <c r="H299" s="2">
        <f t="shared" si="155"/>
        <v>0</v>
      </c>
      <c r="I299" s="2"/>
      <c r="J299" s="19">
        <f t="shared" si="147"/>
        <v>0</v>
      </c>
      <c r="K299" s="2"/>
      <c r="L299" s="2">
        <f t="shared" si="148"/>
        <v>0</v>
      </c>
      <c r="M299" s="2"/>
      <c r="N299" s="19">
        <f t="shared" si="149"/>
        <v>0</v>
      </c>
      <c r="O299" s="11"/>
      <c r="P299" s="2">
        <f>--495</f>
        <v>495</v>
      </c>
      <c r="Q299" s="2"/>
      <c r="R299" s="19">
        <f t="shared" si="150"/>
        <v>2.7381603361779827E-5</v>
      </c>
      <c r="S299" s="2"/>
      <c r="T299" s="2">
        <f>--450</f>
        <v>450</v>
      </c>
      <c r="U299" s="2"/>
      <c r="V299" s="19">
        <f t="shared" si="151"/>
        <v>2.4542874803722856E-5</v>
      </c>
      <c r="W299" s="2"/>
      <c r="X299" s="2">
        <f t="shared" si="152"/>
        <v>45</v>
      </c>
      <c r="Y299" s="2"/>
      <c r="Z299" s="19">
        <f t="shared" si="153"/>
        <v>0.1</v>
      </c>
    </row>
    <row r="300" spans="1:26" s="24" customFormat="1" hidden="1" outlineLevel="1" x14ac:dyDescent="0.25">
      <c r="A300" s="44"/>
      <c r="B300" s="11" t="str">
        <f>CONCATENATE("          ", "4387", " - ", "SALES RETURN NON TAXABLE-COMPU")</f>
        <v xml:space="preserve">          4387 - SALES RETURN NON TAXABLE-COMPU</v>
      </c>
      <c r="C300" s="11"/>
      <c r="D300" s="2">
        <f t="shared" si="154"/>
        <v>0</v>
      </c>
      <c r="E300" s="2"/>
      <c r="F300" s="19">
        <f t="shared" si="146"/>
        <v>0</v>
      </c>
      <c r="G300" s="2"/>
      <c r="H300" s="2">
        <f t="shared" si="155"/>
        <v>0</v>
      </c>
      <c r="I300" s="2"/>
      <c r="J300" s="19">
        <f t="shared" si="147"/>
        <v>0</v>
      </c>
      <c r="K300" s="2"/>
      <c r="L300" s="2">
        <f t="shared" si="148"/>
        <v>0</v>
      </c>
      <c r="M300" s="2"/>
      <c r="N300" s="19">
        <f t="shared" si="149"/>
        <v>0</v>
      </c>
      <c r="O300" s="11"/>
      <c r="P300" s="2">
        <f>-7889</f>
        <v>-7889</v>
      </c>
      <c r="Q300" s="2"/>
      <c r="R300" s="19">
        <f t="shared" si="150"/>
        <v>-4.3639084630521421E-4</v>
      </c>
      <c r="S300" s="2"/>
      <c r="T300" s="2">
        <f t="shared" ref="T300:T301" si="156">0</f>
        <v>0</v>
      </c>
      <c r="U300" s="2"/>
      <c r="V300" s="19">
        <f t="shared" si="151"/>
        <v>0</v>
      </c>
      <c r="W300" s="2"/>
      <c r="X300" s="2">
        <f t="shared" si="152"/>
        <v>-7889</v>
      </c>
      <c r="Y300" s="2"/>
      <c r="Z300" s="19">
        <f t="shared" si="153"/>
        <v>0</v>
      </c>
    </row>
    <row r="301" spans="1:26" s="24" customFormat="1" hidden="1" outlineLevel="1" x14ac:dyDescent="0.25">
      <c r="A301" s="44"/>
      <c r="B301" s="11" t="str">
        <f>CONCATENATE("          ", "5087", " - ", "PURCHASES @ COST-COMPUTER REPA")</f>
        <v xml:space="preserve">          5087 - PURCHASES @ COST-COMPUTER REPA</v>
      </c>
      <c r="C301" s="11"/>
      <c r="D301" s="2">
        <f>-56.72</f>
        <v>-56.72</v>
      </c>
      <c r="E301" s="2"/>
      <c r="F301" s="19">
        <f t="shared" si="146"/>
        <v>-2.8597053703840021E-5</v>
      </c>
      <c r="G301" s="2"/>
      <c r="H301" s="2">
        <f t="shared" si="155"/>
        <v>0</v>
      </c>
      <c r="I301" s="2"/>
      <c r="J301" s="19">
        <f t="shared" si="147"/>
        <v>0</v>
      </c>
      <c r="K301" s="2"/>
      <c r="L301" s="2">
        <f t="shared" si="148"/>
        <v>-56.72</v>
      </c>
      <c r="M301" s="2"/>
      <c r="N301" s="19">
        <f t="shared" si="149"/>
        <v>0</v>
      </c>
      <c r="O301" s="11"/>
      <c r="P301" s="2">
        <f>-56.72</f>
        <v>-56.72</v>
      </c>
      <c r="Q301" s="2"/>
      <c r="R301" s="19">
        <f t="shared" si="150"/>
        <v>-3.1375445306669732E-6</v>
      </c>
      <c r="S301" s="2"/>
      <c r="T301" s="2">
        <f t="shared" si="156"/>
        <v>0</v>
      </c>
      <c r="U301" s="2"/>
      <c r="V301" s="19">
        <f t="shared" si="151"/>
        <v>0</v>
      </c>
      <c r="W301" s="2"/>
      <c r="X301" s="2">
        <f t="shared" si="152"/>
        <v>-56.72</v>
      </c>
      <c r="Y301" s="2"/>
      <c r="Z301" s="19">
        <f t="shared" si="153"/>
        <v>0</v>
      </c>
    </row>
    <row r="302" spans="1:26" s="24" customFormat="1" hidden="1" outlineLevel="1" x14ac:dyDescent="0.25">
      <c r="A302" s="44"/>
      <c r="B302" s="11" t="str">
        <f>CONCATENATE("          ", "9150", " - ", "MISC. INCOME")</f>
        <v xml:space="preserve">          9150 - MISC. INCOME</v>
      </c>
      <c r="C302" s="11"/>
      <c r="D302" s="2">
        <f>--37912.6</f>
        <v>37912.6</v>
      </c>
      <c r="E302" s="2"/>
      <c r="F302" s="19">
        <f t="shared" si="146"/>
        <v>1.9114750674404182E-2</v>
      </c>
      <c r="G302" s="2"/>
      <c r="H302" s="2">
        <f>--56278.21</f>
        <v>56278.21</v>
      </c>
      <c r="I302" s="2"/>
      <c r="J302" s="19">
        <f t="shared" si="147"/>
        <v>2.3457372470061397E-2</v>
      </c>
      <c r="K302" s="2"/>
      <c r="L302" s="2">
        <f t="shared" si="148"/>
        <v>-18365.61</v>
      </c>
      <c r="M302" s="2"/>
      <c r="N302" s="19">
        <f t="shared" si="149"/>
        <v>-0.32633607216718513</v>
      </c>
      <c r="O302" s="11"/>
      <c r="P302" s="2">
        <f>--444275.73</f>
        <v>444275.73</v>
      </c>
      <c r="Q302" s="2"/>
      <c r="R302" s="19">
        <f t="shared" si="150"/>
        <v>2.4575720852778152E-2</v>
      </c>
      <c r="S302" s="2"/>
      <c r="T302" s="2">
        <f>--579810.68</f>
        <v>579810.68000000005</v>
      </c>
      <c r="U302" s="2"/>
      <c r="V302" s="19">
        <f t="shared" si="151"/>
        <v>3.1622713175780928E-2</v>
      </c>
      <c r="W302" s="2"/>
      <c r="X302" s="2">
        <f t="shared" si="152"/>
        <v>-135534.95000000007</v>
      </c>
      <c r="Y302" s="2"/>
      <c r="Z302" s="19">
        <f t="shared" si="153"/>
        <v>-0.23375724986645652</v>
      </c>
    </row>
    <row r="303" spans="1:26" s="24" customFormat="1" hidden="1" outlineLevel="1" x14ac:dyDescent="0.25">
      <c r="A303" s="44"/>
      <c r="B303" s="11" t="str">
        <f>CONCATENATE("          ", "9151", " - ", "MISC. INCOME")</f>
        <v xml:space="preserve">          9151 - MISC. INCOME</v>
      </c>
      <c r="C303" s="11"/>
      <c r="D303" s="2">
        <f>--268.24</f>
        <v>268.24</v>
      </c>
      <c r="E303" s="2"/>
      <c r="F303" s="19">
        <f t="shared" si="146"/>
        <v>1.35241073440022E-4</v>
      </c>
      <c r="G303" s="2"/>
      <c r="H303" s="2">
        <f>0</f>
        <v>0</v>
      </c>
      <c r="I303" s="2"/>
      <c r="J303" s="19">
        <f t="shared" si="147"/>
        <v>0</v>
      </c>
      <c r="K303" s="2"/>
      <c r="L303" s="2">
        <f t="shared" si="148"/>
        <v>268.24</v>
      </c>
      <c r="M303" s="2"/>
      <c r="N303" s="19">
        <f t="shared" si="149"/>
        <v>0</v>
      </c>
      <c r="O303" s="11"/>
      <c r="P303" s="2">
        <f>--87492.51</f>
        <v>87492.51</v>
      </c>
      <c r="Q303" s="2"/>
      <c r="R303" s="19">
        <f t="shared" si="150"/>
        <v>4.839768092821323E-3</v>
      </c>
      <c r="S303" s="2"/>
      <c r="T303" s="2">
        <f>--649.77</f>
        <v>649.77</v>
      </c>
      <c r="U303" s="2"/>
      <c r="V303" s="19">
        <f t="shared" si="151"/>
        <v>3.5438275024922217E-5</v>
      </c>
      <c r="W303" s="2"/>
      <c r="X303" s="2">
        <f t="shared" si="152"/>
        <v>86842.739999999991</v>
      </c>
      <c r="Y303" s="2"/>
      <c r="Z303" s="19">
        <f t="shared" si="153"/>
        <v>133.65150745648458</v>
      </c>
    </row>
    <row r="304" spans="1:26" s="24" customFormat="1" hidden="1" outlineLevel="1" x14ac:dyDescent="0.25">
      <c r="A304" s="44"/>
      <c r="B304" s="11" t="str">
        <f>CONCATENATE("          ", "9152", " - ", "MISC. INCOME")</f>
        <v xml:space="preserve">          9152 - MISC. INCOME</v>
      </c>
      <c r="C304" s="11"/>
      <c r="D304" s="2">
        <f>--3382.44</f>
        <v>3382.44</v>
      </c>
      <c r="E304" s="2"/>
      <c r="F304" s="19">
        <f t="shared" si="146"/>
        <v>1.7053564585686996E-3</v>
      </c>
      <c r="G304" s="2"/>
      <c r="H304" s="2">
        <f>--590.17</f>
        <v>590.16999999999996</v>
      </c>
      <c r="I304" s="2"/>
      <c r="J304" s="19">
        <f t="shared" si="147"/>
        <v>2.4598930048869952E-4</v>
      </c>
      <c r="K304" s="2"/>
      <c r="L304" s="2">
        <f t="shared" si="148"/>
        <v>2792.27</v>
      </c>
      <c r="M304" s="2"/>
      <c r="N304" s="19">
        <f t="shared" si="149"/>
        <v>4.7312977616618941</v>
      </c>
      <c r="O304" s="11"/>
      <c r="P304" s="2">
        <f>--4230.76</f>
        <v>4230.76</v>
      </c>
      <c r="Q304" s="2"/>
      <c r="R304" s="19">
        <f t="shared" si="150"/>
        <v>2.3403028735128004E-4</v>
      </c>
      <c r="S304" s="2"/>
      <c r="T304" s="2">
        <f>--3845.08</f>
        <v>3845.08</v>
      </c>
      <c r="U304" s="2"/>
      <c r="V304" s="19">
        <f t="shared" si="151"/>
        <v>2.0970959344510817E-4</v>
      </c>
      <c r="W304" s="2"/>
      <c r="X304" s="2">
        <f t="shared" si="152"/>
        <v>385.68000000000029</v>
      </c>
      <c r="Y304" s="2"/>
      <c r="Z304" s="19">
        <f t="shared" si="153"/>
        <v>0.10030480510158445</v>
      </c>
    </row>
    <row r="305" spans="1:26" s="24" customFormat="1" hidden="1" outlineLevel="1" x14ac:dyDescent="0.25">
      <c r="A305" s="44"/>
      <c r="B305" s="11" t="str">
        <f>CONCATENATE("          ", "9153", " - ", "MISC. INCOME")</f>
        <v xml:space="preserve">          9153 - MISC. INCOME</v>
      </c>
      <c r="C305" s="11"/>
      <c r="D305" s="2">
        <f t="shared" ref="D305:D307" si="157">0</f>
        <v>0</v>
      </c>
      <c r="E305" s="2"/>
      <c r="F305" s="19">
        <f t="shared" si="146"/>
        <v>0</v>
      </c>
      <c r="G305" s="2"/>
      <c r="H305" s="2">
        <f t="shared" ref="H305:H308" si="158">0</f>
        <v>0</v>
      </c>
      <c r="I305" s="2"/>
      <c r="J305" s="19">
        <f t="shared" si="147"/>
        <v>0</v>
      </c>
      <c r="K305" s="2"/>
      <c r="L305" s="2">
        <f t="shared" si="148"/>
        <v>0</v>
      </c>
      <c r="M305" s="2"/>
      <c r="N305" s="19">
        <f t="shared" si="149"/>
        <v>0</v>
      </c>
      <c r="O305" s="11"/>
      <c r="P305" s="2">
        <f>--450</f>
        <v>450</v>
      </c>
      <c r="Q305" s="2"/>
      <c r="R305" s="19">
        <f t="shared" si="150"/>
        <v>2.4892366692527113E-5</v>
      </c>
      <c r="S305" s="2"/>
      <c r="T305" s="2">
        <f>0</f>
        <v>0</v>
      </c>
      <c r="U305" s="2"/>
      <c r="V305" s="19">
        <f t="shared" si="151"/>
        <v>0</v>
      </c>
      <c r="W305" s="2"/>
      <c r="X305" s="2">
        <f t="shared" si="152"/>
        <v>450</v>
      </c>
      <c r="Y305" s="2"/>
      <c r="Z305" s="19">
        <f t="shared" si="153"/>
        <v>0</v>
      </c>
    </row>
    <row r="306" spans="1:26" s="24" customFormat="1" hidden="1" outlineLevel="1" x14ac:dyDescent="0.25">
      <c r="A306" s="44"/>
      <c r="B306" s="11" t="str">
        <f>CONCATENATE("          ", "9160", " - ", "MISC. INCOME")</f>
        <v xml:space="preserve">          9160 - MISC. INCOME</v>
      </c>
      <c r="C306" s="11"/>
      <c r="D306" s="2">
        <f t="shared" si="157"/>
        <v>0</v>
      </c>
      <c r="E306" s="2"/>
      <c r="F306" s="19">
        <f t="shared" si="146"/>
        <v>0</v>
      </c>
      <c r="G306" s="2"/>
      <c r="H306" s="2">
        <f t="shared" si="158"/>
        <v>0</v>
      </c>
      <c r="I306" s="2"/>
      <c r="J306" s="19">
        <f t="shared" si="147"/>
        <v>0</v>
      </c>
      <c r="K306" s="2"/>
      <c r="L306" s="2">
        <f t="shared" si="148"/>
        <v>0</v>
      </c>
      <c r="M306" s="2"/>
      <c r="N306" s="19">
        <f t="shared" si="149"/>
        <v>0</v>
      </c>
      <c r="O306" s="11"/>
      <c r="P306" s="2">
        <f>--126525.2</f>
        <v>126525.2</v>
      </c>
      <c r="Q306" s="2"/>
      <c r="R306" s="19">
        <f t="shared" si="150"/>
        <v>6.9989148316562926E-3</v>
      </c>
      <c r="S306" s="2"/>
      <c r="T306" s="2">
        <f>--60846.02</f>
        <v>60846.02</v>
      </c>
      <c r="U306" s="2"/>
      <c r="V306" s="19">
        <f t="shared" si="151"/>
        <v>3.3185250025884816E-3</v>
      </c>
      <c r="W306" s="2"/>
      <c r="X306" s="2">
        <f t="shared" si="152"/>
        <v>65679.179999999993</v>
      </c>
      <c r="Y306" s="2"/>
      <c r="Z306" s="19">
        <f t="shared" si="153"/>
        <v>1.0794326399656049</v>
      </c>
    </row>
    <row r="307" spans="1:26" s="24" customFormat="1" hidden="1" outlineLevel="1" x14ac:dyDescent="0.25">
      <c r="A307" s="44"/>
      <c r="B307" s="11" t="str">
        <f>CONCATENATE("          ", "9163", " - ", "MISC. INCOME")</f>
        <v xml:space="preserve">          9163 - MISC. INCOME</v>
      </c>
      <c r="C307" s="11"/>
      <c r="D307" s="2">
        <f t="shared" si="157"/>
        <v>0</v>
      </c>
      <c r="E307" s="2"/>
      <c r="F307" s="19">
        <f t="shared" si="146"/>
        <v>0</v>
      </c>
      <c r="G307" s="2"/>
      <c r="H307" s="2">
        <f t="shared" si="158"/>
        <v>0</v>
      </c>
      <c r="I307" s="2"/>
      <c r="J307" s="19">
        <f t="shared" si="147"/>
        <v>0</v>
      </c>
      <c r="K307" s="2"/>
      <c r="L307" s="2">
        <f t="shared" si="148"/>
        <v>0</v>
      </c>
      <c r="M307" s="2"/>
      <c r="N307" s="19">
        <f t="shared" si="149"/>
        <v>0</v>
      </c>
      <c r="O307" s="11"/>
      <c r="P307" s="2">
        <f>--61106.55</f>
        <v>61106.55</v>
      </c>
      <c r="Q307" s="2"/>
      <c r="R307" s="19">
        <f t="shared" si="150"/>
        <v>3.3801925553672064E-3</v>
      </c>
      <c r="S307" s="2"/>
      <c r="T307" s="2">
        <f>0</f>
        <v>0</v>
      </c>
      <c r="U307" s="2"/>
      <c r="V307" s="19">
        <f t="shared" si="151"/>
        <v>0</v>
      </c>
      <c r="W307" s="2"/>
      <c r="X307" s="2">
        <f t="shared" si="152"/>
        <v>61106.55</v>
      </c>
      <c r="Y307" s="2"/>
      <c r="Z307" s="19">
        <f t="shared" si="153"/>
        <v>0</v>
      </c>
    </row>
    <row r="308" spans="1:26" s="24" customFormat="1" hidden="1" outlineLevel="1" x14ac:dyDescent="0.25">
      <c r="A308" s="44"/>
      <c r="B308" s="11" t="str">
        <f>CONCATENATE("          ", "9165", " - ", "OTHER INCOME")</f>
        <v xml:space="preserve">          9165 - OTHER INCOME</v>
      </c>
      <c r="C308" s="11"/>
      <c r="D308" s="2">
        <f>--4041.94</f>
        <v>4041.94</v>
      </c>
      <c r="E308" s="2"/>
      <c r="F308" s="19">
        <f t="shared" si="146"/>
        <v>2.0378627511935671E-3</v>
      </c>
      <c r="G308" s="2"/>
      <c r="H308" s="2">
        <f t="shared" si="158"/>
        <v>0</v>
      </c>
      <c r="I308" s="2"/>
      <c r="J308" s="19">
        <f t="shared" si="147"/>
        <v>0</v>
      </c>
      <c r="K308" s="2"/>
      <c r="L308" s="2">
        <f t="shared" si="148"/>
        <v>4041.94</v>
      </c>
      <c r="M308" s="2"/>
      <c r="N308" s="19">
        <f t="shared" si="149"/>
        <v>0</v>
      </c>
      <c r="O308" s="11"/>
      <c r="P308" s="2">
        <f>--227416.06</f>
        <v>227416.06</v>
      </c>
      <c r="Q308" s="2"/>
      <c r="R308" s="19">
        <f t="shared" si="150"/>
        <v>1.2579831016199439E-2</v>
      </c>
      <c r="S308" s="2"/>
      <c r="T308" s="2">
        <f>--217931</f>
        <v>217931</v>
      </c>
      <c r="U308" s="2"/>
      <c r="V308" s="19">
        <f t="shared" si="151"/>
        <v>1.1885896108555834E-2</v>
      </c>
      <c r="W308" s="2"/>
      <c r="X308" s="2">
        <f t="shared" si="152"/>
        <v>9485.0599999999977</v>
      </c>
      <c r="Y308" s="2"/>
      <c r="Z308" s="19">
        <f t="shared" si="153"/>
        <v>4.3523225241016643E-2</v>
      </c>
    </row>
    <row r="309" spans="1:26" x14ac:dyDescent="0.25">
      <c r="A309" s="9"/>
      <c r="B309" s="10"/>
      <c r="C309" s="10"/>
      <c r="D309" s="3"/>
      <c r="E309" s="3"/>
      <c r="F309" s="8"/>
      <c r="G309" s="3"/>
      <c r="H309" s="3"/>
      <c r="I309" s="3"/>
      <c r="J309" s="8"/>
      <c r="K309" s="3"/>
      <c r="L309" s="3"/>
      <c r="M309" s="3"/>
      <c r="N309" s="8"/>
      <c r="O309" s="10"/>
      <c r="P309" s="3"/>
      <c r="Q309" s="3"/>
      <c r="R309" s="8"/>
      <c r="S309" s="3"/>
      <c r="T309" s="3"/>
      <c r="U309" s="3"/>
      <c r="V309" s="8"/>
      <c r="W309" s="3"/>
      <c r="X309" s="3"/>
      <c r="Y309" s="3"/>
      <c r="Z309" s="8"/>
    </row>
    <row r="310" spans="1:26" s="23" customFormat="1" x14ac:dyDescent="0.25">
      <c r="A310" s="10"/>
      <c r="B310" s="29" t="s">
        <v>3</v>
      </c>
      <c r="C310" s="29"/>
      <c r="D310" s="20">
        <f>+D198-D200+D295</f>
        <v>-38658.979999999276</v>
      </c>
      <c r="E310" s="14"/>
      <c r="F310" s="21">
        <f>IF(D$12=0,0,D310/D$12)</f>
        <v>-1.9491060070445286E-2</v>
      </c>
      <c r="G310" s="14"/>
      <c r="H310" s="20">
        <f>+H198-H200+H295</f>
        <v>260149.15999999992</v>
      </c>
      <c r="I310" s="14"/>
      <c r="J310" s="21">
        <f>IF(H$12=0,0,H310/H$12)</f>
        <v>0.10843301064290417</v>
      </c>
      <c r="K310" s="15"/>
      <c r="L310" s="20">
        <f>+D310-H310</f>
        <v>-298808.1399999992</v>
      </c>
      <c r="M310" s="15"/>
      <c r="N310" s="21">
        <f>IF(H310=0,0,L310/H310)</f>
        <v>-1.1486031321415733</v>
      </c>
      <c r="O310" s="28"/>
      <c r="P310" s="20">
        <f>+P198-P200+P295</f>
        <v>2167793.3600000092</v>
      </c>
      <c r="Q310" s="14"/>
      <c r="R310" s="21">
        <f>IF(P$12=0,0,P310/P$12)</f>
        <v>0.11991446051276815</v>
      </c>
      <c r="S310" s="14"/>
      <c r="T310" s="20">
        <f>+T198-T200+T295</f>
        <v>2541305.2900000038</v>
      </c>
      <c r="U310" s="14"/>
      <c r="V310" s="21">
        <f>IF(T$12=0,0,T310/T$12)</f>
        <v>0.13860208349001932</v>
      </c>
      <c r="W310" s="15"/>
      <c r="X310" s="20">
        <f>+P310-T310</f>
        <v>-373511.92999999458</v>
      </c>
      <c r="Y310" s="15"/>
      <c r="Z310" s="21">
        <f>IF(T310=0,0,X310/T310)</f>
        <v>-0.14697641069325992</v>
      </c>
    </row>
    <row r="311" spans="1:26" x14ac:dyDescent="0.25">
      <c r="A311" s="9"/>
      <c r="B311" s="10"/>
      <c r="C311" s="9"/>
      <c r="D311" s="3"/>
      <c r="E311" s="3"/>
      <c r="F311" s="8"/>
      <c r="G311" s="3"/>
      <c r="H311" s="3"/>
      <c r="I311" s="3"/>
      <c r="J311" s="8"/>
      <c r="K311" s="3"/>
      <c r="L311" s="3"/>
      <c r="M311" s="3"/>
      <c r="N311" s="8"/>
      <c r="P311" s="3"/>
      <c r="Q311" s="3"/>
      <c r="R311" s="8"/>
      <c r="S311" s="3"/>
      <c r="T311" s="3"/>
      <c r="U311" s="3"/>
      <c r="V311" s="8"/>
      <c r="W311" s="3"/>
      <c r="X311" s="3"/>
      <c r="Y311" s="3"/>
      <c r="Z311" s="8"/>
    </row>
    <row r="312" spans="1:26" s="23" customFormat="1" x14ac:dyDescent="0.25">
      <c r="A312" s="51"/>
      <c r="B312" s="10" t="s">
        <v>13</v>
      </c>
      <c r="C312" s="10"/>
      <c r="D312" s="4">
        <v>248255.84000000003</v>
      </c>
      <c r="E312" s="4"/>
      <c r="F312" s="12">
        <f>IF(D$12=0,0,D312/D$12)</f>
        <v>0.12516547229851757</v>
      </c>
      <c r="G312" s="4"/>
      <c r="H312" s="4">
        <v>301818.57</v>
      </c>
      <c r="I312" s="4"/>
      <c r="J312" s="12">
        <f>IF(H$12=0,0,H312/H$12)</f>
        <v>0.12580127574902078</v>
      </c>
      <c r="K312" s="4"/>
      <c r="L312" s="4">
        <f>+D312-H312</f>
        <v>-53562.729999999981</v>
      </c>
      <c r="M312" s="4"/>
      <c r="N312" s="12">
        <f>IF(H312=0,0,L312/H312)</f>
        <v>-0.17746664825825653</v>
      </c>
      <c r="O312" s="10"/>
      <c r="P312" s="4">
        <v>1952544.9800000002</v>
      </c>
      <c r="Q312" s="4"/>
      <c r="R312" s="12">
        <f>IF(P$12=0,0,P312/P$12)</f>
        <v>0.10800770139069561</v>
      </c>
      <c r="S312" s="4"/>
      <c r="T312" s="4">
        <v>1978652.16</v>
      </c>
      <c r="U312" s="4"/>
      <c r="V312" s="12">
        <f>IF(T$12=0,0,T312/T$12)</f>
        <v>0.10791513831776844</v>
      </c>
      <c r="W312" s="4"/>
      <c r="X312" s="4">
        <f>+P312-T312</f>
        <v>-26107.179999999702</v>
      </c>
      <c r="Y312" s="4"/>
      <c r="Z312" s="12">
        <f>IF(T312=0,0,X312/T312)</f>
        <v>-1.3194426250240822E-2</v>
      </c>
    </row>
    <row r="313" spans="1:26" x14ac:dyDescent="0.25">
      <c r="A313" s="9"/>
      <c r="B313" s="10"/>
      <c r="C313" s="10"/>
      <c r="D313" s="3"/>
      <c r="E313" s="3"/>
      <c r="F313" s="8"/>
      <c r="G313" s="3"/>
      <c r="H313" s="3"/>
      <c r="I313" s="3"/>
      <c r="J313" s="8"/>
      <c r="K313" s="3"/>
      <c r="L313" s="3"/>
      <c r="M313" s="3"/>
      <c r="N313" s="8"/>
      <c r="O313" s="10"/>
      <c r="P313" s="3"/>
      <c r="Q313" s="3"/>
      <c r="R313" s="8"/>
      <c r="S313" s="3"/>
      <c r="T313" s="3"/>
      <c r="U313" s="3"/>
      <c r="V313" s="8"/>
      <c r="W313" s="3"/>
      <c r="X313" s="3"/>
      <c r="Y313" s="3"/>
      <c r="Z313" s="8"/>
    </row>
    <row r="314" spans="1:26" s="23" customFormat="1" ht="15.75" thickBot="1" x14ac:dyDescent="0.3">
      <c r="A314" s="10"/>
      <c r="B314" s="29" t="s">
        <v>4</v>
      </c>
      <c r="C314" s="29"/>
      <c r="D314" s="32">
        <f>+D310-D312</f>
        <v>-286914.81999999931</v>
      </c>
      <c r="E314" s="14"/>
      <c r="F314" s="30">
        <f>IF(D$12=0,0,D314/D$12)</f>
        <v>-0.14465653236896284</v>
      </c>
      <c r="G314" s="14"/>
      <c r="H314" s="32">
        <f>+H310-H312</f>
        <v>-41669.410000000091</v>
      </c>
      <c r="I314" s="14"/>
      <c r="J314" s="30">
        <f>IF(H$12=0,0,H314/H$12)</f>
        <v>-1.7368265106116616E-2</v>
      </c>
      <c r="K314" s="15"/>
      <c r="L314" s="32">
        <f>D314-H314</f>
        <v>-245245.40999999922</v>
      </c>
      <c r="M314" s="15"/>
      <c r="N314" s="30">
        <f>IF(H314=0,0,L314/H314)</f>
        <v>5.8855023385259999</v>
      </c>
      <c r="O314" s="28"/>
      <c r="P314" s="32">
        <f>+P310-P312</f>
        <v>215248.38000000897</v>
      </c>
      <c r="Q314" s="14"/>
      <c r="R314" s="30">
        <f>IF(P$12=0,0,P314/P$12)</f>
        <v>1.1906759122072539E-2</v>
      </c>
      <c r="S314" s="14"/>
      <c r="T314" s="32">
        <f>+T310-T312</f>
        <v>562653.13000000385</v>
      </c>
      <c r="U314" s="14"/>
      <c r="V314" s="30">
        <f>IF(T$12=0,0,T314/T$12)</f>
        <v>3.0686945172250877E-2</v>
      </c>
      <c r="W314" s="15"/>
      <c r="X314" s="32">
        <f>P314-T314</f>
        <v>-347404.74999999488</v>
      </c>
      <c r="Y314" s="15"/>
      <c r="Z314" s="30">
        <f>IF(T314=0,0,X314/T314)</f>
        <v>-0.61744035796973618</v>
      </c>
    </row>
    <row r="315" spans="1:26" ht="15.75" thickTop="1" x14ac:dyDescent="0.25">
      <c r="A315" s="9"/>
      <c r="B315" s="9"/>
      <c r="C315" s="9"/>
      <c r="D315" s="3"/>
      <c r="E315" s="3"/>
      <c r="F315" s="8"/>
      <c r="G315" s="3"/>
      <c r="H315" s="3"/>
      <c r="I315" s="3"/>
      <c r="J315" s="8"/>
      <c r="K315" s="3"/>
      <c r="L315" s="3"/>
      <c r="M315" s="3"/>
      <c r="N315" s="8"/>
      <c r="P315" s="3"/>
      <c r="Q315" s="3"/>
      <c r="R315" s="8"/>
      <c r="S315" s="3"/>
      <c r="T315" s="3"/>
      <c r="U315" s="3"/>
      <c r="V315" s="8"/>
      <c r="W315" s="3"/>
      <c r="X315" s="3"/>
      <c r="Y315" s="3"/>
      <c r="Z315" s="8"/>
    </row>
    <row r="316" spans="1:26" s="23" customFormat="1" x14ac:dyDescent="0.25">
      <c r="A316" s="51"/>
      <c r="B316" s="10" t="s">
        <v>2</v>
      </c>
      <c r="C316" s="10"/>
      <c r="D316" s="4">
        <f>--207006.23</f>
        <v>207006.23</v>
      </c>
      <c r="E316" s="4"/>
      <c r="F316" s="12">
        <f t="shared" ref="F316:F317" si="159">IF(D$12=0,0,D316/D$12)</f>
        <v>0.10436827003419358</v>
      </c>
      <c r="G316" s="4"/>
      <c r="H316" s="4">
        <f>-752472.19</f>
        <v>-752472.19</v>
      </c>
      <c r="I316" s="4"/>
      <c r="J316" s="12">
        <f t="shared" ref="J316:J317" si="160">IF(H$12=0,0,H316/H$12)</f>
        <v>-0.31363862557449512</v>
      </c>
      <c r="K316" s="4"/>
      <c r="L316" s="4">
        <f t="shared" ref="L316:L317" si="161">+D316-H316</f>
        <v>959478.41999999993</v>
      </c>
      <c r="M316" s="4"/>
      <c r="N316" s="12">
        <f t="shared" ref="N316:N317" si="162">IF(H316=0,0,L316/H316)</f>
        <v>-1.2751015024223022</v>
      </c>
      <c r="O316" s="10"/>
      <c r="P316" s="4">
        <f>--524210.9</f>
        <v>524210.9</v>
      </c>
      <c r="Q316" s="4"/>
      <c r="R316" s="12">
        <f t="shared" ref="R316:R317" si="163">IF(P$12=0,0,P316/P$12)</f>
        <v>2.8997444326710361E-2</v>
      </c>
      <c r="S316" s="4"/>
      <c r="T316" s="4">
        <f>-1190804.75</f>
        <v>-1190804.75</v>
      </c>
      <c r="U316" s="4"/>
      <c r="V316" s="12">
        <f t="shared" ref="V316:V317" si="164">IF(T$12=0,0,T316/T$12)</f>
        <v>-6.4946159766507763E-2</v>
      </c>
      <c r="W316" s="4"/>
      <c r="X316" s="4">
        <f t="shared" ref="X316:X317" si="165">+P316-T316</f>
        <v>1715015.65</v>
      </c>
      <c r="Y316" s="4"/>
      <c r="Z316" s="12">
        <f t="shared" ref="Z316:Z317" si="166">IF(T316=0,0,X316/T316)</f>
        <v>-1.4402156608797536</v>
      </c>
    </row>
    <row r="317" spans="1:26" s="23" customFormat="1" x14ac:dyDescent="0.25">
      <c r="A317" s="51"/>
      <c r="B317" s="10" t="s">
        <v>1</v>
      </c>
      <c r="C317" s="10"/>
      <c r="D317" s="4">
        <f>--80889.64</f>
        <v>80889.64</v>
      </c>
      <c r="E317" s="4"/>
      <c r="F317" s="12">
        <f t="shared" si="159"/>
        <v>4.0782887502896437E-2</v>
      </c>
      <c r="G317" s="4"/>
      <c r="H317" s="4">
        <f>--256198.07</f>
        <v>256198.07</v>
      </c>
      <c r="I317" s="4"/>
      <c r="J317" s="12">
        <f t="shared" si="160"/>
        <v>0.10678615318612414</v>
      </c>
      <c r="K317" s="4"/>
      <c r="L317" s="4">
        <f t="shared" si="161"/>
        <v>-175308.43</v>
      </c>
      <c r="M317" s="4"/>
      <c r="N317" s="12">
        <f t="shared" si="162"/>
        <v>-0.68426912817883445</v>
      </c>
      <c r="O317" s="10"/>
      <c r="P317" s="4">
        <f>--159064.94</f>
        <v>159064.94</v>
      </c>
      <c r="Q317" s="4"/>
      <c r="R317" s="12">
        <f t="shared" si="163"/>
        <v>8.7988951431218314E-3</v>
      </c>
      <c r="S317" s="4"/>
      <c r="T317" s="4">
        <f>--327639.92</f>
        <v>327639.92</v>
      </c>
      <c r="U317" s="4"/>
      <c r="V317" s="12">
        <f t="shared" si="164"/>
        <v>1.7869390082803936E-2</v>
      </c>
      <c r="W317" s="4"/>
      <c r="X317" s="4">
        <f t="shared" si="165"/>
        <v>-168574.97999999998</v>
      </c>
      <c r="Y317" s="4"/>
      <c r="Z317" s="12">
        <f t="shared" si="166"/>
        <v>-0.51451294457647279</v>
      </c>
    </row>
    <row r="318" spans="1:26" x14ac:dyDescent="0.25">
      <c r="A318" s="9"/>
      <c r="B318" s="9"/>
      <c r="C318" s="9"/>
      <c r="D318" s="3"/>
      <c r="E318" s="3"/>
      <c r="F318" s="8"/>
      <c r="G318" s="3"/>
      <c r="H318" s="3"/>
      <c r="I318" s="3"/>
      <c r="J318" s="8"/>
      <c r="K318" s="3"/>
      <c r="L318" s="3"/>
      <c r="M318" s="3"/>
      <c r="N318" s="8"/>
      <c r="P318" s="3"/>
      <c r="Q318" s="3"/>
      <c r="R318" s="8"/>
      <c r="S318" s="3"/>
      <c r="T318" s="3"/>
      <c r="U318" s="3"/>
      <c r="V318" s="8"/>
      <c r="W318" s="3"/>
      <c r="X318" s="3"/>
      <c r="Y318" s="3"/>
      <c r="Z318" s="8"/>
    </row>
    <row r="319" spans="1:26" s="23" customFormat="1" ht="15.75" thickBot="1" x14ac:dyDescent="0.3">
      <c r="A319" s="10"/>
      <c r="B319" s="29" t="s">
        <v>5</v>
      </c>
      <c r="C319" s="29"/>
      <c r="D319" s="36">
        <f>SUM(D314:D318)</f>
        <v>981.0500000007014</v>
      </c>
      <c r="E319" s="14"/>
      <c r="F319" s="31">
        <f>IF(D$12=0,0,D319/D$12)</f>
        <v>4.9462516812715635E-4</v>
      </c>
      <c r="G319" s="14"/>
      <c r="H319" s="36">
        <f>SUM(H314:H318)</f>
        <v>-537943.53</v>
      </c>
      <c r="I319" s="14"/>
      <c r="J319" s="31">
        <f>IF(H$12=0,0,H319/H$12)</f>
        <v>-0.22422073749448762</v>
      </c>
      <c r="K319" s="15"/>
      <c r="L319" s="36">
        <f>+D319-H319</f>
        <v>538924.58000000077</v>
      </c>
      <c r="M319" s="15"/>
      <c r="N319" s="31">
        <f>IF(H319=0,0,L319/H319)</f>
        <v>-1.0018237044323235</v>
      </c>
      <c r="O319" s="28"/>
      <c r="P319" s="36">
        <f>SUM(P314:P318)</f>
        <v>898524.22000000905</v>
      </c>
      <c r="Q319" s="14"/>
      <c r="R319" s="31">
        <f>IF(P$12=0,0,P319/P$12)</f>
        <v>4.9703098591904735E-2</v>
      </c>
      <c r="S319" s="14"/>
      <c r="T319" s="36">
        <f>SUM(T314:T318)</f>
        <v>-300511.69999999617</v>
      </c>
      <c r="U319" s="14"/>
      <c r="V319" s="31">
        <f>IF(T$12=0,0,T319/T$12)</f>
        <v>-1.638982451145295E-2</v>
      </c>
      <c r="W319" s="15"/>
      <c r="X319" s="36">
        <f>+P319-T319</f>
        <v>1199035.9200000053</v>
      </c>
      <c r="Y319" s="15"/>
      <c r="Z319" s="31">
        <f>IF(T319=0,0,X319/T319)</f>
        <v>-3.9899808227101325</v>
      </c>
    </row>
    <row r="320" spans="1:26" ht="15.75" thickTop="1" x14ac:dyDescent="0.25">
      <c r="A320" s="9"/>
      <c r="C320" s="9"/>
      <c r="D320" s="17"/>
      <c r="E320" s="17"/>
      <c r="G320" s="17"/>
      <c r="H320" s="17"/>
      <c r="I320" s="17"/>
      <c r="J320" s="42"/>
      <c r="K320" s="17"/>
      <c r="L320" s="17"/>
      <c r="M320" s="17"/>
      <c r="P320" s="17"/>
      <c r="Q320" s="17"/>
      <c r="R320" s="42"/>
      <c r="S320" s="17"/>
      <c r="T320" s="17"/>
      <c r="U320" s="17"/>
      <c r="V320" s="42"/>
      <c r="W320" s="17"/>
      <c r="X320" s="17"/>
    </row>
    <row r="321" spans="1:24" x14ac:dyDescent="0.25">
      <c r="A321" s="9"/>
      <c r="B321" s="62">
        <v>43847.453041319444</v>
      </c>
      <c r="D321" s="17"/>
      <c r="E321" s="17"/>
      <c r="G321" s="17"/>
      <c r="H321" s="17"/>
      <c r="I321" s="17"/>
      <c r="J321" s="42"/>
      <c r="K321" s="17"/>
      <c r="L321" s="17"/>
      <c r="M321" s="17"/>
      <c r="P321" s="17"/>
      <c r="Q321" s="17"/>
      <c r="R321" s="42"/>
      <c r="S321" s="17"/>
      <c r="T321" s="17"/>
      <c r="U321" s="17"/>
      <c r="V321" s="42"/>
      <c r="W321" s="17"/>
      <c r="X321" s="17"/>
    </row>
    <row r="322" spans="1:24" x14ac:dyDescent="0.25">
      <c r="A322" s="9"/>
      <c r="B322" s="56" t="s">
        <v>313</v>
      </c>
      <c r="D322" s="17"/>
      <c r="E322" s="17"/>
      <c r="G322" s="17"/>
      <c r="H322" s="17"/>
      <c r="I322" s="17"/>
      <c r="J322" s="42"/>
      <c r="K322" s="17"/>
      <c r="L322" s="17"/>
      <c r="M322" s="17"/>
      <c r="P322" s="17"/>
      <c r="Q322" s="17"/>
      <c r="R322" s="42"/>
      <c r="S322" s="17"/>
      <c r="T322" s="17"/>
      <c r="U322" s="17"/>
      <c r="V322" s="42"/>
      <c r="W322" s="17"/>
      <c r="X322" s="17"/>
    </row>
    <row r="323" spans="1:24" x14ac:dyDescent="0.25">
      <c r="A323" s="9"/>
      <c r="B323" s="54"/>
      <c r="D323" s="17"/>
      <c r="E323" s="17"/>
      <c r="G323" s="17"/>
      <c r="H323" s="17"/>
      <c r="I323" s="17"/>
      <c r="J323" s="42"/>
      <c r="K323" s="17"/>
      <c r="L323" s="17"/>
      <c r="M323" s="17"/>
      <c r="P323" s="17"/>
      <c r="Q323" s="17"/>
      <c r="R323" s="42"/>
      <c r="S323" s="17"/>
      <c r="T323" s="17"/>
      <c r="U323" s="17"/>
      <c r="V323" s="42"/>
      <c r="W323" s="17"/>
      <c r="X323" s="17"/>
    </row>
    <row r="324" spans="1:24" x14ac:dyDescent="0.25">
      <c r="D324" s="17"/>
      <c r="E324" s="17"/>
      <c r="G324" s="17"/>
      <c r="H324" s="17"/>
      <c r="I324" s="17"/>
      <c r="J324" s="42"/>
      <c r="K324" s="17"/>
      <c r="L324" s="17"/>
      <c r="M324" s="17"/>
      <c r="P324" s="17"/>
      <c r="Q324" s="17"/>
      <c r="R324" s="42"/>
      <c r="S324" s="17"/>
      <c r="T324" s="17"/>
      <c r="U324" s="17"/>
      <c r="V324" s="42"/>
      <c r="W324" s="17"/>
      <c r="X324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300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300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296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296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310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310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297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4"/>
      <c r="L18" s="22">
        <f>+D18-H18</f>
        <v>0</v>
      </c>
      <c r="M18" s="4"/>
      <c r="N18" s="33">
        <f>IF(H18=0,0,L18/H18)</f>
        <v>0</v>
      </c>
      <c r="O18" s="10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4"/>
      <c r="X18" s="22">
        <f>+P18-T18</f>
        <v>0</v>
      </c>
      <c r="Y18" s="4"/>
      <c r="Z18" s="33">
        <f>IF(T18=0,0,X18/T18)</f>
        <v>0</v>
      </c>
    </row>
    <row r="19" spans="1:26" s="61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8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2">
        <f>+D22-D24</f>
        <v>0</v>
      </c>
      <c r="E26" s="14"/>
      <c r="F26" s="30">
        <f>IF(D$12=0,0,D26/D$12)</f>
        <v>0</v>
      </c>
      <c r="G26" s="14"/>
      <c r="H26" s="32">
        <f>+H22-H24</f>
        <v>0</v>
      </c>
      <c r="I26" s="14"/>
      <c r="J26" s="30">
        <f>IF(H$12=0,0,H26/H$12)</f>
        <v>0</v>
      </c>
      <c r="K26" s="15"/>
      <c r="L26" s="32">
        <f>D26-H26</f>
        <v>0</v>
      </c>
      <c r="M26" s="15"/>
      <c r="N26" s="30">
        <f>IF(H26=0,0,L26/H26)</f>
        <v>0</v>
      </c>
      <c r="O26" s="28"/>
      <c r="P26" s="32">
        <f>+P22-P24</f>
        <v>0</v>
      </c>
      <c r="Q26" s="14"/>
      <c r="R26" s="30">
        <f>IF(P$12=0,0,P26/P$12)</f>
        <v>0</v>
      </c>
      <c r="S26" s="14"/>
      <c r="T26" s="32">
        <f>+T22-T24</f>
        <v>0</v>
      </c>
      <c r="U26" s="14"/>
      <c r="V26" s="30">
        <f>IF(T$12=0,0,T26/T$12)</f>
        <v>0</v>
      </c>
      <c r="W26" s="15"/>
      <c r="X26" s="32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--207006.23</f>
        <v>207006.23</v>
      </c>
      <c r="E28" s="4"/>
      <c r="F28" s="12">
        <f t="shared" ref="F28:F29" si="0">IF(D$12=0,0,D28/D$12)</f>
        <v>0</v>
      </c>
      <c r="G28" s="4"/>
      <c r="H28" s="4">
        <f>-752472.19</f>
        <v>-752472.19</v>
      </c>
      <c r="I28" s="4"/>
      <c r="J28" s="12">
        <f t="shared" ref="J28:J29" si="1">IF(H$12=0,0,H28/H$12)</f>
        <v>0</v>
      </c>
      <c r="K28" s="4"/>
      <c r="L28" s="4">
        <f t="shared" ref="L28:L29" si="2">+D28-H28</f>
        <v>959478.41999999993</v>
      </c>
      <c r="M28" s="4"/>
      <c r="N28" s="12">
        <f t="shared" ref="N28:N29" si="3">IF(H28=0,0,L28/H28)</f>
        <v>-1.2751015024223022</v>
      </c>
      <c r="O28" s="10"/>
      <c r="P28" s="4">
        <f>--524210.9</f>
        <v>524210.9</v>
      </c>
      <c r="Q28" s="4"/>
      <c r="R28" s="12">
        <f t="shared" ref="R28:R29" si="4">IF(P$12=0,0,P28/P$12)</f>
        <v>0</v>
      </c>
      <c r="S28" s="4"/>
      <c r="T28" s="4">
        <f>-1190804.75</f>
        <v>-1190804.75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1715015.65</v>
      </c>
      <c r="Y28" s="4"/>
      <c r="Z28" s="12">
        <f t="shared" ref="Z28:Z29" si="7">IF(T28=0,0,X28/T28)</f>
        <v>-1.4402156608797536</v>
      </c>
    </row>
    <row r="29" spans="1:26" s="23" customFormat="1" x14ac:dyDescent="0.25">
      <c r="A29" s="51"/>
      <c r="B29" s="10" t="s">
        <v>1</v>
      </c>
      <c r="C29" s="10"/>
      <c r="D29" s="4">
        <f>--80889.64</f>
        <v>80889.64</v>
      </c>
      <c r="E29" s="4"/>
      <c r="F29" s="12">
        <f t="shared" si="0"/>
        <v>0</v>
      </c>
      <c r="G29" s="4"/>
      <c r="H29" s="4">
        <f>--256198.07</f>
        <v>256198.07</v>
      </c>
      <c r="I29" s="4"/>
      <c r="J29" s="12">
        <f t="shared" si="1"/>
        <v>0</v>
      </c>
      <c r="K29" s="4"/>
      <c r="L29" s="4">
        <f t="shared" si="2"/>
        <v>-175308.43</v>
      </c>
      <c r="M29" s="4"/>
      <c r="N29" s="12">
        <f t="shared" si="3"/>
        <v>-0.68426912817883445</v>
      </c>
      <c r="O29" s="10"/>
      <c r="P29" s="4">
        <f>--159064.94</f>
        <v>159064.94</v>
      </c>
      <c r="Q29" s="4"/>
      <c r="R29" s="12">
        <f t="shared" si="4"/>
        <v>0</v>
      </c>
      <c r="S29" s="4"/>
      <c r="T29" s="4">
        <f>--327639.92</f>
        <v>327639.92</v>
      </c>
      <c r="U29" s="4"/>
      <c r="V29" s="12">
        <f t="shared" si="5"/>
        <v>0</v>
      </c>
      <c r="W29" s="4"/>
      <c r="X29" s="4">
        <f t="shared" si="6"/>
        <v>-168574.97999999998</v>
      </c>
      <c r="Y29" s="4"/>
      <c r="Z29" s="12">
        <f t="shared" si="7"/>
        <v>-0.51451294457647279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6">
        <f>SUM(D26:D30)</f>
        <v>287895.87</v>
      </c>
      <c r="E31" s="14"/>
      <c r="F31" s="31">
        <f>IF(D$12=0,0,D31/D$12)</f>
        <v>0</v>
      </c>
      <c r="G31" s="14"/>
      <c r="H31" s="36">
        <f>SUM(H26:H30)</f>
        <v>-496274.11999999994</v>
      </c>
      <c r="I31" s="14"/>
      <c r="J31" s="31">
        <f>IF(H$12=0,0,H31/H$12)</f>
        <v>0</v>
      </c>
      <c r="K31" s="15"/>
      <c r="L31" s="36">
        <f>+D31-H31</f>
        <v>784169.99</v>
      </c>
      <c r="M31" s="15"/>
      <c r="N31" s="31">
        <f>IF(H31=0,0,L31/H31)</f>
        <v>-1.5801146148825977</v>
      </c>
      <c r="O31" s="28"/>
      <c r="P31" s="36">
        <f>SUM(P26:P30)</f>
        <v>683275.84000000008</v>
      </c>
      <c r="Q31" s="14"/>
      <c r="R31" s="31">
        <f>IF(P$12=0,0,P31/P$12)</f>
        <v>0</v>
      </c>
      <c r="S31" s="14"/>
      <c r="T31" s="36">
        <f>SUM(T26:T30)</f>
        <v>-863164.83000000007</v>
      </c>
      <c r="U31" s="14"/>
      <c r="V31" s="31">
        <f>IF(T$12=0,0,T31/T$12)</f>
        <v>0</v>
      </c>
      <c r="W31" s="15"/>
      <c r="X31" s="36">
        <f>+P31-T31</f>
        <v>1546440.6700000002</v>
      </c>
      <c r="Y31" s="15"/>
      <c r="Z31" s="31">
        <f>IF(T31=0,0,X31/T31)</f>
        <v>-1.7915936982742915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2">
        <v>43847.453078738428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6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4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","100", " - ", "Corporate")</f>
        <v>Department 100 - Corporate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4"/>
      <c r="L18" s="22">
        <f>+D18-H18</f>
        <v>0</v>
      </c>
      <c r="M18" s="4"/>
      <c r="N18" s="33">
        <f>IF(H18=0,0,L18/H18)</f>
        <v>0</v>
      </c>
      <c r="O18" s="10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4"/>
      <c r="X18" s="22">
        <f>+P18-T18</f>
        <v>0</v>
      </c>
      <c r="Y18" s="4"/>
      <c r="Z18" s="33">
        <f>IF(T18=0,0,X18/T18)</f>
        <v>0</v>
      </c>
    </row>
    <row r="19" spans="1:26" s="61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8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2">
        <f>+D22-D24</f>
        <v>0</v>
      </c>
      <c r="E26" s="14"/>
      <c r="F26" s="30">
        <f>IF(D$12=0,0,D26/D$12)</f>
        <v>0</v>
      </c>
      <c r="G26" s="14"/>
      <c r="H26" s="32">
        <f>+H22-H24</f>
        <v>0</v>
      </c>
      <c r="I26" s="14"/>
      <c r="J26" s="30">
        <f>IF(H$12=0,0,H26/H$12)</f>
        <v>0</v>
      </c>
      <c r="K26" s="15"/>
      <c r="L26" s="32">
        <f>D26-H26</f>
        <v>0</v>
      </c>
      <c r="M26" s="15"/>
      <c r="N26" s="30">
        <f>IF(H26=0,0,L26/H26)</f>
        <v>0</v>
      </c>
      <c r="O26" s="28"/>
      <c r="P26" s="32">
        <f>+P22-P24</f>
        <v>0</v>
      </c>
      <c r="Q26" s="14"/>
      <c r="R26" s="30">
        <f>IF(P$12=0,0,P26/P$12)</f>
        <v>0</v>
      </c>
      <c r="S26" s="14"/>
      <c r="T26" s="32">
        <f>+T22-T24</f>
        <v>0</v>
      </c>
      <c r="U26" s="14"/>
      <c r="V26" s="30">
        <f>IF(T$12=0,0,T26/T$12)</f>
        <v>0</v>
      </c>
      <c r="W26" s="15"/>
      <c r="X26" s="32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--207006.23</f>
        <v>207006.23</v>
      </c>
      <c r="E28" s="4"/>
      <c r="F28" s="12">
        <f t="shared" ref="F28:F29" si="0">IF(D$12=0,0,D28/D$12)</f>
        <v>0</v>
      </c>
      <c r="G28" s="4"/>
      <c r="H28" s="4">
        <f>-752472.19</f>
        <v>-752472.19</v>
      </c>
      <c r="I28" s="4"/>
      <c r="J28" s="12">
        <f t="shared" ref="J28:J29" si="1">IF(H$12=0,0,H28/H$12)</f>
        <v>0</v>
      </c>
      <c r="K28" s="4"/>
      <c r="L28" s="4">
        <f t="shared" ref="L28:L29" si="2">+D28-H28</f>
        <v>959478.41999999993</v>
      </c>
      <c r="M28" s="4"/>
      <c r="N28" s="12">
        <f t="shared" ref="N28:N29" si="3">IF(H28=0,0,L28/H28)</f>
        <v>-1.2751015024223022</v>
      </c>
      <c r="O28" s="10"/>
      <c r="P28" s="4">
        <f>--524210.9</f>
        <v>524210.9</v>
      </c>
      <c r="Q28" s="4"/>
      <c r="R28" s="12">
        <f t="shared" ref="R28:R29" si="4">IF(P$12=0,0,P28/P$12)</f>
        <v>0</v>
      </c>
      <c r="S28" s="4"/>
      <c r="T28" s="4">
        <f>-1190804.75</f>
        <v>-1190804.75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1715015.65</v>
      </c>
      <c r="Y28" s="4"/>
      <c r="Z28" s="12">
        <f t="shared" ref="Z28:Z29" si="7">IF(T28=0,0,X28/T28)</f>
        <v>-1.4402156608797536</v>
      </c>
    </row>
    <row r="29" spans="1:26" s="23" customFormat="1" x14ac:dyDescent="0.25">
      <c r="A29" s="51"/>
      <c r="B29" s="10" t="s">
        <v>1</v>
      </c>
      <c r="C29" s="10"/>
      <c r="D29" s="4">
        <f>--80889.64</f>
        <v>80889.64</v>
      </c>
      <c r="E29" s="4"/>
      <c r="F29" s="12">
        <f t="shared" si="0"/>
        <v>0</v>
      </c>
      <c r="G29" s="4"/>
      <c r="H29" s="4">
        <f>--256198.07</f>
        <v>256198.07</v>
      </c>
      <c r="I29" s="4"/>
      <c r="J29" s="12">
        <f t="shared" si="1"/>
        <v>0</v>
      </c>
      <c r="K29" s="4"/>
      <c r="L29" s="4">
        <f t="shared" si="2"/>
        <v>-175308.43</v>
      </c>
      <c r="M29" s="4"/>
      <c r="N29" s="12">
        <f t="shared" si="3"/>
        <v>-0.68426912817883445</v>
      </c>
      <c r="O29" s="10"/>
      <c r="P29" s="4">
        <f>--159064.94</f>
        <v>159064.94</v>
      </c>
      <c r="Q29" s="4"/>
      <c r="R29" s="12">
        <f t="shared" si="4"/>
        <v>0</v>
      </c>
      <c r="S29" s="4"/>
      <c r="T29" s="4">
        <f>--327639.92</f>
        <v>327639.92</v>
      </c>
      <c r="U29" s="4"/>
      <c r="V29" s="12">
        <f t="shared" si="5"/>
        <v>0</v>
      </c>
      <c r="W29" s="4"/>
      <c r="X29" s="4">
        <f t="shared" si="6"/>
        <v>-168574.97999999998</v>
      </c>
      <c r="Y29" s="4"/>
      <c r="Z29" s="12">
        <f t="shared" si="7"/>
        <v>-0.51451294457647279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6">
        <f>SUM(D26:D30)</f>
        <v>287895.87</v>
      </c>
      <c r="E31" s="14"/>
      <c r="F31" s="31">
        <f>IF(D$12=0,0,D31/D$12)</f>
        <v>0</v>
      </c>
      <c r="G31" s="14"/>
      <c r="H31" s="36">
        <f>SUM(H26:H30)</f>
        <v>-496274.11999999994</v>
      </c>
      <c r="I31" s="14"/>
      <c r="J31" s="31">
        <f>IF(H$12=0,0,H31/H$12)</f>
        <v>0</v>
      </c>
      <c r="K31" s="15"/>
      <c r="L31" s="36">
        <f>+D31-H31</f>
        <v>784169.99</v>
      </c>
      <c r="M31" s="15"/>
      <c r="N31" s="31">
        <f>IF(H31=0,0,L31/H31)</f>
        <v>-1.5801146148825977</v>
      </c>
      <c r="O31" s="28"/>
      <c r="P31" s="36">
        <f>SUM(P26:P30)</f>
        <v>683275.84000000008</v>
      </c>
      <c r="Q31" s="14"/>
      <c r="R31" s="31">
        <f>IF(P$12=0,0,P31/P$12)</f>
        <v>0</v>
      </c>
      <c r="S31" s="14"/>
      <c r="T31" s="36">
        <f>SUM(T26:T30)</f>
        <v>-863164.83000000007</v>
      </c>
      <c r="U31" s="14"/>
      <c r="V31" s="31">
        <f>IF(T$12=0,0,T31/T$12)</f>
        <v>0</v>
      </c>
      <c r="W31" s="15"/>
      <c r="X31" s="36">
        <f>+P31-T31</f>
        <v>1546440.6700000002</v>
      </c>
      <c r="Y31" s="15"/>
      <c r="Z31" s="31">
        <f>IF(T31=0,0,X31/T31)</f>
        <v>-1.7915936982742915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2">
        <v>43847.453432060189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6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4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298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248255.84</v>
      </c>
      <c r="E18" s="22"/>
      <c r="F18" s="33">
        <f t="shared" ref="F18:F30" si="0">IF(D$12=0,0,D18/D$12)</f>
        <v>0</v>
      </c>
      <c r="G18" s="22"/>
      <c r="H18" s="22">
        <f>SUM(OSRRefH22x_0)</f>
        <v>301818.56999999989</v>
      </c>
      <c r="I18" s="22"/>
      <c r="J18" s="33">
        <f t="shared" ref="J18:J30" si="1">IF(H$12=0,0,H18/H$12)</f>
        <v>0</v>
      </c>
      <c r="K18" s="4"/>
      <c r="L18" s="22">
        <f t="shared" ref="L18:L30" si="2">+D18-H18</f>
        <v>-53562.729999999894</v>
      </c>
      <c r="M18" s="4"/>
      <c r="N18" s="33">
        <f t="shared" ref="N18:N30" si="3">IF(H18=0,0,L18/H18)</f>
        <v>-0.17746664825825631</v>
      </c>
      <c r="O18" s="10"/>
      <c r="P18" s="22">
        <f>SUM(OSRRefP22x_0)</f>
        <v>1952544.9799999997</v>
      </c>
      <c r="Q18" s="22"/>
      <c r="R18" s="33">
        <f t="shared" ref="R18:R30" si="4">IF(P$12=0,0,P18/P$12)</f>
        <v>0</v>
      </c>
      <c r="S18" s="22"/>
      <c r="T18" s="22">
        <f>SUM(OSRRefT22x_0)</f>
        <v>1978652.1600000001</v>
      </c>
      <c r="U18" s="22"/>
      <c r="V18" s="33">
        <f t="shared" ref="V18:V30" si="5">IF(T$12=0,0,T18/T$12)</f>
        <v>0</v>
      </c>
      <c r="W18" s="4"/>
      <c r="X18" s="22">
        <f t="shared" ref="X18:X30" si="6">+P18-T18</f>
        <v>-26107.1800000004</v>
      </c>
      <c r="Y18" s="4"/>
      <c r="Z18" s="33">
        <f t="shared" ref="Z18:Z30" si="7">IF(T18=0,0,X18/T18)</f>
        <v>-1.3194426250241174E-2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81291.73</v>
      </c>
      <c r="E19" s="1"/>
      <c r="F19" s="5">
        <f t="shared" si="0"/>
        <v>0</v>
      </c>
      <c r="G19" s="1"/>
      <c r="H19" s="1">
        <f>SUM(OSRRefH22_0x_0)</f>
        <v>99062.53</v>
      </c>
      <c r="I19" s="1"/>
      <c r="J19" s="5">
        <f t="shared" si="1"/>
        <v>0</v>
      </c>
      <c r="K19" s="1"/>
      <c r="L19" s="1">
        <f t="shared" si="2"/>
        <v>-17770.800000000003</v>
      </c>
      <c r="M19" s="1"/>
      <c r="N19" s="5">
        <f t="shared" si="3"/>
        <v>-0.17938972485358493</v>
      </c>
      <c r="O19" s="13"/>
      <c r="P19" s="1">
        <f>SUM(OSRRefP22_0x_0)</f>
        <v>555415.54999999993</v>
      </c>
      <c r="Q19" s="1"/>
      <c r="R19" s="5">
        <f t="shared" si="4"/>
        <v>0</v>
      </c>
      <c r="S19" s="1"/>
      <c r="T19" s="1">
        <f>SUM(OSRRefT22_0x_0)</f>
        <v>609664.82000000007</v>
      </c>
      <c r="U19" s="1"/>
      <c r="V19" s="5">
        <f t="shared" si="5"/>
        <v>0</v>
      </c>
      <c r="W19" s="1"/>
      <c r="X19" s="1">
        <f t="shared" si="6"/>
        <v>-54249.270000000135</v>
      </c>
      <c r="Y19" s="1"/>
      <c r="Z19" s="5">
        <f t="shared" si="7"/>
        <v>-8.8982122996698623E-2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7386.85</v>
      </c>
      <c r="E20" s="2"/>
      <c r="F20" s="7">
        <f t="shared" si="0"/>
        <v>0</v>
      </c>
      <c r="G20" s="2"/>
      <c r="H20" s="6">
        <v>8171.18</v>
      </c>
      <c r="I20" s="2"/>
      <c r="J20" s="7">
        <f t="shared" si="1"/>
        <v>0</v>
      </c>
      <c r="K20" s="2"/>
      <c r="L20" s="6">
        <f t="shared" si="2"/>
        <v>-784.32999999999993</v>
      </c>
      <c r="M20" s="2"/>
      <c r="N20" s="7">
        <f t="shared" si="3"/>
        <v>-9.5987360454671156E-2</v>
      </c>
      <c r="O20" s="11"/>
      <c r="P20" s="6">
        <v>59304.5</v>
      </c>
      <c r="Q20" s="2"/>
      <c r="R20" s="7">
        <f t="shared" si="4"/>
        <v>0</v>
      </c>
      <c r="S20" s="2"/>
      <c r="T20" s="6">
        <v>60081.279999999999</v>
      </c>
      <c r="U20" s="2"/>
      <c r="V20" s="7">
        <f t="shared" si="5"/>
        <v>0</v>
      </c>
      <c r="W20" s="2"/>
      <c r="X20" s="6">
        <f t="shared" si="6"/>
        <v>-776.77999999999884</v>
      </c>
      <c r="Y20" s="2"/>
      <c r="Z20" s="7">
        <f t="shared" si="7"/>
        <v>-1.2928819093068571E-2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974.53</v>
      </c>
      <c r="E21" s="2"/>
      <c r="F21" s="7">
        <f t="shared" si="0"/>
        <v>0</v>
      </c>
      <c r="G21" s="2"/>
      <c r="H21" s="6">
        <v>828.31</v>
      </c>
      <c r="I21" s="2"/>
      <c r="J21" s="7">
        <f t="shared" si="1"/>
        <v>0</v>
      </c>
      <c r="K21" s="2"/>
      <c r="L21" s="6">
        <f t="shared" si="2"/>
        <v>146.22000000000003</v>
      </c>
      <c r="M21" s="2"/>
      <c r="N21" s="7">
        <f t="shared" si="3"/>
        <v>0.17652811145585595</v>
      </c>
      <c r="O21" s="11"/>
      <c r="P21" s="6">
        <v>3939.32</v>
      </c>
      <c r="Q21" s="2"/>
      <c r="R21" s="7">
        <f t="shared" si="4"/>
        <v>0</v>
      </c>
      <c r="S21" s="2"/>
      <c r="T21" s="6">
        <v>4184.33</v>
      </c>
      <c r="U21" s="2"/>
      <c r="V21" s="7">
        <f t="shared" si="5"/>
        <v>0</v>
      </c>
      <c r="W21" s="2"/>
      <c r="X21" s="6">
        <f t="shared" si="6"/>
        <v>-245.00999999999976</v>
      </c>
      <c r="Y21" s="2"/>
      <c r="Z21" s="7">
        <f t="shared" si="7"/>
        <v>-5.8554177132300697E-2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22318.01</v>
      </c>
      <c r="E22" s="2"/>
      <c r="F22" s="7">
        <f t="shared" si="0"/>
        <v>0</v>
      </c>
      <c r="G22" s="2"/>
      <c r="H22" s="6">
        <v>29847.500000000004</v>
      </c>
      <c r="I22" s="2"/>
      <c r="J22" s="7">
        <f t="shared" si="1"/>
        <v>0</v>
      </c>
      <c r="K22" s="2"/>
      <c r="L22" s="6">
        <f t="shared" si="2"/>
        <v>-7529.4900000000052</v>
      </c>
      <c r="M22" s="2"/>
      <c r="N22" s="7">
        <f t="shared" si="3"/>
        <v>-0.25226534885668833</v>
      </c>
      <c r="O22" s="11"/>
      <c r="P22" s="6">
        <v>135314.57999999999</v>
      </c>
      <c r="Q22" s="2"/>
      <c r="R22" s="7">
        <f t="shared" si="4"/>
        <v>0</v>
      </c>
      <c r="S22" s="2"/>
      <c r="T22" s="6">
        <v>156883.39000000001</v>
      </c>
      <c r="U22" s="2"/>
      <c r="V22" s="7">
        <f t="shared" si="5"/>
        <v>0</v>
      </c>
      <c r="W22" s="2"/>
      <c r="X22" s="6">
        <f t="shared" si="6"/>
        <v>-21568.810000000027</v>
      </c>
      <c r="Y22" s="2"/>
      <c r="Z22" s="7">
        <f t="shared" si="7"/>
        <v>-0.13748306943137845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435.27</v>
      </c>
      <c r="E23" s="2"/>
      <c r="F23" s="7">
        <f t="shared" si="0"/>
        <v>0</v>
      </c>
      <c r="G23" s="2"/>
      <c r="H23" s="6">
        <v>492.17</v>
      </c>
      <c r="I23" s="2"/>
      <c r="J23" s="7">
        <f t="shared" si="1"/>
        <v>0</v>
      </c>
      <c r="K23" s="2"/>
      <c r="L23" s="6">
        <f t="shared" si="2"/>
        <v>-56.900000000000034</v>
      </c>
      <c r="M23" s="2"/>
      <c r="N23" s="7">
        <f t="shared" si="3"/>
        <v>-0.11561045980047552</v>
      </c>
      <c r="O23" s="11"/>
      <c r="P23" s="6">
        <v>2519.06</v>
      </c>
      <c r="Q23" s="2"/>
      <c r="R23" s="7">
        <f t="shared" si="4"/>
        <v>0</v>
      </c>
      <c r="S23" s="2"/>
      <c r="T23" s="6">
        <v>2557.69</v>
      </c>
      <c r="U23" s="2"/>
      <c r="V23" s="7">
        <f t="shared" si="5"/>
        <v>0</v>
      </c>
      <c r="W23" s="2"/>
      <c r="X23" s="6">
        <f t="shared" si="6"/>
        <v>-38.630000000000109</v>
      </c>
      <c r="Y23" s="2"/>
      <c r="Z23" s="7">
        <f t="shared" si="7"/>
        <v>-1.5103472273809612E-2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6783.07</v>
      </c>
      <c r="E24" s="2"/>
      <c r="F24" s="7">
        <f t="shared" si="0"/>
        <v>0</v>
      </c>
      <c r="G24" s="2"/>
      <c r="H24" s="6">
        <v>7918.17</v>
      </c>
      <c r="I24" s="2"/>
      <c r="J24" s="7">
        <f t="shared" si="1"/>
        <v>0</v>
      </c>
      <c r="K24" s="2"/>
      <c r="L24" s="6">
        <f t="shared" si="2"/>
        <v>-1135.1000000000004</v>
      </c>
      <c r="M24" s="2"/>
      <c r="N24" s="7">
        <f t="shared" si="3"/>
        <v>-0.1433538304936621</v>
      </c>
      <c r="O24" s="11"/>
      <c r="P24" s="6">
        <v>53508.009999999995</v>
      </c>
      <c r="Q24" s="2"/>
      <c r="R24" s="7">
        <f t="shared" si="4"/>
        <v>0</v>
      </c>
      <c r="S24" s="2"/>
      <c r="T24" s="6">
        <v>59830.080000000002</v>
      </c>
      <c r="U24" s="2"/>
      <c r="V24" s="7">
        <f t="shared" si="5"/>
        <v>0</v>
      </c>
      <c r="W24" s="2"/>
      <c r="X24" s="6">
        <f t="shared" si="6"/>
        <v>-6322.070000000007</v>
      </c>
      <c r="Y24" s="2"/>
      <c r="Z24" s="7">
        <f t="shared" si="7"/>
        <v>-0.10566708251100461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>
        <v>134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134</v>
      </c>
      <c r="M25" s="2"/>
      <c r="N25" s="7">
        <f t="shared" si="3"/>
        <v>0</v>
      </c>
      <c r="O25" s="11"/>
      <c r="P25" s="6">
        <v>2105.94</v>
      </c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-345.46000000000004</v>
      </c>
      <c r="Y25" s="2"/>
      <c r="Z25" s="7">
        <f t="shared" si="7"/>
        <v>-0.14092355388757447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821.81</v>
      </c>
      <c r="E26" s="2"/>
      <c r="F26" s="7">
        <f t="shared" si="0"/>
        <v>0</v>
      </c>
      <c r="G26" s="2"/>
      <c r="H26" s="6">
        <v>356.24</v>
      </c>
      <c r="I26" s="2"/>
      <c r="J26" s="7">
        <f t="shared" si="1"/>
        <v>0</v>
      </c>
      <c r="K26" s="2"/>
      <c r="L26" s="6">
        <f t="shared" si="2"/>
        <v>465.56999999999994</v>
      </c>
      <c r="M26" s="2"/>
      <c r="N26" s="7">
        <f t="shared" si="3"/>
        <v>1.3068998428026048</v>
      </c>
      <c r="O26" s="11"/>
      <c r="P26" s="6">
        <v>5159.45</v>
      </c>
      <c r="Q26" s="2"/>
      <c r="R26" s="7">
        <f t="shared" si="4"/>
        <v>0</v>
      </c>
      <c r="S26" s="2"/>
      <c r="T26" s="6">
        <v>1561.07</v>
      </c>
      <c r="U26" s="2"/>
      <c r="V26" s="7">
        <f t="shared" si="5"/>
        <v>0</v>
      </c>
      <c r="W26" s="2"/>
      <c r="X26" s="6">
        <f t="shared" si="6"/>
        <v>3598.38</v>
      </c>
      <c r="Y26" s="2"/>
      <c r="Z26" s="7">
        <f t="shared" si="7"/>
        <v>2.3050728026289664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6671.6</v>
      </c>
      <c r="E27" s="2"/>
      <c r="F27" s="7">
        <f t="shared" si="0"/>
        <v>0</v>
      </c>
      <c r="G27" s="2"/>
      <c r="H27" s="6">
        <v>7837.77</v>
      </c>
      <c r="I27" s="2"/>
      <c r="J27" s="7">
        <f t="shared" si="1"/>
        <v>0</v>
      </c>
      <c r="K27" s="2"/>
      <c r="L27" s="6">
        <f t="shared" si="2"/>
        <v>-1166.17</v>
      </c>
      <c r="M27" s="2"/>
      <c r="N27" s="7">
        <f t="shared" si="3"/>
        <v>-0.14878849468662642</v>
      </c>
      <c r="O27" s="11"/>
      <c r="P27" s="6">
        <v>55014.2</v>
      </c>
      <c r="Q27" s="2"/>
      <c r="R27" s="7">
        <f t="shared" si="4"/>
        <v>0</v>
      </c>
      <c r="S27" s="2"/>
      <c r="T27" s="6">
        <v>60436.5</v>
      </c>
      <c r="U27" s="2"/>
      <c r="V27" s="7">
        <f t="shared" si="5"/>
        <v>0</v>
      </c>
      <c r="W27" s="2"/>
      <c r="X27" s="6">
        <f t="shared" si="6"/>
        <v>-5422.3000000000029</v>
      </c>
      <c r="Y27" s="2"/>
      <c r="Z27" s="7">
        <f t="shared" si="7"/>
        <v>-8.9718961223763827E-2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4225.0600000000004</v>
      </c>
      <c r="E28" s="2"/>
      <c r="F28" s="7">
        <f t="shared" si="0"/>
        <v>0</v>
      </c>
      <c r="G28" s="2"/>
      <c r="H28" s="6">
        <v>5099.4399999999996</v>
      </c>
      <c r="I28" s="2"/>
      <c r="J28" s="7">
        <f t="shared" si="1"/>
        <v>0</v>
      </c>
      <c r="K28" s="2"/>
      <c r="L28" s="6">
        <f t="shared" si="2"/>
        <v>-874.3799999999992</v>
      </c>
      <c r="M28" s="2"/>
      <c r="N28" s="7">
        <f t="shared" si="3"/>
        <v>-0.17146588645027674</v>
      </c>
      <c r="O28" s="11"/>
      <c r="P28" s="6">
        <v>48431.92</v>
      </c>
      <c r="Q28" s="2"/>
      <c r="R28" s="7">
        <f t="shared" si="4"/>
        <v>0</v>
      </c>
      <c r="S28" s="2"/>
      <c r="T28" s="6">
        <v>44701.58</v>
      </c>
      <c r="U28" s="2"/>
      <c r="V28" s="7">
        <f t="shared" si="5"/>
        <v>0</v>
      </c>
      <c r="W28" s="2"/>
      <c r="X28" s="6">
        <f t="shared" si="6"/>
        <v>3730.3399999999965</v>
      </c>
      <c r="Y28" s="2"/>
      <c r="Z28" s="7">
        <f t="shared" si="7"/>
        <v>8.3449846739197947E-2</v>
      </c>
    </row>
    <row r="29" spans="1:26" s="24" customFormat="1" hidden="1" outlineLevel="2" x14ac:dyDescent="0.25">
      <c r="A29" s="26"/>
      <c r="B29" s="11" t="str">
        <f>CONCATENATE("          ", "6120", " - ", "RETIREES HEALTH INSURANCE")</f>
        <v xml:space="preserve">          6120 - RETIREES HEALTH INSURANCE</v>
      </c>
      <c r="C29" s="11"/>
      <c r="D29" s="6">
        <v>29195.759999999998</v>
      </c>
      <c r="E29" s="2"/>
      <c r="F29" s="7">
        <f t="shared" si="0"/>
        <v>0</v>
      </c>
      <c r="G29" s="2"/>
      <c r="H29" s="6">
        <v>35917.550000000003</v>
      </c>
      <c r="I29" s="2"/>
      <c r="J29" s="7">
        <f t="shared" si="1"/>
        <v>0</v>
      </c>
      <c r="K29" s="2"/>
      <c r="L29" s="6">
        <f t="shared" si="2"/>
        <v>-6721.7900000000045</v>
      </c>
      <c r="M29" s="2"/>
      <c r="N29" s="7">
        <f t="shared" si="3"/>
        <v>-0.18714500293032246</v>
      </c>
      <c r="O29" s="11"/>
      <c r="P29" s="6">
        <v>175624.88</v>
      </c>
      <c r="Q29" s="2"/>
      <c r="R29" s="7">
        <f t="shared" si="4"/>
        <v>0</v>
      </c>
      <c r="S29" s="2"/>
      <c r="T29" s="6">
        <v>201957.4</v>
      </c>
      <c r="U29" s="2"/>
      <c r="V29" s="7">
        <f t="shared" si="5"/>
        <v>0</v>
      </c>
      <c r="W29" s="2"/>
      <c r="X29" s="6">
        <f t="shared" si="6"/>
        <v>-26332.51999999999</v>
      </c>
      <c r="Y29" s="2"/>
      <c r="Z29" s="7">
        <f t="shared" si="7"/>
        <v>-0.13038650725350984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6">
        <v>2345.77</v>
      </c>
      <c r="E30" s="2"/>
      <c r="F30" s="7">
        <f t="shared" si="0"/>
        <v>0</v>
      </c>
      <c r="G30" s="2"/>
      <c r="H30" s="6">
        <v>2594.1999999999998</v>
      </c>
      <c r="I30" s="2"/>
      <c r="J30" s="7">
        <f t="shared" si="1"/>
        <v>0</v>
      </c>
      <c r="K30" s="2"/>
      <c r="L30" s="6">
        <f t="shared" si="2"/>
        <v>-248.42999999999984</v>
      </c>
      <c r="M30" s="2"/>
      <c r="N30" s="7">
        <f t="shared" si="3"/>
        <v>-9.5763626551537986E-2</v>
      </c>
      <c r="O30" s="11"/>
      <c r="P30" s="6">
        <v>14493.69</v>
      </c>
      <c r="Q30" s="2"/>
      <c r="R30" s="7">
        <f t="shared" si="4"/>
        <v>0</v>
      </c>
      <c r="S30" s="2"/>
      <c r="T30" s="6">
        <v>15020.1</v>
      </c>
      <c r="U30" s="2"/>
      <c r="V30" s="7">
        <f t="shared" si="5"/>
        <v>0</v>
      </c>
      <c r="W30" s="2"/>
      <c r="X30" s="6">
        <f t="shared" si="6"/>
        <v>-526.40999999999985</v>
      </c>
      <c r="Y30" s="2"/>
      <c r="Z30" s="7">
        <f t="shared" si="7"/>
        <v>-3.5047036970459571E-2</v>
      </c>
    </row>
    <row r="31" spans="1:26" s="27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107533.82000000002</v>
      </c>
      <c r="E31" s="1"/>
      <c r="F31" s="5">
        <f t="shared" ref="F31:F38" si="8">IF(D$12=0,0,D31/D$12)</f>
        <v>0</v>
      </c>
      <c r="G31" s="1"/>
      <c r="H31" s="1">
        <f>SUM(OSRRefH22_1x_0)</f>
        <v>121048.53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-13514.709999999977</v>
      </c>
      <c r="M31" s="1"/>
      <c r="N31" s="5">
        <f t="shared" ref="N31:N38" si="11">IF(H31=0,0,L31/H31)</f>
        <v>-0.11164703941468745</v>
      </c>
      <c r="O31" s="13"/>
      <c r="P31" s="1">
        <f>SUM(OSRRefP22_1x_0)</f>
        <v>650371</v>
      </c>
      <c r="Q31" s="1"/>
      <c r="R31" s="5">
        <f t="shared" ref="R31:R38" si="12">IF(P$12=0,0,P31/P$12)</f>
        <v>0</v>
      </c>
      <c r="S31" s="1"/>
      <c r="T31" s="1">
        <f>SUM(OSRRefT22_1x_0)</f>
        <v>704195.11999999988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-53824.119999999879</v>
      </c>
      <c r="Y31" s="1"/>
      <c r="Z31" s="5">
        <f t="shared" ref="Z31:Z38" si="15">IF(T31=0,0,X31/T31)</f>
        <v>-7.6433531660940635E-2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6">
        <v>22685.68</v>
      </c>
      <c r="E32" s="2"/>
      <c r="F32" s="7">
        <f t="shared" si="8"/>
        <v>0</v>
      </c>
      <c r="G32" s="2"/>
      <c r="H32" s="6">
        <v>36218.899999999994</v>
      </c>
      <c r="I32" s="2"/>
      <c r="J32" s="7">
        <f t="shared" si="9"/>
        <v>0</v>
      </c>
      <c r="K32" s="2"/>
      <c r="L32" s="6">
        <f t="shared" si="10"/>
        <v>-13533.219999999994</v>
      </c>
      <c r="M32" s="2"/>
      <c r="N32" s="7">
        <f t="shared" si="11"/>
        <v>-0.37365077349118819</v>
      </c>
      <c r="O32" s="11"/>
      <c r="P32" s="6">
        <v>148129.06</v>
      </c>
      <c r="Q32" s="2"/>
      <c r="R32" s="7">
        <f t="shared" si="12"/>
        <v>0</v>
      </c>
      <c r="S32" s="2"/>
      <c r="T32" s="6">
        <v>229194.38</v>
      </c>
      <c r="U32" s="2"/>
      <c r="V32" s="7">
        <f t="shared" si="13"/>
        <v>0</v>
      </c>
      <c r="W32" s="2"/>
      <c r="X32" s="6">
        <f t="shared" si="14"/>
        <v>-81065.320000000007</v>
      </c>
      <c r="Y32" s="2"/>
      <c r="Z32" s="7">
        <f t="shared" si="15"/>
        <v>-0.35369680530561004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43612.060000000005</v>
      </c>
      <c r="E33" s="2"/>
      <c r="F33" s="7">
        <f t="shared" si="8"/>
        <v>0</v>
      </c>
      <c r="G33" s="2"/>
      <c r="H33" s="6">
        <v>49196.34</v>
      </c>
      <c r="I33" s="2"/>
      <c r="J33" s="7">
        <f t="shared" si="9"/>
        <v>0</v>
      </c>
      <c r="K33" s="2"/>
      <c r="L33" s="6">
        <f t="shared" si="10"/>
        <v>-5584.2799999999916</v>
      </c>
      <c r="M33" s="2"/>
      <c r="N33" s="7">
        <f t="shared" si="11"/>
        <v>-0.11351007005805699</v>
      </c>
      <c r="O33" s="11"/>
      <c r="P33" s="6">
        <v>277662.83999999997</v>
      </c>
      <c r="Q33" s="2"/>
      <c r="R33" s="7">
        <f t="shared" si="12"/>
        <v>0</v>
      </c>
      <c r="S33" s="2"/>
      <c r="T33" s="6">
        <v>275668.06999999995</v>
      </c>
      <c r="U33" s="2"/>
      <c r="V33" s="7">
        <f t="shared" si="13"/>
        <v>0</v>
      </c>
      <c r="W33" s="2"/>
      <c r="X33" s="6">
        <f t="shared" si="14"/>
        <v>1994.7700000000186</v>
      </c>
      <c r="Y33" s="2"/>
      <c r="Z33" s="7">
        <f t="shared" si="15"/>
        <v>7.2361300313090997E-3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20633.990000000002</v>
      </c>
      <c r="E34" s="2"/>
      <c r="F34" s="7">
        <f t="shared" si="8"/>
        <v>0</v>
      </c>
      <c r="G34" s="2"/>
      <c r="H34" s="6">
        <v>20320.28</v>
      </c>
      <c r="I34" s="2"/>
      <c r="J34" s="7">
        <f t="shared" si="9"/>
        <v>0</v>
      </c>
      <c r="K34" s="2"/>
      <c r="L34" s="6">
        <f t="shared" si="10"/>
        <v>313.71000000000276</v>
      </c>
      <c r="M34" s="2"/>
      <c r="N34" s="7">
        <f t="shared" si="11"/>
        <v>1.5438271519880769E-2</v>
      </c>
      <c r="O34" s="11"/>
      <c r="P34" s="6">
        <v>136990.57</v>
      </c>
      <c r="Q34" s="2"/>
      <c r="R34" s="7">
        <f t="shared" si="12"/>
        <v>0</v>
      </c>
      <c r="S34" s="2"/>
      <c r="T34" s="6">
        <v>117373.44</v>
      </c>
      <c r="U34" s="2"/>
      <c r="V34" s="7">
        <f t="shared" si="13"/>
        <v>0</v>
      </c>
      <c r="W34" s="2"/>
      <c r="X34" s="6">
        <f t="shared" si="14"/>
        <v>19617.130000000005</v>
      </c>
      <c r="Y34" s="2"/>
      <c r="Z34" s="7">
        <f t="shared" si="15"/>
        <v>0.16713431931448891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8428.3799999999992</v>
      </c>
      <c r="E35" s="2"/>
      <c r="F35" s="7">
        <f t="shared" si="8"/>
        <v>0</v>
      </c>
      <c r="G35" s="2"/>
      <c r="H35" s="6">
        <v>6107.97</v>
      </c>
      <c r="I35" s="2"/>
      <c r="J35" s="7">
        <f t="shared" si="9"/>
        <v>0</v>
      </c>
      <c r="K35" s="2"/>
      <c r="L35" s="6">
        <f t="shared" si="10"/>
        <v>2320.4099999999989</v>
      </c>
      <c r="M35" s="2"/>
      <c r="N35" s="7">
        <f t="shared" si="11"/>
        <v>0.37989872248881362</v>
      </c>
      <c r="O35" s="11"/>
      <c r="P35" s="6">
        <v>59191.61</v>
      </c>
      <c r="Q35" s="2"/>
      <c r="R35" s="7">
        <f t="shared" si="12"/>
        <v>0</v>
      </c>
      <c r="S35" s="2"/>
      <c r="T35" s="6">
        <v>47930.04</v>
      </c>
      <c r="U35" s="2"/>
      <c r="V35" s="7">
        <f t="shared" si="13"/>
        <v>0</v>
      </c>
      <c r="W35" s="2"/>
      <c r="X35" s="6">
        <f t="shared" si="14"/>
        <v>11261.57</v>
      </c>
      <c r="Y35" s="2"/>
      <c r="Z35" s="7">
        <f t="shared" si="15"/>
        <v>0.23495849367119243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2361.4299999999998</v>
      </c>
      <c r="Q36" s="2"/>
      <c r="R36" s="7">
        <f t="shared" si="12"/>
        <v>0</v>
      </c>
      <c r="S36" s="2"/>
      <c r="T36" s="6">
        <v>247.86</v>
      </c>
      <c r="U36" s="2"/>
      <c r="V36" s="7">
        <f t="shared" si="13"/>
        <v>0</v>
      </c>
      <c r="W36" s="2"/>
      <c r="X36" s="6">
        <f t="shared" si="14"/>
        <v>2113.5699999999997</v>
      </c>
      <c r="Y36" s="2"/>
      <c r="Z36" s="7">
        <f t="shared" si="15"/>
        <v>8.5272734608246576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10975.77</v>
      </c>
      <c r="E37" s="2"/>
      <c r="F37" s="7">
        <f t="shared" si="8"/>
        <v>0</v>
      </c>
      <c r="G37" s="2"/>
      <c r="H37" s="6">
        <v>9205.0400000000009</v>
      </c>
      <c r="I37" s="2"/>
      <c r="J37" s="7">
        <f t="shared" si="9"/>
        <v>0</v>
      </c>
      <c r="K37" s="2"/>
      <c r="L37" s="6">
        <f t="shared" si="10"/>
        <v>1770.7299999999996</v>
      </c>
      <c r="M37" s="2"/>
      <c r="N37" s="7">
        <f t="shared" si="11"/>
        <v>0.19236526946107779</v>
      </c>
      <c r="O37" s="11"/>
      <c r="P37" s="6">
        <v>15952.849999999999</v>
      </c>
      <c r="Q37" s="2"/>
      <c r="R37" s="7">
        <f t="shared" si="12"/>
        <v>0</v>
      </c>
      <c r="S37" s="2"/>
      <c r="T37" s="6">
        <v>33781.33</v>
      </c>
      <c r="U37" s="2"/>
      <c r="V37" s="7">
        <f t="shared" si="13"/>
        <v>0</v>
      </c>
      <c r="W37" s="2"/>
      <c r="X37" s="6">
        <f t="shared" si="14"/>
        <v>-17828.480000000003</v>
      </c>
      <c r="Y37" s="2"/>
      <c r="Z37" s="7">
        <f t="shared" si="15"/>
        <v>-0.52776134036167321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1197.94</v>
      </c>
      <c r="E38" s="2"/>
      <c r="F38" s="7">
        <f t="shared" si="8"/>
        <v>0</v>
      </c>
      <c r="G38" s="2"/>
      <c r="H38" s="6"/>
      <c r="I38" s="2"/>
      <c r="J38" s="7">
        <f t="shared" si="9"/>
        <v>0</v>
      </c>
      <c r="K38" s="2"/>
      <c r="L38" s="6">
        <f t="shared" si="10"/>
        <v>1197.94</v>
      </c>
      <c r="M38" s="2"/>
      <c r="N38" s="7">
        <f t="shared" si="11"/>
        <v>0</v>
      </c>
      <c r="O38" s="11"/>
      <c r="P38" s="6">
        <v>10082.64</v>
      </c>
      <c r="Q38" s="2"/>
      <c r="R38" s="7">
        <f t="shared" si="12"/>
        <v>0</v>
      </c>
      <c r="S38" s="2"/>
      <c r="T38" s="6"/>
      <c r="U38" s="2"/>
      <c r="V38" s="7">
        <f t="shared" si="13"/>
        <v>0</v>
      </c>
      <c r="W38" s="2"/>
      <c r="X38" s="6">
        <f t="shared" si="14"/>
        <v>10082.64</v>
      </c>
      <c r="Y38" s="2"/>
      <c r="Z38" s="7">
        <f t="shared" si="15"/>
        <v>0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-4899.93</v>
      </c>
      <c r="E39" s="1"/>
      <c r="F39" s="5">
        <f t="shared" ref="F39:F47" si="16">IF(D$12=0,0,D39/D$12)</f>
        <v>0</v>
      </c>
      <c r="G39" s="1"/>
      <c r="H39" s="1">
        <f>SUM(OSRRefH22_2x_0)</f>
        <v>-3112.67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-1787.2600000000002</v>
      </c>
      <c r="M39" s="1"/>
      <c r="N39" s="5">
        <f t="shared" ref="N39:N47" si="19">IF(H39=0,0,L39/H39)</f>
        <v>0.57418871900972479</v>
      </c>
      <c r="O39" s="13"/>
      <c r="P39" s="1">
        <f>SUM(OSRRefP22_2x_0)</f>
        <v>-22766.74</v>
      </c>
      <c r="Q39" s="1"/>
      <c r="R39" s="5">
        <f t="shared" ref="R39:R47" si="20">IF(P$12=0,0,P39/P$12)</f>
        <v>0</v>
      </c>
      <c r="S39" s="1"/>
      <c r="T39" s="1">
        <f>SUM(OSRRefT22_2x_0)</f>
        <v>-12247.31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-10519.430000000002</v>
      </c>
      <c r="Y39" s="1"/>
      <c r="Z39" s="5">
        <f t="shared" ref="Z39:Z47" si="23">IF(T39=0,0,X39/T39)</f>
        <v>0.85891759088322273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-4899.93</v>
      </c>
      <c r="E40" s="2"/>
      <c r="F40" s="7">
        <f t="shared" si="16"/>
        <v>0</v>
      </c>
      <c r="G40" s="2"/>
      <c r="H40" s="6">
        <v>-3112.67</v>
      </c>
      <c r="I40" s="2"/>
      <c r="J40" s="7">
        <f t="shared" si="17"/>
        <v>0</v>
      </c>
      <c r="K40" s="2"/>
      <c r="L40" s="6">
        <f t="shared" si="18"/>
        <v>-1787.2600000000002</v>
      </c>
      <c r="M40" s="2"/>
      <c r="N40" s="7">
        <f t="shared" si="19"/>
        <v>0.57418871900972479</v>
      </c>
      <c r="O40" s="11"/>
      <c r="P40" s="6">
        <v>-22766.74</v>
      </c>
      <c r="Q40" s="2"/>
      <c r="R40" s="7">
        <f t="shared" si="20"/>
        <v>0</v>
      </c>
      <c r="S40" s="2"/>
      <c r="T40" s="6">
        <v>-12247.31</v>
      </c>
      <c r="U40" s="2"/>
      <c r="V40" s="7">
        <f t="shared" si="21"/>
        <v>0</v>
      </c>
      <c r="W40" s="2"/>
      <c r="X40" s="6">
        <f t="shared" si="22"/>
        <v>-10519.430000000002</v>
      </c>
      <c r="Y40" s="2"/>
      <c r="Z40" s="7">
        <f t="shared" si="23"/>
        <v>0.85891759088322273</v>
      </c>
    </row>
    <row r="41" spans="1:26" s="27" customFormat="1" outlineLevel="1" collapsed="1" x14ac:dyDescent="0.25">
      <c r="A41" s="25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1670.48</v>
      </c>
      <c r="E41" s="1"/>
      <c r="F41" s="5">
        <f t="shared" si="16"/>
        <v>0</v>
      </c>
      <c r="G41" s="1"/>
      <c r="H41" s="1">
        <f>SUM(OSRRefH22_3x_0)</f>
        <v>1062.93</v>
      </c>
      <c r="I41" s="1"/>
      <c r="J41" s="5">
        <f t="shared" si="17"/>
        <v>0</v>
      </c>
      <c r="K41" s="1"/>
      <c r="L41" s="1">
        <f t="shared" si="18"/>
        <v>607.54999999999995</v>
      </c>
      <c r="M41" s="1"/>
      <c r="N41" s="5">
        <f t="shared" si="19"/>
        <v>0.57158044273846809</v>
      </c>
      <c r="O41" s="13"/>
      <c r="P41" s="1">
        <f>SUM(OSRRefP22_3x_0)</f>
        <v>24427.200000000001</v>
      </c>
      <c r="Q41" s="1"/>
      <c r="R41" s="5">
        <f t="shared" si="20"/>
        <v>0</v>
      </c>
      <c r="S41" s="1"/>
      <c r="T41" s="1">
        <f>SUM(OSRRefT22_3x_0)</f>
        <v>18625.12</v>
      </c>
      <c r="U41" s="1"/>
      <c r="V41" s="5">
        <f t="shared" si="21"/>
        <v>0</v>
      </c>
      <c r="W41" s="1"/>
      <c r="X41" s="1">
        <f t="shared" si="22"/>
        <v>5802.0800000000017</v>
      </c>
      <c r="Y41" s="1"/>
      <c r="Z41" s="5">
        <f t="shared" si="23"/>
        <v>0.31151906672279167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1670.48</v>
      </c>
      <c r="E42" s="2"/>
      <c r="F42" s="7">
        <f t="shared" si="16"/>
        <v>0</v>
      </c>
      <c r="G42" s="2"/>
      <c r="H42" s="6">
        <v>1062.93</v>
      </c>
      <c r="I42" s="2"/>
      <c r="J42" s="7">
        <f t="shared" si="17"/>
        <v>0</v>
      </c>
      <c r="K42" s="2"/>
      <c r="L42" s="6">
        <f t="shared" si="18"/>
        <v>607.54999999999995</v>
      </c>
      <c r="M42" s="2"/>
      <c r="N42" s="7">
        <f t="shared" si="19"/>
        <v>0.57158044273846809</v>
      </c>
      <c r="O42" s="11"/>
      <c r="P42" s="6">
        <v>24427.200000000001</v>
      </c>
      <c r="Q42" s="2"/>
      <c r="R42" s="7">
        <f t="shared" si="20"/>
        <v>0</v>
      </c>
      <c r="S42" s="2"/>
      <c r="T42" s="6">
        <v>18625.12</v>
      </c>
      <c r="U42" s="2"/>
      <c r="V42" s="7">
        <f t="shared" si="21"/>
        <v>0</v>
      </c>
      <c r="W42" s="2"/>
      <c r="X42" s="6">
        <f t="shared" si="22"/>
        <v>5802.0800000000017</v>
      </c>
      <c r="Y42" s="2"/>
      <c r="Z42" s="7">
        <f t="shared" si="23"/>
        <v>0.31151906672279167</v>
      </c>
    </row>
    <row r="43" spans="1:26" s="27" customFormat="1" outlineLevel="1" collapsed="1" x14ac:dyDescent="0.25">
      <c r="A43" s="25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2632.84</v>
      </c>
      <c r="E43" s="1"/>
      <c r="F43" s="5">
        <f t="shared" si="16"/>
        <v>0</v>
      </c>
      <c r="G43" s="1"/>
      <c r="H43" s="1">
        <f>SUM(OSRRefH22_4x_0)</f>
        <v>5434.03</v>
      </c>
      <c r="I43" s="1"/>
      <c r="J43" s="5">
        <f t="shared" si="17"/>
        <v>0</v>
      </c>
      <c r="K43" s="1"/>
      <c r="L43" s="1">
        <f t="shared" si="18"/>
        <v>-2801.1899999999996</v>
      </c>
      <c r="M43" s="1"/>
      <c r="N43" s="5">
        <f t="shared" si="19"/>
        <v>-0.51549034510298986</v>
      </c>
      <c r="O43" s="13"/>
      <c r="P43" s="1">
        <f>SUM(OSRRefP22_4x_0)</f>
        <v>16797.95</v>
      </c>
      <c r="Q43" s="1"/>
      <c r="R43" s="5">
        <f t="shared" si="20"/>
        <v>0</v>
      </c>
      <c r="S43" s="1"/>
      <c r="T43" s="1">
        <f>SUM(OSRRefT22_4x_0)</f>
        <v>20172.16</v>
      </c>
      <c r="U43" s="1"/>
      <c r="V43" s="5">
        <f t="shared" si="21"/>
        <v>0</v>
      </c>
      <c r="W43" s="1"/>
      <c r="X43" s="1">
        <f t="shared" si="22"/>
        <v>-3374.2099999999991</v>
      </c>
      <c r="Y43" s="1"/>
      <c r="Z43" s="5">
        <f t="shared" si="23"/>
        <v>-0.16727063437926326</v>
      </c>
    </row>
    <row r="44" spans="1:26" s="24" customFormat="1" hidden="1" outlineLevel="2" x14ac:dyDescent="0.25">
      <c r="A44" s="26"/>
      <c r="B44" s="11" t="str">
        <f>CONCATENATE("          ", "6397", " - ", "BOARD EXPENSES")</f>
        <v xml:space="preserve">          6397 - BOARD EXPENSES</v>
      </c>
      <c r="C44" s="11"/>
      <c r="D44" s="6">
        <v>2632.84</v>
      </c>
      <c r="E44" s="2"/>
      <c r="F44" s="7">
        <f t="shared" si="16"/>
        <v>0</v>
      </c>
      <c r="G44" s="2"/>
      <c r="H44" s="6">
        <v>5434.03</v>
      </c>
      <c r="I44" s="2"/>
      <c r="J44" s="7">
        <f t="shared" si="17"/>
        <v>0</v>
      </c>
      <c r="K44" s="2"/>
      <c r="L44" s="6">
        <f t="shared" si="18"/>
        <v>-2801.1899999999996</v>
      </c>
      <c r="M44" s="2"/>
      <c r="N44" s="7">
        <f t="shared" si="19"/>
        <v>-0.51549034510298986</v>
      </c>
      <c r="O44" s="11"/>
      <c r="P44" s="6">
        <v>16797.95</v>
      </c>
      <c r="Q44" s="2"/>
      <c r="R44" s="7">
        <f t="shared" si="20"/>
        <v>0</v>
      </c>
      <c r="S44" s="2"/>
      <c r="T44" s="6">
        <v>20172.16</v>
      </c>
      <c r="U44" s="2"/>
      <c r="V44" s="7">
        <f t="shared" si="21"/>
        <v>0</v>
      </c>
      <c r="W44" s="2"/>
      <c r="X44" s="6">
        <f t="shared" si="22"/>
        <v>-3374.2099999999991</v>
      </c>
      <c r="Y44" s="2"/>
      <c r="Z44" s="7">
        <f t="shared" si="23"/>
        <v>-0.16727063437926326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8599.93</v>
      </c>
      <c r="E45" s="1"/>
      <c r="F45" s="5">
        <f t="shared" si="16"/>
        <v>0</v>
      </c>
      <c r="G45" s="1"/>
      <c r="H45" s="1">
        <f>SUM(OSRRefH22_5x_0)</f>
        <v>10293.85</v>
      </c>
      <c r="I45" s="1"/>
      <c r="J45" s="5">
        <f t="shared" si="17"/>
        <v>0</v>
      </c>
      <c r="K45" s="1"/>
      <c r="L45" s="1">
        <f t="shared" si="18"/>
        <v>-1693.92</v>
      </c>
      <c r="M45" s="1"/>
      <c r="N45" s="5">
        <f t="shared" si="19"/>
        <v>-0.16455650704061162</v>
      </c>
      <c r="O45" s="13"/>
      <c r="P45" s="1">
        <f>SUM(OSRRefP22_5x_0)</f>
        <v>51599.58</v>
      </c>
      <c r="Q45" s="1"/>
      <c r="R45" s="5">
        <f t="shared" si="20"/>
        <v>0</v>
      </c>
      <c r="S45" s="1"/>
      <c r="T45" s="1">
        <f>SUM(OSRRefT22_5x_0)</f>
        <v>61763.1</v>
      </c>
      <c r="U45" s="1"/>
      <c r="V45" s="5">
        <f t="shared" si="21"/>
        <v>0</v>
      </c>
      <c r="W45" s="1"/>
      <c r="X45" s="1">
        <f t="shared" si="22"/>
        <v>-10163.519999999997</v>
      </c>
      <c r="Y45" s="1"/>
      <c r="Z45" s="5">
        <f t="shared" si="23"/>
        <v>-0.16455650704061159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8599.93</v>
      </c>
      <c r="E46" s="2"/>
      <c r="F46" s="7">
        <f t="shared" si="16"/>
        <v>0</v>
      </c>
      <c r="G46" s="2"/>
      <c r="H46" s="6">
        <v>9971.81</v>
      </c>
      <c r="I46" s="2"/>
      <c r="J46" s="7">
        <f t="shared" si="17"/>
        <v>0</v>
      </c>
      <c r="K46" s="2"/>
      <c r="L46" s="6">
        <f t="shared" si="18"/>
        <v>-1371.8799999999992</v>
      </c>
      <c r="M46" s="2"/>
      <c r="N46" s="7">
        <f t="shared" si="19"/>
        <v>-0.13757582625421055</v>
      </c>
      <c r="O46" s="11"/>
      <c r="P46" s="6">
        <v>51599.58</v>
      </c>
      <c r="Q46" s="2"/>
      <c r="R46" s="7">
        <f t="shared" si="20"/>
        <v>0</v>
      </c>
      <c r="S46" s="2"/>
      <c r="T46" s="6">
        <v>59830.86</v>
      </c>
      <c r="U46" s="2"/>
      <c r="V46" s="7">
        <f t="shared" si="21"/>
        <v>0</v>
      </c>
      <c r="W46" s="2"/>
      <c r="X46" s="6">
        <f t="shared" si="22"/>
        <v>-8231.2799999999988</v>
      </c>
      <c r="Y46" s="2"/>
      <c r="Z46" s="7">
        <f t="shared" si="23"/>
        <v>-0.13757582625421061</v>
      </c>
    </row>
    <row r="47" spans="1:26" s="24" customFormat="1" hidden="1" outlineLevel="2" x14ac:dyDescent="0.25">
      <c r="A47" s="26"/>
      <c r="B47" s="11" t="str">
        <f>CONCATENATE("          ", "6324", " - ", "FURNITURE + FIXT DEPRECIATION")</f>
        <v xml:space="preserve">          6324 - FURNITURE + FIXT DEPRECIATION</v>
      </c>
      <c r="C47" s="11"/>
      <c r="D47" s="6"/>
      <c r="E47" s="2"/>
      <c r="F47" s="7">
        <f t="shared" si="16"/>
        <v>0</v>
      </c>
      <c r="G47" s="2"/>
      <c r="H47" s="6">
        <v>322.04000000000002</v>
      </c>
      <c r="I47" s="2"/>
      <c r="J47" s="7">
        <f t="shared" si="17"/>
        <v>0</v>
      </c>
      <c r="K47" s="2"/>
      <c r="L47" s="6">
        <f t="shared" si="18"/>
        <v>-322.04000000000002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1932.24</v>
      </c>
      <c r="U47" s="2"/>
      <c r="V47" s="7">
        <f t="shared" si="21"/>
        <v>0</v>
      </c>
      <c r="W47" s="2"/>
      <c r="X47" s="6">
        <f t="shared" si="22"/>
        <v>-1932.24</v>
      </c>
      <c r="Y47" s="2"/>
      <c r="Z47" s="7">
        <f t="shared" si="23"/>
        <v>-1</v>
      </c>
    </row>
    <row r="48" spans="1:26" s="27" customFormat="1" outlineLevel="1" collapsed="1" x14ac:dyDescent="0.25">
      <c r="A48" s="25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2.21</v>
      </c>
      <c r="E48" s="1"/>
      <c r="F48" s="5">
        <f t="shared" ref="F48:F64" si="24">IF(D$12=0,0,D48/D$12)</f>
        <v>0</v>
      </c>
      <c r="G48" s="1"/>
      <c r="H48" s="1">
        <f>SUM(OSRRefH22_6x_0)</f>
        <v>573.36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-571.15</v>
      </c>
      <c r="M48" s="1"/>
      <c r="N48" s="5">
        <f t="shared" ref="N48:N64" si="27">IF(H48=0,0,L48/H48)</f>
        <v>-0.99614552811497137</v>
      </c>
      <c r="O48" s="13"/>
      <c r="P48" s="1">
        <f>SUM(OSRRefP22_6x_0)</f>
        <v>243145</v>
      </c>
      <c r="Q48" s="1"/>
      <c r="R48" s="5">
        <f t="shared" ref="R48:R64" si="28">IF(P$12=0,0,P48/P$12)</f>
        <v>0</v>
      </c>
      <c r="S48" s="1"/>
      <c r="T48" s="1">
        <f>SUM(OSRRefT22_6x_0)</f>
        <v>141698.82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101446.18</v>
      </c>
      <c r="Y48" s="1"/>
      <c r="Z48" s="5">
        <f t="shared" ref="Z48:Z64" si="31">IF(T48=0,0,X48/T48)</f>
        <v>0.71592819192142876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>
        <v>2.21</v>
      </c>
      <c r="E49" s="2"/>
      <c r="F49" s="7">
        <f t="shared" si="24"/>
        <v>0</v>
      </c>
      <c r="G49" s="2"/>
      <c r="H49" s="6">
        <v>573.36</v>
      </c>
      <c r="I49" s="2"/>
      <c r="J49" s="7">
        <f t="shared" si="25"/>
        <v>0</v>
      </c>
      <c r="K49" s="2"/>
      <c r="L49" s="6">
        <f t="shared" si="26"/>
        <v>-571.15</v>
      </c>
      <c r="M49" s="2"/>
      <c r="N49" s="7">
        <f t="shared" si="27"/>
        <v>-0.99614552811497137</v>
      </c>
      <c r="O49" s="11"/>
      <c r="P49" s="6">
        <v>243145</v>
      </c>
      <c r="Q49" s="2"/>
      <c r="R49" s="7">
        <f t="shared" si="28"/>
        <v>0</v>
      </c>
      <c r="S49" s="2"/>
      <c r="T49" s="6">
        <v>141698.82</v>
      </c>
      <c r="U49" s="2"/>
      <c r="V49" s="7">
        <f t="shared" si="29"/>
        <v>0</v>
      </c>
      <c r="W49" s="2"/>
      <c r="X49" s="6">
        <f t="shared" si="30"/>
        <v>101446.18</v>
      </c>
      <c r="Y49" s="2"/>
      <c r="Z49" s="7">
        <f t="shared" si="31"/>
        <v>0.71592819192142876</v>
      </c>
    </row>
    <row r="50" spans="1:26" s="27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12678.74</v>
      </c>
      <c r="E50" s="1"/>
      <c r="F50" s="5">
        <f t="shared" si="24"/>
        <v>0</v>
      </c>
      <c r="G50" s="1"/>
      <c r="H50" s="1">
        <f>SUM(OSRRefH22_7x_0)</f>
        <v>18215.990000000002</v>
      </c>
      <c r="I50" s="1"/>
      <c r="J50" s="5">
        <f t="shared" si="25"/>
        <v>0</v>
      </c>
      <c r="K50" s="1"/>
      <c r="L50" s="1">
        <f t="shared" si="26"/>
        <v>-5537.2500000000018</v>
      </c>
      <c r="M50" s="1"/>
      <c r="N50" s="5">
        <f t="shared" si="27"/>
        <v>-0.30397743960114171</v>
      </c>
      <c r="O50" s="13"/>
      <c r="P50" s="1">
        <f>SUM(OSRRefP22_7x_0)</f>
        <v>24837.86</v>
      </c>
      <c r="Q50" s="1"/>
      <c r="R50" s="5">
        <f t="shared" si="28"/>
        <v>0</v>
      </c>
      <c r="S50" s="1"/>
      <c r="T50" s="1">
        <f>SUM(OSRRefT22_7x_0)</f>
        <v>29805.219999999998</v>
      </c>
      <c r="U50" s="1"/>
      <c r="V50" s="5">
        <f t="shared" si="29"/>
        <v>0</v>
      </c>
      <c r="W50" s="1"/>
      <c r="X50" s="1">
        <f t="shared" si="30"/>
        <v>-4967.3599999999969</v>
      </c>
      <c r="Y50" s="1"/>
      <c r="Z50" s="5">
        <f t="shared" si="31"/>
        <v>-0.16666073929331832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>
        <v>12678.74</v>
      </c>
      <c r="E51" s="2"/>
      <c r="F51" s="7">
        <f t="shared" si="24"/>
        <v>0</v>
      </c>
      <c r="G51" s="2"/>
      <c r="H51" s="6">
        <v>18215.990000000002</v>
      </c>
      <c r="I51" s="2"/>
      <c r="J51" s="7">
        <f t="shared" si="25"/>
        <v>0</v>
      </c>
      <c r="K51" s="2"/>
      <c r="L51" s="6">
        <f t="shared" si="26"/>
        <v>-5537.2500000000018</v>
      </c>
      <c r="M51" s="2"/>
      <c r="N51" s="7">
        <f t="shared" si="27"/>
        <v>-0.30397743960114171</v>
      </c>
      <c r="O51" s="11"/>
      <c r="P51" s="6">
        <v>24837.86</v>
      </c>
      <c r="Q51" s="2"/>
      <c r="R51" s="7">
        <f t="shared" si="28"/>
        <v>0</v>
      </c>
      <c r="S51" s="2"/>
      <c r="T51" s="6">
        <v>29805.219999999998</v>
      </c>
      <c r="U51" s="2"/>
      <c r="V51" s="7">
        <f t="shared" si="29"/>
        <v>0</v>
      </c>
      <c r="W51" s="2"/>
      <c r="X51" s="6">
        <f t="shared" si="30"/>
        <v>-4967.3599999999969</v>
      </c>
      <c r="Y51" s="2"/>
      <c r="Z51" s="7">
        <f t="shared" si="31"/>
        <v>-0.16666073929331832</v>
      </c>
    </row>
    <row r="52" spans="1:26" s="27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0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-300.24</v>
      </c>
      <c r="M52" s="1"/>
      <c r="N52" s="5">
        <f t="shared" si="27"/>
        <v>-1</v>
      </c>
      <c r="O52" s="13"/>
      <c r="P52" s="1">
        <f>SUM(OSRRefP22_8x_0)</f>
        <v>1527.66</v>
      </c>
      <c r="Q52" s="1"/>
      <c r="R52" s="5">
        <f t="shared" si="28"/>
        <v>0</v>
      </c>
      <c r="S52" s="1"/>
      <c r="T52" s="1">
        <f>SUM(OSRRefT22_8x_0)</f>
        <v>1801.44</v>
      </c>
      <c r="U52" s="1"/>
      <c r="V52" s="5">
        <f t="shared" si="29"/>
        <v>0</v>
      </c>
      <c r="W52" s="1"/>
      <c r="X52" s="1">
        <f t="shared" si="30"/>
        <v>-273.77999999999997</v>
      </c>
      <c r="Y52" s="1"/>
      <c r="Z52" s="5">
        <f t="shared" si="31"/>
        <v>-0.15197841726618702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/>
      <c r="E53" s="2"/>
      <c r="F53" s="7">
        <f t="shared" si="24"/>
        <v>0</v>
      </c>
      <c r="G53" s="2"/>
      <c r="H53" s="6">
        <v>300.24</v>
      </c>
      <c r="I53" s="2"/>
      <c r="J53" s="7">
        <f t="shared" si="25"/>
        <v>0</v>
      </c>
      <c r="K53" s="2"/>
      <c r="L53" s="6">
        <f t="shared" si="26"/>
        <v>-300.24</v>
      </c>
      <c r="M53" s="2"/>
      <c r="N53" s="7">
        <f t="shared" si="27"/>
        <v>-1</v>
      </c>
      <c r="O53" s="11"/>
      <c r="P53" s="6">
        <v>1527.66</v>
      </c>
      <c r="Q53" s="2"/>
      <c r="R53" s="7">
        <f t="shared" si="28"/>
        <v>0</v>
      </c>
      <c r="S53" s="2"/>
      <c r="T53" s="6">
        <v>1801.44</v>
      </c>
      <c r="U53" s="2"/>
      <c r="V53" s="7">
        <f t="shared" si="29"/>
        <v>0</v>
      </c>
      <c r="W53" s="2"/>
      <c r="X53" s="6">
        <f t="shared" si="30"/>
        <v>-273.77999999999997</v>
      </c>
      <c r="Y53" s="2"/>
      <c r="Z53" s="7">
        <f t="shared" si="31"/>
        <v>-0.15197841726618702</v>
      </c>
    </row>
    <row r="54" spans="1:26" s="27" customFormat="1" outlineLevel="1" collapsed="1" x14ac:dyDescent="0.25">
      <c r="A54" s="25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SUM(OSRRefD22_9x_0)</f>
        <v>206.9</v>
      </c>
      <c r="E54" s="1"/>
      <c r="F54" s="5">
        <f t="shared" si="24"/>
        <v>0</v>
      </c>
      <c r="G54" s="1"/>
      <c r="H54" s="1">
        <f>SUM(OSRRefH22_9x_0)</f>
        <v>202.32</v>
      </c>
      <c r="I54" s="1"/>
      <c r="J54" s="5">
        <f t="shared" si="25"/>
        <v>0</v>
      </c>
      <c r="K54" s="1"/>
      <c r="L54" s="1">
        <f t="shared" si="26"/>
        <v>4.5800000000000125</v>
      </c>
      <c r="M54" s="1"/>
      <c r="N54" s="5">
        <f t="shared" si="27"/>
        <v>2.2637406089363446E-2</v>
      </c>
      <c r="O54" s="13"/>
      <c r="P54" s="1">
        <f>SUM(OSRRefP22_9x_0)</f>
        <v>1164.9000000000001</v>
      </c>
      <c r="Q54" s="1"/>
      <c r="R54" s="5">
        <f t="shared" si="28"/>
        <v>0</v>
      </c>
      <c r="S54" s="1"/>
      <c r="T54" s="1">
        <f>SUM(OSRRefT22_9x_0)</f>
        <v>1249.33</v>
      </c>
      <c r="U54" s="1"/>
      <c r="V54" s="5">
        <f t="shared" si="29"/>
        <v>0</v>
      </c>
      <c r="W54" s="1"/>
      <c r="X54" s="1">
        <f t="shared" si="30"/>
        <v>-84.429999999999836</v>
      </c>
      <c r="Y54" s="1"/>
      <c r="Z54" s="5">
        <f t="shared" si="31"/>
        <v>-6.7580222999527623E-2</v>
      </c>
    </row>
    <row r="55" spans="1:26" s="24" customFormat="1" hidden="1" outlineLevel="2" x14ac:dyDescent="0.25">
      <c r="A55" s="26"/>
      <c r="B55" s="11" t="str">
        <f>CONCATENATE("          ", "6307", " - ", "POSTAGE")</f>
        <v xml:space="preserve">          6307 - POSTAGE</v>
      </c>
      <c r="C55" s="11"/>
      <c r="D55" s="6">
        <v>206.9</v>
      </c>
      <c r="E55" s="2"/>
      <c r="F55" s="7">
        <f t="shared" si="24"/>
        <v>0</v>
      </c>
      <c r="G55" s="2"/>
      <c r="H55" s="6">
        <v>202.32</v>
      </c>
      <c r="I55" s="2"/>
      <c r="J55" s="7">
        <f t="shared" si="25"/>
        <v>0</v>
      </c>
      <c r="K55" s="2"/>
      <c r="L55" s="6">
        <f t="shared" si="26"/>
        <v>4.5800000000000125</v>
      </c>
      <c r="M55" s="2"/>
      <c r="N55" s="7">
        <f t="shared" si="27"/>
        <v>2.2637406089363446E-2</v>
      </c>
      <c r="O55" s="11"/>
      <c r="P55" s="6">
        <v>1164.9000000000001</v>
      </c>
      <c r="Q55" s="2"/>
      <c r="R55" s="7">
        <f t="shared" si="28"/>
        <v>0</v>
      </c>
      <c r="S55" s="2"/>
      <c r="T55" s="6">
        <v>1249.33</v>
      </c>
      <c r="U55" s="2"/>
      <c r="V55" s="7">
        <f t="shared" si="29"/>
        <v>0</v>
      </c>
      <c r="W55" s="2"/>
      <c r="X55" s="6">
        <f t="shared" si="30"/>
        <v>-84.429999999999836</v>
      </c>
      <c r="Y55" s="2"/>
      <c r="Z55" s="7">
        <f t="shared" si="31"/>
        <v>-6.7580222999527623E-2</v>
      </c>
    </row>
    <row r="56" spans="1:26" s="27" customFormat="1" outlineLevel="1" collapsed="1" x14ac:dyDescent="0.25">
      <c r="A56" s="25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64.08</v>
      </c>
      <c r="E56" s="1"/>
      <c r="F56" s="5">
        <f t="shared" si="24"/>
        <v>0</v>
      </c>
      <c r="G56" s="1"/>
      <c r="H56" s="1">
        <f>SUM(OSRRefH22_10x_0)</f>
        <v>0</v>
      </c>
      <c r="I56" s="1"/>
      <c r="J56" s="5">
        <f t="shared" si="25"/>
        <v>0</v>
      </c>
      <c r="K56" s="1"/>
      <c r="L56" s="1">
        <f t="shared" si="26"/>
        <v>64.08</v>
      </c>
      <c r="M56" s="1"/>
      <c r="N56" s="5">
        <f t="shared" si="27"/>
        <v>0</v>
      </c>
      <c r="O56" s="13"/>
      <c r="P56" s="1">
        <f>SUM(OSRRefP22_10x_0)</f>
        <v>12635.43</v>
      </c>
      <c r="Q56" s="1"/>
      <c r="R56" s="5">
        <f t="shared" si="28"/>
        <v>0</v>
      </c>
      <c r="S56" s="1"/>
      <c r="T56" s="1">
        <f>SUM(OSRRefT22_10x_0)</f>
        <v>9288.1200000000008</v>
      </c>
      <c r="U56" s="1"/>
      <c r="V56" s="5">
        <f t="shared" si="29"/>
        <v>0</v>
      </c>
      <c r="W56" s="1"/>
      <c r="X56" s="1">
        <f t="shared" si="30"/>
        <v>3347.3099999999995</v>
      </c>
      <c r="Y56" s="1"/>
      <c r="Z56" s="5">
        <f t="shared" si="31"/>
        <v>0.36038617072130841</v>
      </c>
    </row>
    <row r="57" spans="1:26" s="24" customFormat="1" hidden="1" outlineLevel="2" x14ac:dyDescent="0.25">
      <c r="A57" s="26"/>
      <c r="B57" s="11" t="str">
        <f>CONCATENATE("          ", "6279", " - ", "GENERAL EXPENSE")</f>
        <v xml:space="preserve">          6279 - GENERAL EXPENSE</v>
      </c>
      <c r="C57" s="11"/>
      <c r="D57" s="6">
        <v>64.08</v>
      </c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64.08</v>
      </c>
      <c r="M57" s="2"/>
      <c r="N57" s="7">
        <f t="shared" si="27"/>
        <v>0</v>
      </c>
      <c r="O57" s="11"/>
      <c r="P57" s="6">
        <v>12635.43</v>
      </c>
      <c r="Q57" s="2"/>
      <c r="R57" s="7">
        <f t="shared" si="28"/>
        <v>0</v>
      </c>
      <c r="S57" s="2"/>
      <c r="T57" s="6">
        <v>9288.1200000000008</v>
      </c>
      <c r="U57" s="2"/>
      <c r="V57" s="7">
        <f t="shared" si="29"/>
        <v>0</v>
      </c>
      <c r="W57" s="2"/>
      <c r="X57" s="6">
        <f t="shared" si="30"/>
        <v>3347.3099999999995</v>
      </c>
      <c r="Y57" s="2"/>
      <c r="Z57" s="7">
        <f t="shared" si="31"/>
        <v>0.36038617072130841</v>
      </c>
    </row>
    <row r="58" spans="1:26" s="27" customFormat="1" outlineLevel="1" collapsed="1" x14ac:dyDescent="0.25">
      <c r="A58" s="25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370.89</v>
      </c>
      <c r="I58" s="1"/>
      <c r="J58" s="5">
        <f t="shared" si="25"/>
        <v>0</v>
      </c>
      <c r="K58" s="1"/>
      <c r="L58" s="1">
        <f t="shared" si="26"/>
        <v>22.78000000000003</v>
      </c>
      <c r="M58" s="1"/>
      <c r="N58" s="5">
        <f t="shared" si="27"/>
        <v>6.1419827981342261E-2</v>
      </c>
      <c r="O58" s="13"/>
      <c r="P58" s="1">
        <f>SUM(OSRRefP22_11x_0)</f>
        <v>2362.02</v>
      </c>
      <c r="Q58" s="1"/>
      <c r="R58" s="5">
        <f t="shared" si="28"/>
        <v>0</v>
      </c>
      <c r="S58" s="1"/>
      <c r="T58" s="1">
        <f>SUM(OSRRefT22_11x_0)</f>
        <v>2225.34</v>
      </c>
      <c r="U58" s="1"/>
      <c r="V58" s="5">
        <f t="shared" si="29"/>
        <v>0</v>
      </c>
      <c r="W58" s="1"/>
      <c r="X58" s="1">
        <f t="shared" si="30"/>
        <v>136.67999999999984</v>
      </c>
      <c r="Y58" s="1"/>
      <c r="Z58" s="5">
        <f t="shared" si="31"/>
        <v>6.1419827981342101E-2</v>
      </c>
    </row>
    <row r="59" spans="1:26" s="24" customFormat="1" hidden="1" outlineLevel="2" x14ac:dyDescent="0.25">
      <c r="A59" s="26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370.89</v>
      </c>
      <c r="I59" s="2"/>
      <c r="J59" s="7">
        <f t="shared" si="25"/>
        <v>0</v>
      </c>
      <c r="K59" s="2"/>
      <c r="L59" s="6">
        <f t="shared" si="26"/>
        <v>22.78000000000003</v>
      </c>
      <c r="M59" s="2"/>
      <c r="N59" s="7">
        <f t="shared" si="27"/>
        <v>6.1419827981342261E-2</v>
      </c>
      <c r="O59" s="11"/>
      <c r="P59" s="6">
        <v>2362.02</v>
      </c>
      <c r="Q59" s="2"/>
      <c r="R59" s="7">
        <f t="shared" si="28"/>
        <v>0</v>
      </c>
      <c r="S59" s="2"/>
      <c r="T59" s="6">
        <v>2225.34</v>
      </c>
      <c r="U59" s="2"/>
      <c r="V59" s="7">
        <f t="shared" si="29"/>
        <v>0</v>
      </c>
      <c r="W59" s="2"/>
      <c r="X59" s="6">
        <f t="shared" si="30"/>
        <v>136.67999999999984</v>
      </c>
      <c r="Y59" s="2"/>
      <c r="Z59" s="7">
        <f t="shared" si="31"/>
        <v>6.1419827981342101E-2</v>
      </c>
    </row>
    <row r="60" spans="1:26" s="27" customFormat="1" outlineLevel="1" collapsed="1" x14ac:dyDescent="0.25">
      <c r="A60" s="25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245.95</v>
      </c>
      <c r="E60" s="1"/>
      <c r="F60" s="5">
        <f t="shared" si="24"/>
        <v>0</v>
      </c>
      <c r="G60" s="1"/>
      <c r="H60" s="1">
        <f>SUM(OSRRefH22_12x_0)</f>
        <v>3753.4</v>
      </c>
      <c r="I60" s="1"/>
      <c r="J60" s="5">
        <f t="shared" si="25"/>
        <v>0</v>
      </c>
      <c r="K60" s="1"/>
      <c r="L60" s="1">
        <f t="shared" si="26"/>
        <v>-3507.4500000000003</v>
      </c>
      <c r="M60" s="1"/>
      <c r="N60" s="5">
        <f t="shared" si="27"/>
        <v>-0.93447274471146169</v>
      </c>
      <c r="O60" s="13"/>
      <c r="P60" s="1">
        <f>SUM(OSRRefP22_12x_0)</f>
        <v>144037.78</v>
      </c>
      <c r="Q60" s="1"/>
      <c r="R60" s="5">
        <f t="shared" si="28"/>
        <v>0</v>
      </c>
      <c r="S60" s="1"/>
      <c r="T60" s="1">
        <f>SUM(OSRRefT22_12x_0)</f>
        <v>124046.68999999999</v>
      </c>
      <c r="U60" s="1"/>
      <c r="V60" s="5">
        <f t="shared" si="29"/>
        <v>0</v>
      </c>
      <c r="W60" s="1"/>
      <c r="X60" s="1">
        <f t="shared" si="30"/>
        <v>19991.090000000011</v>
      </c>
      <c r="Y60" s="1"/>
      <c r="Z60" s="5">
        <f t="shared" si="31"/>
        <v>0.16115778663662861</v>
      </c>
    </row>
    <row r="61" spans="1:26" s="24" customFormat="1" hidden="1" outlineLevel="2" x14ac:dyDescent="0.25">
      <c r="A61" s="26"/>
      <c r="B61" s="11" t="str">
        <f>CONCATENATE("          ", "6331", " - ", "INDIRECT COSTS-AUXILIARY ORGAN")</f>
        <v xml:space="preserve">          6331 - INDIRECT COSTS-AUXILIARY ORGAN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68749</v>
      </c>
      <c r="Q61" s="2"/>
      <c r="R61" s="7">
        <f t="shared" si="28"/>
        <v>0</v>
      </c>
      <c r="S61" s="2"/>
      <c r="T61" s="6">
        <v>62325.5</v>
      </c>
      <c r="U61" s="2"/>
      <c r="V61" s="7">
        <f t="shared" si="29"/>
        <v>0</v>
      </c>
      <c r="W61" s="2"/>
      <c r="X61" s="6">
        <f t="shared" si="30"/>
        <v>6423.5</v>
      </c>
      <c r="Y61" s="2"/>
      <c r="Z61" s="7">
        <f t="shared" si="31"/>
        <v>0.10306375400117126</v>
      </c>
    </row>
    <row r="62" spans="1:26" s="24" customFormat="1" hidden="1" outlineLevel="2" x14ac:dyDescent="0.25">
      <c r="A62" s="26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>
        <v>3000</v>
      </c>
      <c r="I62" s="2"/>
      <c r="J62" s="7">
        <f t="shared" si="25"/>
        <v>0</v>
      </c>
      <c r="K62" s="2"/>
      <c r="L62" s="6">
        <f t="shared" si="26"/>
        <v>-3000</v>
      </c>
      <c r="M62" s="2"/>
      <c r="N62" s="7">
        <f t="shared" si="27"/>
        <v>-1</v>
      </c>
      <c r="O62" s="11"/>
      <c r="P62" s="6">
        <v>15144.74</v>
      </c>
      <c r="Q62" s="2"/>
      <c r="R62" s="7">
        <f t="shared" si="28"/>
        <v>0</v>
      </c>
      <c r="S62" s="2"/>
      <c r="T62" s="6">
        <v>52450</v>
      </c>
      <c r="U62" s="2"/>
      <c r="V62" s="7">
        <f t="shared" si="29"/>
        <v>0</v>
      </c>
      <c r="W62" s="2"/>
      <c r="X62" s="6">
        <f t="shared" si="30"/>
        <v>-37305.26</v>
      </c>
      <c r="Y62" s="2"/>
      <c r="Z62" s="7">
        <f t="shared" si="31"/>
        <v>-0.71125376549094377</v>
      </c>
    </row>
    <row r="63" spans="1:26" s="24" customFormat="1" hidden="1" outlineLevel="2" x14ac:dyDescent="0.25">
      <c r="A63" s="26"/>
      <c r="B63" s="11" t="str">
        <f>CONCATENATE("          ", "6334", " - ", "LEGAL COUNCIL EXPENSE")</f>
        <v xml:space="preserve">          6334 - LEGAL COUNCIL EXPENSE</v>
      </c>
      <c r="C63" s="11"/>
      <c r="D63" s="6">
        <v>100</v>
      </c>
      <c r="E63" s="2"/>
      <c r="F63" s="7">
        <f t="shared" si="24"/>
        <v>0</v>
      </c>
      <c r="G63" s="2"/>
      <c r="H63" s="6">
        <v>525</v>
      </c>
      <c r="I63" s="2"/>
      <c r="J63" s="7">
        <f t="shared" si="25"/>
        <v>0</v>
      </c>
      <c r="K63" s="2"/>
      <c r="L63" s="6">
        <f t="shared" si="26"/>
        <v>-425</v>
      </c>
      <c r="M63" s="2"/>
      <c r="N63" s="7">
        <f t="shared" si="27"/>
        <v>-0.80952380952380953</v>
      </c>
      <c r="O63" s="11"/>
      <c r="P63" s="6">
        <v>38300</v>
      </c>
      <c r="Q63" s="2"/>
      <c r="R63" s="7">
        <f t="shared" si="28"/>
        <v>0</v>
      </c>
      <c r="S63" s="2"/>
      <c r="T63" s="6">
        <v>1007.79</v>
      </c>
      <c r="U63" s="2"/>
      <c r="V63" s="7">
        <f t="shared" si="29"/>
        <v>0</v>
      </c>
      <c r="W63" s="2"/>
      <c r="X63" s="6">
        <f t="shared" si="30"/>
        <v>37292.21</v>
      </c>
      <c r="Y63" s="2"/>
      <c r="Z63" s="7">
        <f t="shared" si="31"/>
        <v>37.003949235455799</v>
      </c>
    </row>
    <row r="64" spans="1:26" s="24" customFormat="1" hidden="1" outlineLevel="2" x14ac:dyDescent="0.25">
      <c r="A64" s="26"/>
      <c r="B64" s="11" t="str">
        <f>CONCATENATE("          ", "6336", " - ", "PROFESSIONAL SERVICES")</f>
        <v xml:space="preserve">          6336 - PROFESSIONAL SERVICES</v>
      </c>
      <c r="C64" s="11"/>
      <c r="D64" s="6">
        <v>145.94999999999999</v>
      </c>
      <c r="E64" s="2"/>
      <c r="F64" s="7">
        <f t="shared" si="24"/>
        <v>0</v>
      </c>
      <c r="G64" s="2"/>
      <c r="H64" s="6">
        <v>228.4</v>
      </c>
      <c r="I64" s="2"/>
      <c r="J64" s="7">
        <f t="shared" si="25"/>
        <v>0</v>
      </c>
      <c r="K64" s="2"/>
      <c r="L64" s="6">
        <f t="shared" si="26"/>
        <v>-82.450000000000017</v>
      </c>
      <c r="M64" s="2"/>
      <c r="N64" s="7">
        <f t="shared" si="27"/>
        <v>-0.36098949211908937</v>
      </c>
      <c r="O64" s="11"/>
      <c r="P64" s="6">
        <v>21844.04</v>
      </c>
      <c r="Q64" s="2"/>
      <c r="R64" s="7">
        <f t="shared" si="28"/>
        <v>0</v>
      </c>
      <c r="S64" s="2"/>
      <c r="T64" s="6">
        <v>8263.4</v>
      </c>
      <c r="U64" s="2"/>
      <c r="V64" s="7">
        <f t="shared" si="29"/>
        <v>0</v>
      </c>
      <c r="W64" s="2"/>
      <c r="X64" s="6">
        <f t="shared" si="30"/>
        <v>13580.640000000001</v>
      </c>
      <c r="Y64" s="2"/>
      <c r="Z64" s="7">
        <f t="shared" si="31"/>
        <v>1.6434687900864053</v>
      </c>
    </row>
    <row r="65" spans="1:26" s="27" customFormat="1" outlineLevel="1" collapsed="1" x14ac:dyDescent="0.25">
      <c r="A65" s="25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28869.850000000002</v>
      </c>
      <c r="E65" s="1"/>
      <c r="F65" s="5">
        <f t="shared" ref="F65:F69" si="32">IF(D$12=0,0,D65/D$12)</f>
        <v>0</v>
      </c>
      <c r="G65" s="1"/>
      <c r="H65" s="1">
        <f>SUM(OSRRefH22_13x_0)</f>
        <v>36454.950000000004</v>
      </c>
      <c r="I65" s="1"/>
      <c r="J65" s="5">
        <f t="shared" ref="J65:J69" si="33">IF(H$12=0,0,H65/H$12)</f>
        <v>0</v>
      </c>
      <c r="K65" s="1"/>
      <c r="L65" s="1">
        <f t="shared" ref="L65:L69" si="34">+D65-H65</f>
        <v>-7585.1000000000022</v>
      </c>
      <c r="M65" s="1"/>
      <c r="N65" s="5">
        <f t="shared" ref="N65:N69" si="35">IF(H65=0,0,L65/H65)</f>
        <v>-0.20806776583152634</v>
      </c>
      <c r="O65" s="13"/>
      <c r="P65" s="1">
        <f>SUM(OSRRefP22_13x_0)</f>
        <v>158908.66</v>
      </c>
      <c r="Q65" s="1"/>
      <c r="R65" s="5">
        <f t="shared" ref="R65:R69" si="36">IF(P$12=0,0,P65/P$12)</f>
        <v>0</v>
      </c>
      <c r="S65" s="1"/>
      <c r="T65" s="1">
        <f>SUM(OSRRefT22_13x_0)</f>
        <v>165185.79999999999</v>
      </c>
      <c r="U65" s="1"/>
      <c r="V65" s="5">
        <f t="shared" ref="V65:V69" si="37">IF(T$12=0,0,T65/T$12)</f>
        <v>0</v>
      </c>
      <c r="W65" s="1"/>
      <c r="X65" s="1">
        <f t="shared" ref="X65:X69" si="38">+P65-T65</f>
        <v>-6277.1399999999849</v>
      </c>
      <c r="Y65" s="1"/>
      <c r="Z65" s="5">
        <f t="shared" ref="Z65:Z69" si="39">IF(T65=0,0,X65/T65)</f>
        <v>-3.800048188161443E-2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15170.02</v>
      </c>
      <c r="E66" s="2"/>
      <c r="F66" s="7">
        <f t="shared" si="32"/>
        <v>0</v>
      </c>
      <c r="G66" s="2"/>
      <c r="H66" s="6">
        <v>14540.37</v>
      </c>
      <c r="I66" s="2"/>
      <c r="J66" s="7">
        <f t="shared" si="33"/>
        <v>0</v>
      </c>
      <c r="K66" s="2"/>
      <c r="L66" s="6">
        <f t="shared" si="34"/>
        <v>629.64999999999964</v>
      </c>
      <c r="M66" s="2"/>
      <c r="N66" s="7">
        <f t="shared" si="35"/>
        <v>4.330357480586805E-2</v>
      </c>
      <c r="O66" s="11"/>
      <c r="P66" s="6">
        <v>73438.89</v>
      </c>
      <c r="Q66" s="2"/>
      <c r="R66" s="7">
        <f t="shared" si="36"/>
        <v>0</v>
      </c>
      <c r="S66" s="2"/>
      <c r="T66" s="6">
        <v>73906.559999999998</v>
      </c>
      <c r="U66" s="2"/>
      <c r="V66" s="7">
        <f t="shared" si="37"/>
        <v>0</v>
      </c>
      <c r="W66" s="2"/>
      <c r="X66" s="6">
        <f t="shared" si="38"/>
        <v>-467.66999999999825</v>
      </c>
      <c r="Y66" s="2"/>
      <c r="Z66" s="7">
        <f t="shared" si="39"/>
        <v>-6.3278550645571689E-3</v>
      </c>
    </row>
    <row r="67" spans="1:26" s="24" customFormat="1" hidden="1" outlineLevel="2" x14ac:dyDescent="0.25">
      <c r="A67" s="26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32"/>
        <v>0</v>
      </c>
      <c r="G67" s="2"/>
      <c r="H67" s="6">
        <v>321.92</v>
      </c>
      <c r="I67" s="2"/>
      <c r="J67" s="7">
        <f t="shared" si="33"/>
        <v>0</v>
      </c>
      <c r="K67" s="2"/>
      <c r="L67" s="6">
        <f t="shared" si="34"/>
        <v>-321.92</v>
      </c>
      <c r="M67" s="2"/>
      <c r="N67" s="7">
        <f t="shared" si="35"/>
        <v>-1</v>
      </c>
      <c r="O67" s="11"/>
      <c r="P67" s="6"/>
      <c r="Q67" s="2"/>
      <c r="R67" s="7">
        <f t="shared" si="36"/>
        <v>0</v>
      </c>
      <c r="S67" s="2"/>
      <c r="T67" s="6">
        <v>321.92</v>
      </c>
      <c r="U67" s="2"/>
      <c r="V67" s="7">
        <f t="shared" si="37"/>
        <v>0</v>
      </c>
      <c r="W67" s="2"/>
      <c r="X67" s="6">
        <f t="shared" si="38"/>
        <v>-321.92</v>
      </c>
      <c r="Y67" s="2"/>
      <c r="Z67" s="7">
        <f t="shared" si="39"/>
        <v>-1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13604.79</v>
      </c>
      <c r="E68" s="2"/>
      <c r="F68" s="7">
        <f t="shared" si="32"/>
        <v>0</v>
      </c>
      <c r="G68" s="2"/>
      <c r="H68" s="6">
        <v>20842.79</v>
      </c>
      <c r="I68" s="2"/>
      <c r="J68" s="7">
        <f t="shared" si="33"/>
        <v>0</v>
      </c>
      <c r="K68" s="2"/>
      <c r="L68" s="6">
        <f t="shared" si="34"/>
        <v>-7238</v>
      </c>
      <c r="M68" s="2"/>
      <c r="N68" s="7">
        <f t="shared" si="35"/>
        <v>-0.34726636884985168</v>
      </c>
      <c r="O68" s="11"/>
      <c r="P68" s="6">
        <v>83826.69</v>
      </c>
      <c r="Q68" s="2"/>
      <c r="R68" s="7">
        <f t="shared" si="36"/>
        <v>0</v>
      </c>
      <c r="S68" s="2"/>
      <c r="T68" s="6">
        <v>86856.07</v>
      </c>
      <c r="U68" s="2"/>
      <c r="V68" s="7">
        <f t="shared" si="37"/>
        <v>0</v>
      </c>
      <c r="W68" s="2"/>
      <c r="X68" s="6">
        <f t="shared" si="38"/>
        <v>-3029.3800000000047</v>
      </c>
      <c r="Y68" s="2"/>
      <c r="Z68" s="7">
        <f t="shared" si="39"/>
        <v>-3.4878161077285724E-2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95.04</v>
      </c>
      <c r="E69" s="2"/>
      <c r="F69" s="7">
        <f t="shared" si="32"/>
        <v>0</v>
      </c>
      <c r="G69" s="2"/>
      <c r="H69" s="6">
        <v>749.87</v>
      </c>
      <c r="I69" s="2"/>
      <c r="J69" s="7">
        <f t="shared" si="33"/>
        <v>0</v>
      </c>
      <c r="K69" s="2"/>
      <c r="L69" s="6">
        <f t="shared" si="34"/>
        <v>-654.83000000000004</v>
      </c>
      <c r="M69" s="2"/>
      <c r="N69" s="7">
        <f t="shared" si="35"/>
        <v>-0.873258031392108</v>
      </c>
      <c r="O69" s="11"/>
      <c r="P69" s="6">
        <v>1643.08</v>
      </c>
      <c r="Q69" s="2"/>
      <c r="R69" s="7">
        <f t="shared" si="36"/>
        <v>0</v>
      </c>
      <c r="S69" s="2"/>
      <c r="T69" s="6">
        <v>4101.25</v>
      </c>
      <c r="U69" s="2"/>
      <c r="V69" s="7">
        <f t="shared" si="37"/>
        <v>0</v>
      </c>
      <c r="W69" s="2"/>
      <c r="X69" s="6">
        <f t="shared" si="38"/>
        <v>-2458.17</v>
      </c>
      <c r="Y69" s="2"/>
      <c r="Z69" s="7">
        <f t="shared" si="39"/>
        <v>-0.59937092349893328</v>
      </c>
    </row>
    <row r="70" spans="1:26" s="27" customFormat="1" outlineLevel="1" collapsed="1" x14ac:dyDescent="0.25">
      <c r="A70" s="25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SUM(OSRRefD22_14x_0)</f>
        <v>513.21</v>
      </c>
      <c r="E70" s="1"/>
      <c r="F70" s="5">
        <f t="shared" ref="F70:F72" si="40">IF(D$12=0,0,D70/D$12)</f>
        <v>0</v>
      </c>
      <c r="G70" s="1"/>
      <c r="H70" s="1">
        <f>SUM(OSRRefH22_14x_0)</f>
        <v>696.69</v>
      </c>
      <c r="I70" s="1"/>
      <c r="J70" s="5">
        <f t="shared" ref="J70:J72" si="41">IF(H$12=0,0,H70/H$12)</f>
        <v>0</v>
      </c>
      <c r="K70" s="1"/>
      <c r="L70" s="1">
        <f t="shared" ref="L70:L72" si="42">+D70-H70</f>
        <v>-183.48000000000002</v>
      </c>
      <c r="M70" s="1"/>
      <c r="N70" s="5">
        <f t="shared" ref="N70:N72" si="43">IF(H70=0,0,L70/H70)</f>
        <v>-0.26335960039615897</v>
      </c>
      <c r="O70" s="13"/>
      <c r="P70" s="1">
        <f>SUM(OSRRefP22_14x_0)</f>
        <v>8148.0199999999995</v>
      </c>
      <c r="Q70" s="1"/>
      <c r="R70" s="5">
        <f t="shared" ref="R70:R72" si="44">IF(P$12=0,0,P70/P$12)</f>
        <v>0</v>
      </c>
      <c r="S70" s="1"/>
      <c r="T70" s="1">
        <f>SUM(OSRRefT22_14x_0)</f>
        <v>3442.74</v>
      </c>
      <c r="U70" s="1"/>
      <c r="V70" s="5">
        <f t="shared" ref="V70:V72" si="45">IF(T$12=0,0,T70/T$12)</f>
        <v>0</v>
      </c>
      <c r="W70" s="1"/>
      <c r="X70" s="1">
        <f t="shared" ref="X70:X72" si="46">+P70-T70</f>
        <v>4705.28</v>
      </c>
      <c r="Y70" s="1"/>
      <c r="Z70" s="5">
        <f t="shared" ref="Z70:Z72" si="47">IF(T70=0,0,X70/T70)</f>
        <v>1.3667253408622202</v>
      </c>
    </row>
    <row r="71" spans="1:26" s="24" customFormat="1" hidden="1" outlineLevel="2" x14ac:dyDescent="0.25">
      <c r="A71" s="26"/>
      <c r="B71" s="11" t="str">
        <f>CONCATENATE("          ", "6281", " - ", "STORAGE FEE")</f>
        <v xml:space="preserve">          6281 - STORAGE FEE</v>
      </c>
      <c r="C71" s="11"/>
      <c r="D71" s="6">
        <v>504.37</v>
      </c>
      <c r="E71" s="2"/>
      <c r="F71" s="7">
        <f t="shared" si="40"/>
        <v>0</v>
      </c>
      <c r="G71" s="2"/>
      <c r="H71" s="6">
        <v>689.61</v>
      </c>
      <c r="I71" s="2"/>
      <c r="J71" s="7">
        <f t="shared" si="41"/>
        <v>0</v>
      </c>
      <c r="K71" s="2"/>
      <c r="L71" s="6">
        <f t="shared" si="42"/>
        <v>-185.24</v>
      </c>
      <c r="M71" s="2"/>
      <c r="N71" s="7">
        <f t="shared" si="43"/>
        <v>-0.26861559432142806</v>
      </c>
      <c r="O71" s="11"/>
      <c r="P71" s="6">
        <v>8099.4</v>
      </c>
      <c r="Q71" s="2"/>
      <c r="R71" s="7">
        <f t="shared" si="44"/>
        <v>0</v>
      </c>
      <c r="S71" s="2"/>
      <c r="T71" s="6">
        <v>3396.72</v>
      </c>
      <c r="U71" s="2"/>
      <c r="V71" s="7">
        <f t="shared" si="45"/>
        <v>0</v>
      </c>
      <c r="W71" s="2"/>
      <c r="X71" s="6">
        <f t="shared" si="46"/>
        <v>4702.68</v>
      </c>
      <c r="Y71" s="2"/>
      <c r="Z71" s="7">
        <f t="shared" si="47"/>
        <v>1.3844767893732779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6">
        <v>8.84</v>
      </c>
      <c r="E72" s="2"/>
      <c r="F72" s="7">
        <f t="shared" si="40"/>
        <v>0</v>
      </c>
      <c r="G72" s="2"/>
      <c r="H72" s="6">
        <v>7.08</v>
      </c>
      <c r="I72" s="2"/>
      <c r="J72" s="7">
        <f t="shared" si="41"/>
        <v>0</v>
      </c>
      <c r="K72" s="2"/>
      <c r="L72" s="6">
        <f t="shared" si="42"/>
        <v>1.7599999999999998</v>
      </c>
      <c r="M72" s="2"/>
      <c r="N72" s="7">
        <f t="shared" si="43"/>
        <v>0.24858757062146888</v>
      </c>
      <c r="O72" s="11"/>
      <c r="P72" s="6">
        <v>48.62</v>
      </c>
      <c r="Q72" s="2"/>
      <c r="R72" s="7">
        <f t="shared" si="44"/>
        <v>0</v>
      </c>
      <c r="S72" s="2"/>
      <c r="T72" s="6">
        <v>46.02</v>
      </c>
      <c r="U72" s="2"/>
      <c r="V72" s="7">
        <f t="shared" si="45"/>
        <v>0</v>
      </c>
      <c r="W72" s="2"/>
      <c r="X72" s="6">
        <f t="shared" si="46"/>
        <v>2.5999999999999943</v>
      </c>
      <c r="Y72" s="2"/>
      <c r="Z72" s="7">
        <f t="shared" si="47"/>
        <v>5.6497175141242813E-2</v>
      </c>
    </row>
    <row r="73" spans="1:26" s="27" customFormat="1" outlineLevel="1" collapsed="1" x14ac:dyDescent="0.25">
      <c r="A73" s="25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SUM(OSRRefD22_15x_0)</f>
        <v>795</v>
      </c>
      <c r="E73" s="1"/>
      <c r="F73" s="5">
        <f t="shared" ref="F73:F79" si="48">IF(D$12=0,0,D73/D$12)</f>
        <v>0</v>
      </c>
      <c r="G73" s="1"/>
      <c r="H73" s="1">
        <f>SUM(OSRRefH22_15x_0)</f>
        <v>0</v>
      </c>
      <c r="I73" s="1"/>
      <c r="J73" s="5">
        <f t="shared" ref="J73:J79" si="49">IF(H$12=0,0,H73/H$12)</f>
        <v>0</v>
      </c>
      <c r="K73" s="1"/>
      <c r="L73" s="1">
        <f t="shared" ref="L73:L79" si="50">+D73-H73</f>
        <v>795</v>
      </c>
      <c r="M73" s="1"/>
      <c r="N73" s="5">
        <f t="shared" ref="N73:N79" si="51">IF(H73=0,0,L73/H73)</f>
        <v>0</v>
      </c>
      <c r="O73" s="13"/>
      <c r="P73" s="1">
        <f>SUM(OSRRefP22_15x_0)</f>
        <v>2421</v>
      </c>
      <c r="Q73" s="1"/>
      <c r="R73" s="5">
        <f t="shared" ref="R73:R79" si="52">IF(P$12=0,0,P73/P$12)</f>
        <v>0</v>
      </c>
      <c r="S73" s="1"/>
      <c r="T73" s="1">
        <f>SUM(OSRRefT22_15x_0)</f>
        <v>1817</v>
      </c>
      <c r="U73" s="1"/>
      <c r="V73" s="5">
        <f t="shared" ref="V73:V79" si="53">IF(T$12=0,0,T73/T$12)</f>
        <v>0</v>
      </c>
      <c r="W73" s="1"/>
      <c r="X73" s="1">
        <f t="shared" ref="X73:X79" si="54">+P73-T73</f>
        <v>604</v>
      </c>
      <c r="Y73" s="1"/>
      <c r="Z73" s="5">
        <f t="shared" ref="Z73:Z79" si="55">IF(T73=0,0,X73/T73)</f>
        <v>0.33241607044578975</v>
      </c>
    </row>
    <row r="74" spans="1:26" s="24" customFormat="1" hidden="1" outlineLevel="2" x14ac:dyDescent="0.25">
      <c r="A74" s="26"/>
      <c r="B74" s="11" t="str">
        <f>CONCATENATE("          ", "6258", " - ", "MEMBERSHIP DUES")</f>
        <v xml:space="preserve">          6258 - MEMBERSHIP DUES</v>
      </c>
      <c r="C74" s="11"/>
      <c r="D74" s="6">
        <v>795</v>
      </c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795</v>
      </c>
      <c r="M74" s="2"/>
      <c r="N74" s="7">
        <f t="shared" si="51"/>
        <v>0</v>
      </c>
      <c r="O74" s="11"/>
      <c r="P74" s="6">
        <v>2421</v>
      </c>
      <c r="Q74" s="2"/>
      <c r="R74" s="7">
        <f t="shared" si="52"/>
        <v>0</v>
      </c>
      <c r="S74" s="2"/>
      <c r="T74" s="6">
        <v>1817</v>
      </c>
      <c r="U74" s="2"/>
      <c r="V74" s="7">
        <f t="shared" si="53"/>
        <v>0</v>
      </c>
      <c r="W74" s="2"/>
      <c r="X74" s="6">
        <f t="shared" si="54"/>
        <v>604</v>
      </c>
      <c r="Y74" s="2"/>
      <c r="Z74" s="7">
        <f t="shared" si="55"/>
        <v>0.33241607044578975</v>
      </c>
    </row>
    <row r="75" spans="1:26" s="27" customFormat="1" outlineLevel="1" collapsed="1" x14ac:dyDescent="0.25">
      <c r="A75" s="25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SUM(OSRRefD22_16x_0)</f>
        <v>3984.77</v>
      </c>
      <c r="E75" s="1"/>
      <c r="F75" s="5">
        <f t="shared" si="48"/>
        <v>0</v>
      </c>
      <c r="G75" s="1"/>
      <c r="H75" s="1">
        <f>SUM(OSRRefH22_16x_0)</f>
        <v>4599.8399999999992</v>
      </c>
      <c r="I75" s="1"/>
      <c r="J75" s="5">
        <f t="shared" si="49"/>
        <v>0</v>
      </c>
      <c r="K75" s="1"/>
      <c r="L75" s="1">
        <f t="shared" si="50"/>
        <v>-615.06999999999925</v>
      </c>
      <c r="M75" s="1"/>
      <c r="N75" s="5">
        <f t="shared" si="51"/>
        <v>-0.13371552053984473</v>
      </c>
      <c r="O75" s="13"/>
      <c r="P75" s="1">
        <f>SUM(OSRRefP22_16x_0)</f>
        <v>42357.210000000006</v>
      </c>
      <c r="Q75" s="1"/>
      <c r="R75" s="5">
        <f t="shared" si="52"/>
        <v>0</v>
      </c>
      <c r="S75" s="1"/>
      <c r="T75" s="1">
        <f>SUM(OSRRefT22_16x_0)</f>
        <v>48627.59</v>
      </c>
      <c r="U75" s="1"/>
      <c r="V75" s="5">
        <f t="shared" si="53"/>
        <v>0</v>
      </c>
      <c r="W75" s="1"/>
      <c r="X75" s="1">
        <f t="shared" si="54"/>
        <v>-6270.3799999999901</v>
      </c>
      <c r="Y75" s="1"/>
      <c r="Z75" s="5">
        <f t="shared" si="55"/>
        <v>-0.12894696200243505</v>
      </c>
    </row>
    <row r="76" spans="1:26" s="24" customFormat="1" hidden="1" outlineLevel="2" x14ac:dyDescent="0.25">
      <c r="A76" s="26"/>
      <c r="B76" s="11" t="str">
        <f>CONCATENATE("          ", "6234", " - ", "EXPENDABLE SUPPLIES &amp; EQUIPMEN")</f>
        <v xml:space="preserve">          6234 - EXPENDABLE SUPPLIES &amp; EQUIPMEN</v>
      </c>
      <c r="C76" s="11"/>
      <c r="D76" s="6">
        <v>313.08999999999997</v>
      </c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313.08999999999997</v>
      </c>
      <c r="M76" s="2"/>
      <c r="N76" s="7">
        <f t="shared" si="51"/>
        <v>0</v>
      </c>
      <c r="O76" s="11"/>
      <c r="P76" s="6">
        <v>1223.6099999999999</v>
      </c>
      <c r="Q76" s="2"/>
      <c r="R76" s="7">
        <f t="shared" si="52"/>
        <v>0</v>
      </c>
      <c r="S76" s="2"/>
      <c r="T76" s="6">
        <v>4924.16</v>
      </c>
      <c r="U76" s="2"/>
      <c r="V76" s="7">
        <f t="shared" si="53"/>
        <v>0</v>
      </c>
      <c r="W76" s="2"/>
      <c r="X76" s="6">
        <f t="shared" si="54"/>
        <v>-3700.55</v>
      </c>
      <c r="Y76" s="2"/>
      <c r="Z76" s="7">
        <f t="shared" si="55"/>
        <v>-0.75150888679490513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6">
        <v>3557.96</v>
      </c>
      <c r="E77" s="2"/>
      <c r="F77" s="7">
        <f t="shared" si="48"/>
        <v>0</v>
      </c>
      <c r="G77" s="2"/>
      <c r="H77" s="6">
        <v>4542.9799999999996</v>
      </c>
      <c r="I77" s="2"/>
      <c r="J77" s="7">
        <f t="shared" si="49"/>
        <v>0</v>
      </c>
      <c r="K77" s="2"/>
      <c r="L77" s="6">
        <f t="shared" si="50"/>
        <v>-985.01999999999953</v>
      </c>
      <c r="M77" s="2"/>
      <c r="N77" s="7">
        <f t="shared" si="51"/>
        <v>-0.21682243813532079</v>
      </c>
      <c r="O77" s="11"/>
      <c r="P77" s="6">
        <v>36536.990000000005</v>
      </c>
      <c r="Q77" s="2"/>
      <c r="R77" s="7">
        <f t="shared" si="52"/>
        <v>0</v>
      </c>
      <c r="S77" s="2"/>
      <c r="T77" s="6">
        <v>40522.480000000003</v>
      </c>
      <c r="U77" s="2"/>
      <c r="V77" s="7">
        <f t="shared" si="53"/>
        <v>0</v>
      </c>
      <c r="W77" s="2"/>
      <c r="X77" s="6">
        <f t="shared" si="54"/>
        <v>-3985.489999999998</v>
      </c>
      <c r="Y77" s="2"/>
      <c r="Z77" s="7">
        <f t="shared" si="55"/>
        <v>-9.8352568747026289E-2</v>
      </c>
    </row>
    <row r="78" spans="1:26" s="24" customFormat="1" hidden="1" outlineLevel="2" x14ac:dyDescent="0.25">
      <c r="A78" s="26"/>
      <c r="B78" s="11" t="str">
        <f>CONCATENATE("          ", "6244", " - ", "SAFETY SUPPLY EXPENSE")</f>
        <v xml:space="preserve">          6244 - SAFETY SUPPLY EXPENSE</v>
      </c>
      <c r="C78" s="11"/>
      <c r="D78" s="6">
        <v>50</v>
      </c>
      <c r="E78" s="2"/>
      <c r="F78" s="7">
        <f t="shared" si="48"/>
        <v>0</v>
      </c>
      <c r="G78" s="2"/>
      <c r="H78" s="6">
        <v>25</v>
      </c>
      <c r="I78" s="2"/>
      <c r="J78" s="7">
        <f t="shared" si="49"/>
        <v>0</v>
      </c>
      <c r="K78" s="2"/>
      <c r="L78" s="6">
        <f t="shared" si="50"/>
        <v>25</v>
      </c>
      <c r="M78" s="2"/>
      <c r="N78" s="7">
        <f t="shared" si="51"/>
        <v>1</v>
      </c>
      <c r="O78" s="11"/>
      <c r="P78" s="6">
        <v>1557.33</v>
      </c>
      <c r="Q78" s="2"/>
      <c r="R78" s="7">
        <f t="shared" si="52"/>
        <v>0</v>
      </c>
      <c r="S78" s="2"/>
      <c r="T78" s="6">
        <v>2253.21</v>
      </c>
      <c r="U78" s="2"/>
      <c r="V78" s="7">
        <f t="shared" si="53"/>
        <v>0</v>
      </c>
      <c r="W78" s="2"/>
      <c r="X78" s="6">
        <f t="shared" si="54"/>
        <v>-695.88000000000011</v>
      </c>
      <c r="Y78" s="2"/>
      <c r="Z78" s="7">
        <f t="shared" si="55"/>
        <v>-0.30883938913816295</v>
      </c>
    </row>
    <row r="79" spans="1:26" s="24" customFormat="1" hidden="1" outlineLevel="2" x14ac:dyDescent="0.25">
      <c r="A79" s="26"/>
      <c r="B79" s="11" t="str">
        <f>CONCATENATE("          ", "6245", " - ", "PRINTING")</f>
        <v xml:space="preserve">          6245 - PRINTING</v>
      </c>
      <c r="C79" s="11"/>
      <c r="D79" s="6">
        <v>63.72</v>
      </c>
      <c r="E79" s="2"/>
      <c r="F79" s="7">
        <f t="shared" si="48"/>
        <v>0</v>
      </c>
      <c r="G79" s="2"/>
      <c r="H79" s="6">
        <v>31.86</v>
      </c>
      <c r="I79" s="2"/>
      <c r="J79" s="7">
        <f t="shared" si="49"/>
        <v>0</v>
      </c>
      <c r="K79" s="2"/>
      <c r="L79" s="6">
        <f t="shared" si="50"/>
        <v>31.86</v>
      </c>
      <c r="M79" s="2"/>
      <c r="N79" s="7">
        <f t="shared" si="51"/>
        <v>1</v>
      </c>
      <c r="O79" s="11"/>
      <c r="P79" s="6">
        <v>3039.28</v>
      </c>
      <c r="Q79" s="2"/>
      <c r="R79" s="7">
        <f t="shared" si="52"/>
        <v>0</v>
      </c>
      <c r="S79" s="2"/>
      <c r="T79" s="6">
        <v>927.74</v>
      </c>
      <c r="U79" s="2"/>
      <c r="V79" s="7">
        <f t="shared" si="53"/>
        <v>0</v>
      </c>
      <c r="W79" s="2"/>
      <c r="X79" s="6">
        <f t="shared" si="54"/>
        <v>2111.54</v>
      </c>
      <c r="Y79" s="2"/>
      <c r="Z79" s="7">
        <f t="shared" si="55"/>
        <v>2.2760040528596375</v>
      </c>
    </row>
    <row r="80" spans="1:26" s="27" customFormat="1" outlineLevel="1" collapsed="1" x14ac:dyDescent="0.25">
      <c r="A80" s="25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SUM(OSRRefD22_17x_0)</f>
        <v>3088.42</v>
      </c>
      <c r="E80" s="1"/>
      <c r="F80" s="5">
        <f t="shared" ref="F80:F82" si="56">IF(D$12=0,0,D80/D$12)</f>
        <v>0</v>
      </c>
      <c r="G80" s="1"/>
      <c r="H80" s="1">
        <f>SUM(OSRRefH22_17x_0)</f>
        <v>2055.4899999999998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1032.9300000000003</v>
      </c>
      <c r="M80" s="1"/>
      <c r="N80" s="5">
        <f t="shared" ref="N80:N82" si="59">IF(H80=0,0,L80/H80)</f>
        <v>0.50252251288014071</v>
      </c>
      <c r="O80" s="13"/>
      <c r="P80" s="1">
        <f>SUM(OSRRefP22_17x_0)</f>
        <v>16619.490000000002</v>
      </c>
      <c r="Q80" s="1"/>
      <c r="R80" s="5">
        <f t="shared" ref="R80:R82" si="60">IF(P$12=0,0,P80/P$12)</f>
        <v>0</v>
      </c>
      <c r="S80" s="1"/>
      <c r="T80" s="1">
        <f>SUM(OSRRefT22_17x_0)</f>
        <v>14156.300000000001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2463.1900000000005</v>
      </c>
      <c r="Y80" s="1"/>
      <c r="Z80" s="5">
        <f t="shared" ref="Z80:Z82" si="63">IF(T80=0,0,X80/T80)</f>
        <v>0.17399956203245201</v>
      </c>
    </row>
    <row r="81" spans="1:26" s="24" customFormat="1" hidden="1" outlineLevel="2" x14ac:dyDescent="0.25">
      <c r="A81" s="26"/>
      <c r="B81" s="11" t="str">
        <f>CONCATENATE("          ", "6303", " - ", "DATA PHONE LINES")</f>
        <v xml:space="preserve">          6303 - DATA PHONE LINES</v>
      </c>
      <c r="C81" s="11"/>
      <c r="D81" s="6">
        <v>143.97999999999999</v>
      </c>
      <c r="E81" s="2"/>
      <c r="F81" s="7">
        <f t="shared" si="56"/>
        <v>0</v>
      </c>
      <c r="G81" s="2"/>
      <c r="H81" s="6">
        <v>78.98</v>
      </c>
      <c r="I81" s="2"/>
      <c r="J81" s="7">
        <f t="shared" si="57"/>
        <v>0</v>
      </c>
      <c r="K81" s="2"/>
      <c r="L81" s="6">
        <f t="shared" si="58"/>
        <v>64.999999999999986</v>
      </c>
      <c r="M81" s="2"/>
      <c r="N81" s="7">
        <f t="shared" si="59"/>
        <v>0.82299316282603163</v>
      </c>
      <c r="O81" s="11"/>
      <c r="P81" s="6">
        <v>1026.07</v>
      </c>
      <c r="Q81" s="2"/>
      <c r="R81" s="7">
        <f t="shared" si="60"/>
        <v>0</v>
      </c>
      <c r="S81" s="2"/>
      <c r="T81" s="6">
        <v>948.69</v>
      </c>
      <c r="U81" s="2"/>
      <c r="V81" s="7">
        <f t="shared" si="61"/>
        <v>0</v>
      </c>
      <c r="W81" s="2"/>
      <c r="X81" s="6">
        <f t="shared" si="62"/>
        <v>77.379999999999882</v>
      </c>
      <c r="Y81" s="2"/>
      <c r="Z81" s="7">
        <f t="shared" si="63"/>
        <v>8.1565105566623317E-2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6">
        <v>2944.44</v>
      </c>
      <c r="E82" s="2"/>
      <c r="F82" s="7">
        <f t="shared" si="56"/>
        <v>0</v>
      </c>
      <c r="G82" s="2"/>
      <c r="H82" s="6">
        <v>1976.51</v>
      </c>
      <c r="I82" s="2"/>
      <c r="J82" s="7">
        <f t="shared" si="57"/>
        <v>0</v>
      </c>
      <c r="K82" s="2"/>
      <c r="L82" s="6">
        <f t="shared" si="58"/>
        <v>967.93000000000006</v>
      </c>
      <c r="M82" s="2"/>
      <c r="N82" s="7">
        <f t="shared" si="59"/>
        <v>0.48971672291058488</v>
      </c>
      <c r="O82" s="11"/>
      <c r="P82" s="6">
        <v>15593.42</v>
      </c>
      <c r="Q82" s="2"/>
      <c r="R82" s="7">
        <f t="shared" si="60"/>
        <v>0</v>
      </c>
      <c r="S82" s="2"/>
      <c r="T82" s="6">
        <v>13207.61</v>
      </c>
      <c r="U82" s="2"/>
      <c r="V82" s="7">
        <f t="shared" si="61"/>
        <v>0</v>
      </c>
      <c r="W82" s="2"/>
      <c r="X82" s="6">
        <f t="shared" si="62"/>
        <v>2385.8099999999995</v>
      </c>
      <c r="Y82" s="2"/>
      <c r="Z82" s="7">
        <f t="shared" si="63"/>
        <v>0.18063904067427788</v>
      </c>
    </row>
    <row r="83" spans="1:26" s="27" customFormat="1" outlineLevel="1" collapsed="1" x14ac:dyDescent="0.25">
      <c r="A83" s="25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SUM(OSRRefD22_18x_0)</f>
        <v>524.22</v>
      </c>
      <c r="E83" s="1"/>
      <c r="F83" s="5">
        <f t="shared" ref="F83:F87" si="64">IF(D$12=0,0,D83/D$12)</f>
        <v>0</v>
      </c>
      <c r="G83" s="1"/>
      <c r="H83" s="1">
        <f>SUM(OSRRefH22_18x_0)</f>
        <v>514.33000000000004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9.8899999999999864</v>
      </c>
      <c r="M83" s="1"/>
      <c r="N83" s="5">
        <f t="shared" ref="N83:N87" si="67">IF(H83=0,0,L83/H83)</f>
        <v>1.9228899733634019E-2</v>
      </c>
      <c r="O83" s="13"/>
      <c r="P83" s="1">
        <f>SUM(OSRRefP22_18x_0)</f>
        <v>9614.7099999999991</v>
      </c>
      <c r="Q83" s="1"/>
      <c r="R83" s="5">
        <f t="shared" ref="R83:R87" si="68">IF(P$12=0,0,P83/P$12)</f>
        <v>0</v>
      </c>
      <c r="S83" s="1"/>
      <c r="T83" s="1">
        <f>SUM(OSRRefT22_18x_0)</f>
        <v>20027.43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-10412.720000000001</v>
      </c>
      <c r="Y83" s="1"/>
      <c r="Z83" s="5">
        <f t="shared" ref="Z83:Z87" si="71">IF(T83=0,0,X83/T83)</f>
        <v>-0.5199229257073924</v>
      </c>
    </row>
    <row r="84" spans="1:26" s="24" customFormat="1" hidden="1" outlineLevel="2" x14ac:dyDescent="0.25">
      <c r="A84" s="26"/>
      <c r="B84" s="11" t="str">
        <f>CONCATENATE("          ", "6376", " - ", "TRAINING")</f>
        <v xml:space="preserve">          6376 - TRAINING</v>
      </c>
      <c r="C84" s="11"/>
      <c r="D84" s="6">
        <v>524.22</v>
      </c>
      <c r="E84" s="2"/>
      <c r="F84" s="7">
        <f t="shared" si="64"/>
        <v>0</v>
      </c>
      <c r="G84" s="2"/>
      <c r="H84" s="6">
        <v>514.33000000000004</v>
      </c>
      <c r="I84" s="2"/>
      <c r="J84" s="7">
        <f t="shared" si="65"/>
        <v>0</v>
      </c>
      <c r="K84" s="2"/>
      <c r="L84" s="6">
        <f t="shared" si="66"/>
        <v>9.8899999999999864</v>
      </c>
      <c r="M84" s="2"/>
      <c r="N84" s="7">
        <f t="shared" si="67"/>
        <v>1.9228899733634019E-2</v>
      </c>
      <c r="O84" s="11"/>
      <c r="P84" s="6">
        <v>9614.7099999999991</v>
      </c>
      <c r="Q84" s="2"/>
      <c r="R84" s="7">
        <f t="shared" si="68"/>
        <v>0</v>
      </c>
      <c r="S84" s="2"/>
      <c r="T84" s="6">
        <v>20027.43</v>
      </c>
      <c r="U84" s="2"/>
      <c r="V84" s="7">
        <f t="shared" si="69"/>
        <v>0</v>
      </c>
      <c r="W84" s="2"/>
      <c r="X84" s="6">
        <f t="shared" si="70"/>
        <v>-10412.720000000001</v>
      </c>
      <c r="Y84" s="2"/>
      <c r="Z84" s="7">
        <f t="shared" si="71"/>
        <v>-0.5199229257073924</v>
      </c>
    </row>
    <row r="85" spans="1:26" s="27" customFormat="1" outlineLevel="1" collapsed="1" x14ac:dyDescent="0.25">
      <c r="A85" s="25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SUM(OSRRefD22_19x_0)</f>
        <v>59.95</v>
      </c>
      <c r="E85" s="1"/>
      <c r="F85" s="5">
        <f t="shared" si="64"/>
        <v>0</v>
      </c>
      <c r="G85" s="1"/>
      <c r="H85" s="1">
        <f>SUM(OSRRefH22_19x_0)</f>
        <v>291.87</v>
      </c>
      <c r="I85" s="1"/>
      <c r="J85" s="5">
        <f t="shared" si="65"/>
        <v>0</v>
      </c>
      <c r="K85" s="1"/>
      <c r="L85" s="1">
        <f t="shared" si="66"/>
        <v>-231.92000000000002</v>
      </c>
      <c r="M85" s="1"/>
      <c r="N85" s="5">
        <f t="shared" si="67"/>
        <v>-0.79460033576592326</v>
      </c>
      <c r="O85" s="13"/>
      <c r="P85" s="1">
        <f>SUM(OSRRefP22_19x_0)</f>
        <v>8920.6999999999989</v>
      </c>
      <c r="Q85" s="1"/>
      <c r="R85" s="5">
        <f t="shared" si="68"/>
        <v>0</v>
      </c>
      <c r="S85" s="1"/>
      <c r="T85" s="1">
        <f>SUM(OSRRefT22_19x_0)</f>
        <v>13107.33</v>
      </c>
      <c r="U85" s="1"/>
      <c r="V85" s="5">
        <f t="shared" si="69"/>
        <v>0</v>
      </c>
      <c r="W85" s="1"/>
      <c r="X85" s="1">
        <f t="shared" si="70"/>
        <v>-4186.630000000001</v>
      </c>
      <c r="Y85" s="1"/>
      <c r="Z85" s="5">
        <f t="shared" si="71"/>
        <v>-0.3194113522738804</v>
      </c>
    </row>
    <row r="86" spans="1:26" s="24" customFormat="1" hidden="1" outlineLevel="2" x14ac:dyDescent="0.25">
      <c r="A86" s="26"/>
      <c r="B86" s="11" t="str">
        <f>CONCATENATE("          ", "6292", " - ", "TRAVEL/CONFERENCE")</f>
        <v xml:space="preserve">          6292 - TRAVEL/CONFERENCE</v>
      </c>
      <c r="C86" s="11"/>
      <c r="D86" s="6">
        <v>59.95</v>
      </c>
      <c r="E86" s="2"/>
      <c r="F86" s="7">
        <f t="shared" si="64"/>
        <v>0</v>
      </c>
      <c r="G86" s="2"/>
      <c r="H86" s="6">
        <v>291.87</v>
      </c>
      <c r="I86" s="2"/>
      <c r="J86" s="7">
        <f t="shared" si="65"/>
        <v>0</v>
      </c>
      <c r="K86" s="2"/>
      <c r="L86" s="6">
        <f t="shared" si="66"/>
        <v>-231.92000000000002</v>
      </c>
      <c r="M86" s="2"/>
      <c r="N86" s="7">
        <f t="shared" si="67"/>
        <v>-0.79460033576592326</v>
      </c>
      <c r="O86" s="11"/>
      <c r="P86" s="6">
        <v>8896.7999999999993</v>
      </c>
      <c r="Q86" s="2"/>
      <c r="R86" s="7">
        <f t="shared" si="68"/>
        <v>0</v>
      </c>
      <c r="S86" s="2"/>
      <c r="T86" s="6">
        <v>11732.9</v>
      </c>
      <c r="U86" s="2"/>
      <c r="V86" s="7">
        <f t="shared" si="69"/>
        <v>0</v>
      </c>
      <c r="W86" s="2"/>
      <c r="X86" s="6">
        <f t="shared" si="70"/>
        <v>-2836.1000000000004</v>
      </c>
      <c r="Y86" s="2"/>
      <c r="Z86" s="7">
        <f t="shared" si="71"/>
        <v>-0.24172199541460343</v>
      </c>
    </row>
    <row r="87" spans="1:26" s="24" customFormat="1" hidden="1" outlineLevel="2" x14ac:dyDescent="0.25">
      <c r="A87" s="26"/>
      <c r="B87" s="11" t="str">
        <f>CONCATENATE("          ", "6294", " - ", "TRAVEL OPERATIONAL")</f>
        <v xml:space="preserve">          6294 - TRAVEL OPERATIONAL</v>
      </c>
      <c r="C87" s="11"/>
      <c r="D87" s="6"/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0</v>
      </c>
      <c r="M87" s="2"/>
      <c r="N87" s="7">
        <f t="shared" si="67"/>
        <v>0</v>
      </c>
      <c r="O87" s="11"/>
      <c r="P87" s="6">
        <v>23.9</v>
      </c>
      <c r="Q87" s="2"/>
      <c r="R87" s="7">
        <f t="shared" si="68"/>
        <v>0</v>
      </c>
      <c r="S87" s="2"/>
      <c r="T87" s="6">
        <v>1374.43</v>
      </c>
      <c r="U87" s="2"/>
      <c r="V87" s="7">
        <f t="shared" si="69"/>
        <v>0</v>
      </c>
      <c r="W87" s="2"/>
      <c r="X87" s="6">
        <f t="shared" si="70"/>
        <v>-1350.53</v>
      </c>
      <c r="Y87" s="2"/>
      <c r="Z87" s="7">
        <f t="shared" si="71"/>
        <v>-0.9826109732761944</v>
      </c>
    </row>
    <row r="88" spans="1:26" s="61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8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0">
        <f>+D16-D18+D89</f>
        <v>-248255.84</v>
      </c>
      <c r="E91" s="14"/>
      <c r="F91" s="21">
        <f>IF(D$12=0,0,D91/D$12)</f>
        <v>0</v>
      </c>
      <c r="G91" s="14"/>
      <c r="H91" s="20">
        <f>+H16-H18+H89</f>
        <v>-301818.56999999989</v>
      </c>
      <c r="I91" s="14"/>
      <c r="J91" s="21">
        <f>IF(H$12=0,0,H91/H$12)</f>
        <v>0</v>
      </c>
      <c r="K91" s="15"/>
      <c r="L91" s="20">
        <f>+D91-H91</f>
        <v>53562.729999999894</v>
      </c>
      <c r="M91" s="15"/>
      <c r="N91" s="21">
        <f>IF(H91=0,0,L91/H91)</f>
        <v>-0.17746664825825631</v>
      </c>
      <c r="O91" s="28"/>
      <c r="P91" s="20">
        <f>+P16-P18+P89</f>
        <v>-1952544.9799999997</v>
      </c>
      <c r="Q91" s="14"/>
      <c r="R91" s="21">
        <f>IF(P$12=0,0,P91/P$12)</f>
        <v>0</v>
      </c>
      <c r="S91" s="14"/>
      <c r="T91" s="20">
        <f>+T16-T18+T89</f>
        <v>-1978652.1600000001</v>
      </c>
      <c r="U91" s="14"/>
      <c r="V91" s="21">
        <f>IF(T$12=0,0,T91/T$12)</f>
        <v>0</v>
      </c>
      <c r="W91" s="15"/>
      <c r="X91" s="20">
        <f>+P91-T91</f>
        <v>26107.1800000004</v>
      </c>
      <c r="Y91" s="15"/>
      <c r="Z91" s="21">
        <f>IF(T91=0,0,X91/T91)</f>
        <v>-1.3194426250241174E-2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2">
        <f>+D91-D93</f>
        <v>-248255.84</v>
      </c>
      <c r="E95" s="14"/>
      <c r="F95" s="30">
        <f>IF(D$12=0,0,D95/D$12)</f>
        <v>0</v>
      </c>
      <c r="G95" s="14"/>
      <c r="H95" s="32">
        <f>+H91-H93</f>
        <v>-301818.56999999989</v>
      </c>
      <c r="I95" s="14"/>
      <c r="J95" s="30">
        <f>IF(H$12=0,0,H95/H$12)</f>
        <v>0</v>
      </c>
      <c r="K95" s="15"/>
      <c r="L95" s="32">
        <f>D95-H95</f>
        <v>53562.729999999894</v>
      </c>
      <c r="M95" s="15"/>
      <c r="N95" s="30">
        <f>IF(H95=0,0,L95/H95)</f>
        <v>-0.17746664825825631</v>
      </c>
      <c r="O95" s="28"/>
      <c r="P95" s="32">
        <f>+P91-P93</f>
        <v>-1952544.9799999997</v>
      </c>
      <c r="Q95" s="14"/>
      <c r="R95" s="30">
        <f>IF(P$12=0,0,P95/P$12)</f>
        <v>0</v>
      </c>
      <c r="S95" s="14"/>
      <c r="T95" s="32">
        <f>+T91-T93</f>
        <v>-1978652.1600000001</v>
      </c>
      <c r="U95" s="14"/>
      <c r="V95" s="30">
        <f>IF(T$12=0,0,T95/T$12)</f>
        <v>0</v>
      </c>
      <c r="W95" s="15"/>
      <c r="X95" s="32">
        <f>P95-T95</f>
        <v>26107.1800000004</v>
      </c>
      <c r="Y95" s="15"/>
      <c r="Z95" s="30">
        <f>IF(T95=0,0,X95/T95)</f>
        <v>-1.3194426250241174E-2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6">
        <f>SUM(D95:D97)</f>
        <v>-248255.84</v>
      </c>
      <c r="E98" s="14"/>
      <c r="F98" s="31">
        <f>IF(D$12=0,0,D98/D$12)</f>
        <v>0</v>
      </c>
      <c r="G98" s="14"/>
      <c r="H98" s="36">
        <f>SUM(H95:H97)</f>
        <v>-301818.56999999989</v>
      </c>
      <c r="I98" s="14"/>
      <c r="J98" s="31">
        <f>IF(H$12=0,0,H98/H$12)</f>
        <v>0</v>
      </c>
      <c r="K98" s="15"/>
      <c r="L98" s="36">
        <f>+D98-H98</f>
        <v>53562.729999999894</v>
      </c>
      <c r="M98" s="15"/>
      <c r="N98" s="31">
        <f>IF(H98=0,0,L98/H98)</f>
        <v>-0.17746664825825631</v>
      </c>
      <c r="O98" s="28"/>
      <c r="P98" s="36">
        <f>SUM(P95:P97)</f>
        <v>-1952544.9799999997</v>
      </c>
      <c r="Q98" s="14"/>
      <c r="R98" s="31">
        <f>IF(P$12=0,0,P98/P$12)</f>
        <v>0</v>
      </c>
      <c r="S98" s="14"/>
      <c r="T98" s="36">
        <f>SUM(T95:T97)</f>
        <v>-1978652.1600000001</v>
      </c>
      <c r="U98" s="14"/>
      <c r="V98" s="31">
        <f>IF(T$12=0,0,T98/T$12)</f>
        <v>0</v>
      </c>
      <c r="W98" s="15"/>
      <c r="X98" s="36">
        <f>+P98-T98</f>
        <v>26107.1800000004</v>
      </c>
      <c r="Y98" s="15"/>
      <c r="Z98" s="31">
        <f>IF(T98=0,0,X98/T98)</f>
        <v>-1.3194426250241174E-2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62">
        <v>43847.453093784723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6" t="s">
        <v>313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4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","200", " - ", "Corporate Expense")</f>
        <v>Department 200 - Corporate Expense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33499.08</v>
      </c>
      <c r="E18" s="22"/>
      <c r="F18" s="33">
        <f t="shared" ref="F18:F29" si="0">IF(D$12=0,0,D18/D$12)</f>
        <v>0</v>
      </c>
      <c r="G18" s="22"/>
      <c r="H18" s="22">
        <f>SUM(OSRRefH22x_0)</f>
        <v>45414.51</v>
      </c>
      <c r="I18" s="22"/>
      <c r="J18" s="33">
        <f t="shared" ref="J18:J29" si="1">IF(H$12=0,0,H18/H$12)</f>
        <v>0</v>
      </c>
      <c r="K18" s="4"/>
      <c r="L18" s="22">
        <f t="shared" ref="L18:L29" si="2">+D18-H18</f>
        <v>-11915.43</v>
      </c>
      <c r="M18" s="4"/>
      <c r="N18" s="33">
        <f t="shared" ref="N18:N29" si="3">IF(H18=0,0,L18/H18)</f>
        <v>-0.26237055073367521</v>
      </c>
      <c r="O18" s="10"/>
      <c r="P18" s="22">
        <f>SUM(OSRRefP22x_0)</f>
        <v>352611.27</v>
      </c>
      <c r="Q18" s="22"/>
      <c r="R18" s="33">
        <f t="shared" ref="R18:R29" si="4">IF(P$12=0,0,P18/P$12)</f>
        <v>0</v>
      </c>
      <c r="S18" s="22"/>
      <c r="T18" s="22">
        <f>SUM(OSRRefT22x_0)</f>
        <v>399330.18</v>
      </c>
      <c r="U18" s="22"/>
      <c r="V18" s="33">
        <f t="shared" ref="V18:V29" si="5">IF(T$12=0,0,T18/T$12)</f>
        <v>0</v>
      </c>
      <c r="W18" s="4"/>
      <c r="X18" s="22">
        <f t="shared" ref="X18:X29" si="6">+P18-T18</f>
        <v>-46718.909999999974</v>
      </c>
      <c r="Y18" s="4"/>
      <c r="Z18" s="33">
        <f t="shared" ref="Z18:Z29" si="7">IF(T18=0,0,X18/T18)</f>
        <v>-0.11699318593951495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29195.759999999998</v>
      </c>
      <c r="E19" s="1"/>
      <c r="F19" s="5">
        <f t="shared" si="0"/>
        <v>0</v>
      </c>
      <c r="G19" s="1"/>
      <c r="H19" s="1">
        <f>SUM(OSRRefH22_0x_0)</f>
        <v>35917.550000000003</v>
      </c>
      <c r="I19" s="1"/>
      <c r="J19" s="5">
        <f t="shared" si="1"/>
        <v>0</v>
      </c>
      <c r="K19" s="1"/>
      <c r="L19" s="1">
        <f t="shared" si="2"/>
        <v>-6721.7900000000045</v>
      </c>
      <c r="M19" s="1"/>
      <c r="N19" s="5">
        <f t="shared" si="3"/>
        <v>-0.18714500293032246</v>
      </c>
      <c r="O19" s="13"/>
      <c r="P19" s="1">
        <f>SUM(OSRRefP22_0x_0)</f>
        <v>175624.88</v>
      </c>
      <c r="Q19" s="1"/>
      <c r="R19" s="5">
        <f t="shared" si="4"/>
        <v>0</v>
      </c>
      <c r="S19" s="1"/>
      <c r="T19" s="1">
        <f>SUM(OSRRefT22_0x_0)</f>
        <v>201957.4</v>
      </c>
      <c r="U19" s="1"/>
      <c r="V19" s="5">
        <f t="shared" si="5"/>
        <v>0</v>
      </c>
      <c r="W19" s="1"/>
      <c r="X19" s="1">
        <f t="shared" si="6"/>
        <v>-26332.51999999999</v>
      </c>
      <c r="Y19" s="1"/>
      <c r="Z19" s="5">
        <f t="shared" si="7"/>
        <v>-0.13038650725350984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6">
        <v>29195.759999999998</v>
      </c>
      <c r="E20" s="2"/>
      <c r="F20" s="7">
        <f t="shared" si="0"/>
        <v>0</v>
      </c>
      <c r="G20" s="2"/>
      <c r="H20" s="6">
        <v>35917.550000000003</v>
      </c>
      <c r="I20" s="2"/>
      <c r="J20" s="7">
        <f t="shared" si="1"/>
        <v>0</v>
      </c>
      <c r="K20" s="2"/>
      <c r="L20" s="6">
        <f t="shared" si="2"/>
        <v>-6721.7900000000045</v>
      </c>
      <c r="M20" s="2"/>
      <c r="N20" s="7">
        <f t="shared" si="3"/>
        <v>-0.18714500293032246</v>
      </c>
      <c r="O20" s="11"/>
      <c r="P20" s="6">
        <v>175624.88</v>
      </c>
      <c r="Q20" s="2"/>
      <c r="R20" s="7">
        <f t="shared" si="4"/>
        <v>0</v>
      </c>
      <c r="S20" s="2"/>
      <c r="T20" s="6">
        <v>201957.4</v>
      </c>
      <c r="U20" s="2"/>
      <c r="V20" s="7">
        <f t="shared" si="5"/>
        <v>0</v>
      </c>
      <c r="W20" s="2"/>
      <c r="X20" s="6">
        <f t="shared" si="6"/>
        <v>-26332.51999999999</v>
      </c>
      <c r="Y20" s="2"/>
      <c r="Z20" s="7">
        <f t="shared" si="7"/>
        <v>-0.13038650725350984</v>
      </c>
    </row>
    <row r="21" spans="1:26" s="27" customFormat="1" outlineLevel="1" collapsed="1" x14ac:dyDescent="0.25">
      <c r="A21" s="25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1670.48</v>
      </c>
      <c r="E21" s="1"/>
      <c r="F21" s="5">
        <f t="shared" si="0"/>
        <v>0</v>
      </c>
      <c r="G21" s="1"/>
      <c r="H21" s="1">
        <f>SUM(OSRRefH22_1x_0)</f>
        <v>1062.93</v>
      </c>
      <c r="I21" s="1"/>
      <c r="J21" s="5">
        <f t="shared" si="1"/>
        <v>0</v>
      </c>
      <c r="K21" s="1"/>
      <c r="L21" s="1">
        <f t="shared" si="2"/>
        <v>607.54999999999995</v>
      </c>
      <c r="M21" s="1"/>
      <c r="N21" s="5">
        <f t="shared" si="3"/>
        <v>0.57158044273846809</v>
      </c>
      <c r="O21" s="13"/>
      <c r="P21" s="1">
        <f>SUM(OSRRefP22_1x_0)</f>
        <v>24427.200000000001</v>
      </c>
      <c r="Q21" s="1"/>
      <c r="R21" s="5">
        <f t="shared" si="4"/>
        <v>0</v>
      </c>
      <c r="S21" s="1"/>
      <c r="T21" s="1">
        <f>SUM(OSRRefT22_1x_0)</f>
        <v>18625.12</v>
      </c>
      <c r="U21" s="1"/>
      <c r="V21" s="5">
        <f t="shared" si="5"/>
        <v>0</v>
      </c>
      <c r="W21" s="1"/>
      <c r="X21" s="1">
        <f t="shared" si="6"/>
        <v>5802.0800000000017</v>
      </c>
      <c r="Y21" s="1"/>
      <c r="Z21" s="5">
        <f t="shared" si="7"/>
        <v>0.31151906672279167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>
        <v>1670.48</v>
      </c>
      <c r="E22" s="2"/>
      <c r="F22" s="7">
        <f t="shared" si="0"/>
        <v>0</v>
      </c>
      <c r="G22" s="2"/>
      <c r="H22" s="6">
        <v>1062.93</v>
      </c>
      <c r="I22" s="2"/>
      <c r="J22" s="7">
        <f t="shared" si="1"/>
        <v>0</v>
      </c>
      <c r="K22" s="2"/>
      <c r="L22" s="6">
        <f t="shared" si="2"/>
        <v>607.54999999999995</v>
      </c>
      <c r="M22" s="2"/>
      <c r="N22" s="7">
        <f t="shared" si="3"/>
        <v>0.57158044273846809</v>
      </c>
      <c r="O22" s="11"/>
      <c r="P22" s="6">
        <v>24427.200000000001</v>
      </c>
      <c r="Q22" s="2"/>
      <c r="R22" s="7">
        <f t="shared" si="4"/>
        <v>0</v>
      </c>
      <c r="S22" s="2"/>
      <c r="T22" s="6">
        <v>18625.12</v>
      </c>
      <c r="U22" s="2"/>
      <c r="V22" s="7">
        <f t="shared" si="5"/>
        <v>0</v>
      </c>
      <c r="W22" s="2"/>
      <c r="X22" s="6">
        <f t="shared" si="6"/>
        <v>5802.0800000000017</v>
      </c>
      <c r="Y22" s="2"/>
      <c r="Z22" s="7">
        <f t="shared" si="7"/>
        <v>0.31151906672279167</v>
      </c>
    </row>
    <row r="23" spans="1:26" s="27" customFormat="1" outlineLevel="1" collapsed="1" x14ac:dyDescent="0.25">
      <c r="A23" s="25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2632.84</v>
      </c>
      <c r="E23" s="1"/>
      <c r="F23" s="5">
        <f t="shared" si="0"/>
        <v>0</v>
      </c>
      <c r="G23" s="1"/>
      <c r="H23" s="1">
        <f>SUM(OSRRefH22_2x_0)</f>
        <v>5434.03</v>
      </c>
      <c r="I23" s="1"/>
      <c r="J23" s="5">
        <f t="shared" si="1"/>
        <v>0</v>
      </c>
      <c r="K23" s="1"/>
      <c r="L23" s="1">
        <f t="shared" si="2"/>
        <v>-2801.1899999999996</v>
      </c>
      <c r="M23" s="1"/>
      <c r="N23" s="5">
        <f t="shared" si="3"/>
        <v>-0.51549034510298986</v>
      </c>
      <c r="O23" s="13"/>
      <c r="P23" s="1">
        <f>SUM(OSRRefP22_2x_0)</f>
        <v>16797.95</v>
      </c>
      <c r="Q23" s="1"/>
      <c r="R23" s="5">
        <f t="shared" si="4"/>
        <v>0</v>
      </c>
      <c r="S23" s="1"/>
      <c r="T23" s="1">
        <f>SUM(OSRRefT22_2x_0)</f>
        <v>20172.16</v>
      </c>
      <c r="U23" s="1"/>
      <c r="V23" s="5">
        <f t="shared" si="5"/>
        <v>0</v>
      </c>
      <c r="W23" s="1"/>
      <c r="X23" s="1">
        <f t="shared" si="6"/>
        <v>-3374.2099999999991</v>
      </c>
      <c r="Y23" s="1"/>
      <c r="Z23" s="5">
        <f t="shared" si="7"/>
        <v>-0.16727063437926326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6">
        <v>2632.84</v>
      </c>
      <c r="E24" s="2"/>
      <c r="F24" s="7">
        <f t="shared" si="0"/>
        <v>0</v>
      </c>
      <c r="G24" s="2"/>
      <c r="H24" s="6">
        <v>5434.03</v>
      </c>
      <c r="I24" s="2"/>
      <c r="J24" s="7">
        <f t="shared" si="1"/>
        <v>0</v>
      </c>
      <c r="K24" s="2"/>
      <c r="L24" s="6">
        <f t="shared" si="2"/>
        <v>-2801.1899999999996</v>
      </c>
      <c r="M24" s="2"/>
      <c r="N24" s="7">
        <f t="shared" si="3"/>
        <v>-0.51549034510298986</v>
      </c>
      <c r="O24" s="11"/>
      <c r="P24" s="6">
        <v>16797.95</v>
      </c>
      <c r="Q24" s="2"/>
      <c r="R24" s="7">
        <f t="shared" si="4"/>
        <v>0</v>
      </c>
      <c r="S24" s="2"/>
      <c r="T24" s="6">
        <v>20172.16</v>
      </c>
      <c r="U24" s="2"/>
      <c r="V24" s="7">
        <f t="shared" si="5"/>
        <v>0</v>
      </c>
      <c r="W24" s="2"/>
      <c r="X24" s="6">
        <f t="shared" si="6"/>
        <v>-3374.2099999999991</v>
      </c>
      <c r="Y24" s="2"/>
      <c r="Z24" s="7">
        <f t="shared" si="7"/>
        <v>-0.16727063437926326</v>
      </c>
    </row>
    <row r="25" spans="1:26" s="27" customFormat="1" outlineLevel="1" collapsed="1" x14ac:dyDescent="0.25">
      <c r="A25" s="25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97500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0</v>
      </c>
      <c r="Y25" s="1"/>
      <c r="Z25" s="5">
        <f t="shared" si="7"/>
        <v>0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97500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7" customFormat="1" outlineLevel="1" collapsed="1" x14ac:dyDescent="0.25">
      <c r="A27" s="25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3000</v>
      </c>
      <c r="I27" s="1"/>
      <c r="J27" s="5">
        <f t="shared" si="1"/>
        <v>0</v>
      </c>
      <c r="K27" s="1"/>
      <c r="L27" s="1">
        <f t="shared" si="2"/>
        <v>-3000</v>
      </c>
      <c r="M27" s="1"/>
      <c r="N27" s="5">
        <f t="shared" si="3"/>
        <v>-1</v>
      </c>
      <c r="O27" s="13"/>
      <c r="P27" s="1">
        <f>SUM(OSRRefP22_4x_0)</f>
        <v>38261.24</v>
      </c>
      <c r="Q27" s="1"/>
      <c r="R27" s="5">
        <f t="shared" si="4"/>
        <v>0</v>
      </c>
      <c r="S27" s="1"/>
      <c r="T27" s="1">
        <f>SUM(OSRRefT22_4x_0)</f>
        <v>61075.5</v>
      </c>
      <c r="U27" s="1"/>
      <c r="V27" s="5">
        <f t="shared" si="5"/>
        <v>0</v>
      </c>
      <c r="W27" s="1"/>
      <c r="X27" s="1">
        <f t="shared" si="6"/>
        <v>-22814.260000000002</v>
      </c>
      <c r="Y27" s="1"/>
      <c r="Z27" s="5">
        <f t="shared" si="7"/>
        <v>-0.37354192761418248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23199</v>
      </c>
      <c r="Q28" s="2"/>
      <c r="R28" s="7">
        <f t="shared" si="4"/>
        <v>0</v>
      </c>
      <c r="S28" s="2"/>
      <c r="T28" s="6">
        <v>23075.5</v>
      </c>
      <c r="U28" s="2"/>
      <c r="V28" s="7">
        <f t="shared" si="5"/>
        <v>0</v>
      </c>
      <c r="W28" s="2"/>
      <c r="X28" s="6">
        <f t="shared" si="6"/>
        <v>123.5</v>
      </c>
      <c r="Y28" s="2"/>
      <c r="Z28" s="7">
        <f t="shared" si="7"/>
        <v>5.3519967064635651E-3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3000</v>
      </c>
      <c r="I29" s="2"/>
      <c r="J29" s="7">
        <f t="shared" si="1"/>
        <v>0</v>
      </c>
      <c r="K29" s="2"/>
      <c r="L29" s="6">
        <f t="shared" si="2"/>
        <v>-3000</v>
      </c>
      <c r="M29" s="2"/>
      <c r="N29" s="7">
        <f t="shared" si="3"/>
        <v>-1</v>
      </c>
      <c r="O29" s="11"/>
      <c r="P29" s="6">
        <v>15062.24</v>
      </c>
      <c r="Q29" s="2"/>
      <c r="R29" s="7">
        <f t="shared" si="4"/>
        <v>0</v>
      </c>
      <c r="S29" s="2"/>
      <c r="T29" s="6">
        <v>38000</v>
      </c>
      <c r="U29" s="2"/>
      <c r="V29" s="7">
        <f t="shared" si="5"/>
        <v>0</v>
      </c>
      <c r="W29" s="2"/>
      <c r="X29" s="6">
        <f t="shared" si="6"/>
        <v>-22937.760000000002</v>
      </c>
      <c r="Y29" s="2"/>
      <c r="Z29" s="7">
        <f t="shared" si="7"/>
        <v>-0.60362526315789478</v>
      </c>
    </row>
    <row r="30" spans="1:26" s="61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3</v>
      </c>
      <c r="C33" s="29"/>
      <c r="D33" s="20">
        <f>+D16-D18+D31</f>
        <v>-33499.08</v>
      </c>
      <c r="E33" s="14"/>
      <c r="F33" s="21">
        <f>IF(D$12=0,0,D33/D$12)</f>
        <v>0</v>
      </c>
      <c r="G33" s="14"/>
      <c r="H33" s="20">
        <f>+H16-H18+H31</f>
        <v>-45414.51</v>
      </c>
      <c r="I33" s="14"/>
      <c r="J33" s="21">
        <f>IF(H$12=0,0,H33/H$12)</f>
        <v>0</v>
      </c>
      <c r="K33" s="15"/>
      <c r="L33" s="20">
        <f>+D33-H33</f>
        <v>11915.43</v>
      </c>
      <c r="M33" s="15"/>
      <c r="N33" s="21">
        <f>IF(H33=0,0,L33/H33)</f>
        <v>-0.26237055073367521</v>
      </c>
      <c r="O33" s="28"/>
      <c r="P33" s="20">
        <f>+P16-P18+P31</f>
        <v>-352611.27</v>
      </c>
      <c r="Q33" s="14"/>
      <c r="R33" s="21">
        <f>IF(P$12=0,0,P33/P$12)</f>
        <v>0</v>
      </c>
      <c r="S33" s="14"/>
      <c r="T33" s="20">
        <f>+T16-T18+T31</f>
        <v>-399330.18</v>
      </c>
      <c r="U33" s="14"/>
      <c r="V33" s="21">
        <f>IF(T$12=0,0,T33/T$12)</f>
        <v>0</v>
      </c>
      <c r="W33" s="15"/>
      <c r="X33" s="20">
        <f>+P33-T33</f>
        <v>46718.909999999974</v>
      </c>
      <c r="Y33" s="15"/>
      <c r="Z33" s="21">
        <f>IF(T33=0,0,X33/T33)</f>
        <v>-0.11699318593951495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4</v>
      </c>
      <c r="C37" s="29"/>
      <c r="D37" s="32">
        <f>+D33-D35</f>
        <v>-33499.08</v>
      </c>
      <c r="E37" s="14"/>
      <c r="F37" s="30">
        <f>IF(D$12=0,0,D37/D$12)</f>
        <v>0</v>
      </c>
      <c r="G37" s="14"/>
      <c r="H37" s="32">
        <f>+H33-H35</f>
        <v>-45414.51</v>
      </c>
      <c r="I37" s="14"/>
      <c r="J37" s="30">
        <f>IF(H$12=0,0,H37/H$12)</f>
        <v>0</v>
      </c>
      <c r="K37" s="15"/>
      <c r="L37" s="32">
        <f>D37-H37</f>
        <v>11915.43</v>
      </c>
      <c r="M37" s="15"/>
      <c r="N37" s="30">
        <f>IF(H37=0,0,L37/H37)</f>
        <v>-0.26237055073367521</v>
      </c>
      <c r="O37" s="28"/>
      <c r="P37" s="32">
        <f>+P33-P35</f>
        <v>-352611.27</v>
      </c>
      <c r="Q37" s="14"/>
      <c r="R37" s="30">
        <f>IF(P$12=0,0,P37/P$12)</f>
        <v>0</v>
      </c>
      <c r="S37" s="14"/>
      <c r="T37" s="32">
        <f>+T33-T35</f>
        <v>-399330.18</v>
      </c>
      <c r="U37" s="14"/>
      <c r="V37" s="30">
        <f>IF(T$12=0,0,T37/T$12)</f>
        <v>0</v>
      </c>
      <c r="W37" s="15"/>
      <c r="X37" s="32">
        <f>P37-T37</f>
        <v>46718.909999999974</v>
      </c>
      <c r="Y37" s="15"/>
      <c r="Z37" s="30">
        <f>IF(T37=0,0,X37/T37)</f>
        <v>-0.11699318593951495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5</v>
      </c>
      <c r="C40" s="29"/>
      <c r="D40" s="36">
        <f>SUM(D37:D39)</f>
        <v>-33499.08</v>
      </c>
      <c r="E40" s="14"/>
      <c r="F40" s="31">
        <f>IF(D$12=0,0,D40/D$12)</f>
        <v>0</v>
      </c>
      <c r="G40" s="14"/>
      <c r="H40" s="36">
        <f>SUM(H37:H39)</f>
        <v>-45414.51</v>
      </c>
      <c r="I40" s="14"/>
      <c r="J40" s="31">
        <f>IF(H$12=0,0,H40/H$12)</f>
        <v>0</v>
      </c>
      <c r="K40" s="15"/>
      <c r="L40" s="36">
        <f>+D40-H40</f>
        <v>11915.43</v>
      </c>
      <c r="M40" s="15"/>
      <c r="N40" s="31">
        <f>IF(H40=0,0,L40/H40)</f>
        <v>-0.26237055073367521</v>
      </c>
      <c r="O40" s="28"/>
      <c r="P40" s="36">
        <f>SUM(P37:P39)</f>
        <v>-352611.27</v>
      </c>
      <c r="Q40" s="14"/>
      <c r="R40" s="31">
        <f>IF(P$12=0,0,P40/P$12)</f>
        <v>0</v>
      </c>
      <c r="S40" s="14"/>
      <c r="T40" s="36">
        <f>SUM(T37:T39)</f>
        <v>-399330.18</v>
      </c>
      <c r="U40" s="14"/>
      <c r="V40" s="31">
        <f>IF(T$12=0,0,T40/T$12)</f>
        <v>0</v>
      </c>
      <c r="W40" s="15"/>
      <c r="X40" s="36">
        <f>+P40-T40</f>
        <v>46718.909999999974</v>
      </c>
      <c r="Y40" s="15"/>
      <c r="Z40" s="31">
        <f>IF(T40=0,0,X40/T40)</f>
        <v>-0.11699318593951495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62">
        <v>43847.453447569445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56" t="s">
        <v>313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A44" s="9"/>
      <c r="B44" s="54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25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","201", " - ", "General Manager")</f>
        <v>Department 201 - General Manager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36311.929999999993</v>
      </c>
      <c r="E18" s="22"/>
      <c r="F18" s="33">
        <f t="shared" ref="F18:F28" si="0">IF(D$12=0,0,D18/D$12)</f>
        <v>0</v>
      </c>
      <c r="G18" s="22"/>
      <c r="H18" s="22">
        <f>SUM(OSRRefH22x_0)</f>
        <v>64059.360000000001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-27747.430000000008</v>
      </c>
      <c r="M18" s="4"/>
      <c r="N18" s="33">
        <f t="shared" ref="N18:N28" si="3">IF(H18=0,0,L18/H18)</f>
        <v>-0.4331518454133792</v>
      </c>
      <c r="O18" s="10"/>
      <c r="P18" s="22">
        <f>SUM(OSRRefP22x_0)</f>
        <v>436974.30000000005</v>
      </c>
      <c r="Q18" s="22"/>
      <c r="R18" s="33">
        <f t="shared" ref="R18:R28" si="4">IF(P$12=0,0,P18/P$12)</f>
        <v>0</v>
      </c>
      <c r="S18" s="22"/>
      <c r="T18" s="22">
        <f>SUM(OSRRefT22x_0)</f>
        <v>454429.27999999985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-17454.979999999807</v>
      </c>
      <c r="Y18" s="4"/>
      <c r="Z18" s="33">
        <f t="shared" ref="Z18:Z28" si="7">IF(T18=0,0,X18/T18)</f>
        <v>-3.8410773179051783E-2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9763.4299999999985</v>
      </c>
      <c r="E19" s="1"/>
      <c r="F19" s="5">
        <f t="shared" si="0"/>
        <v>0</v>
      </c>
      <c r="G19" s="1"/>
      <c r="H19" s="1">
        <f>SUM(OSRRefH22_0x_0)</f>
        <v>13949.94</v>
      </c>
      <c r="I19" s="1"/>
      <c r="J19" s="5">
        <f t="shared" si="1"/>
        <v>0</v>
      </c>
      <c r="K19" s="1"/>
      <c r="L19" s="1">
        <f t="shared" si="2"/>
        <v>-4186.510000000002</v>
      </c>
      <c r="M19" s="1"/>
      <c r="N19" s="5">
        <f t="shared" si="3"/>
        <v>-0.30010953452129557</v>
      </c>
      <c r="O19" s="13"/>
      <c r="P19" s="1">
        <f>SUM(OSRRefP22_0x_0)</f>
        <v>98108.61</v>
      </c>
      <c r="Q19" s="1"/>
      <c r="R19" s="5">
        <f t="shared" si="4"/>
        <v>0</v>
      </c>
      <c r="S19" s="1"/>
      <c r="T19" s="1">
        <f>SUM(OSRRefT22_0x_0)</f>
        <v>99989.609999999986</v>
      </c>
      <c r="U19" s="1"/>
      <c r="V19" s="5">
        <f t="shared" si="5"/>
        <v>0</v>
      </c>
      <c r="W19" s="1"/>
      <c r="X19" s="1">
        <f t="shared" si="6"/>
        <v>-1880.9999999999854</v>
      </c>
      <c r="Y19" s="1"/>
      <c r="Z19" s="5">
        <f t="shared" si="7"/>
        <v>-1.8811954562078858E-2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1109.56</v>
      </c>
      <c r="E20" s="2"/>
      <c r="F20" s="7">
        <f t="shared" si="0"/>
        <v>0</v>
      </c>
      <c r="G20" s="2"/>
      <c r="H20" s="6">
        <v>1510.35</v>
      </c>
      <c r="I20" s="2"/>
      <c r="J20" s="7">
        <f t="shared" si="1"/>
        <v>0</v>
      </c>
      <c r="K20" s="2"/>
      <c r="L20" s="6">
        <f t="shared" si="2"/>
        <v>-400.78999999999996</v>
      </c>
      <c r="M20" s="2"/>
      <c r="N20" s="7">
        <f t="shared" si="3"/>
        <v>-0.26536233323401859</v>
      </c>
      <c r="O20" s="11"/>
      <c r="P20" s="6">
        <v>12915.61</v>
      </c>
      <c r="Q20" s="2"/>
      <c r="R20" s="7">
        <f t="shared" si="4"/>
        <v>0</v>
      </c>
      <c r="S20" s="2"/>
      <c r="T20" s="6">
        <v>11879.76</v>
      </c>
      <c r="U20" s="2"/>
      <c r="V20" s="7">
        <f t="shared" si="5"/>
        <v>0</v>
      </c>
      <c r="W20" s="2"/>
      <c r="X20" s="6">
        <f t="shared" si="6"/>
        <v>1035.8500000000004</v>
      </c>
      <c r="Y20" s="2"/>
      <c r="Z20" s="7">
        <f t="shared" si="7"/>
        <v>8.7194522448264977E-2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104</v>
      </c>
      <c r="E21" s="2"/>
      <c r="F21" s="7">
        <f t="shared" si="0"/>
        <v>0</v>
      </c>
      <c r="G21" s="2"/>
      <c r="H21" s="6">
        <v>139.36000000000001</v>
      </c>
      <c r="I21" s="2"/>
      <c r="J21" s="7">
        <f t="shared" si="1"/>
        <v>0</v>
      </c>
      <c r="K21" s="2"/>
      <c r="L21" s="6">
        <f t="shared" si="2"/>
        <v>-35.360000000000014</v>
      </c>
      <c r="M21" s="2"/>
      <c r="N21" s="7">
        <f t="shared" si="3"/>
        <v>-0.25373134328358216</v>
      </c>
      <c r="O21" s="11"/>
      <c r="P21" s="6">
        <v>845.57</v>
      </c>
      <c r="Q21" s="2"/>
      <c r="R21" s="7">
        <f t="shared" si="4"/>
        <v>0</v>
      </c>
      <c r="S21" s="2"/>
      <c r="T21" s="6">
        <v>821.63</v>
      </c>
      <c r="U21" s="2"/>
      <c r="V21" s="7">
        <f t="shared" si="5"/>
        <v>0</v>
      </c>
      <c r="W21" s="2"/>
      <c r="X21" s="6">
        <f t="shared" si="6"/>
        <v>23.940000000000055</v>
      </c>
      <c r="Y21" s="2"/>
      <c r="Z21" s="7">
        <f t="shared" si="7"/>
        <v>2.9137202877207568E-2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3849.84</v>
      </c>
      <c r="E22" s="2"/>
      <c r="F22" s="7">
        <f t="shared" si="0"/>
        <v>0</v>
      </c>
      <c r="G22" s="2"/>
      <c r="H22" s="6">
        <v>4962</v>
      </c>
      <c r="I22" s="2"/>
      <c r="J22" s="7">
        <f t="shared" si="1"/>
        <v>0</v>
      </c>
      <c r="K22" s="2"/>
      <c r="L22" s="6">
        <f t="shared" si="2"/>
        <v>-1112.1599999999999</v>
      </c>
      <c r="M22" s="2"/>
      <c r="N22" s="7">
        <f t="shared" si="3"/>
        <v>-0.22413542926239416</v>
      </c>
      <c r="O22" s="11"/>
      <c r="P22" s="6">
        <v>25139.86</v>
      </c>
      <c r="Q22" s="2"/>
      <c r="R22" s="7">
        <f t="shared" si="4"/>
        <v>0</v>
      </c>
      <c r="S22" s="2"/>
      <c r="T22" s="6">
        <v>26721.57</v>
      </c>
      <c r="U22" s="2"/>
      <c r="V22" s="7">
        <f t="shared" si="5"/>
        <v>0</v>
      </c>
      <c r="W22" s="2"/>
      <c r="X22" s="6">
        <f t="shared" si="6"/>
        <v>-1581.7099999999991</v>
      </c>
      <c r="Y22" s="2"/>
      <c r="Z22" s="7">
        <f t="shared" si="7"/>
        <v>-5.9192255544865034E-2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79.53</v>
      </c>
      <c r="E23" s="2"/>
      <c r="F23" s="7">
        <f t="shared" si="0"/>
        <v>0</v>
      </c>
      <c r="G23" s="2"/>
      <c r="H23" s="6">
        <v>116.88</v>
      </c>
      <c r="I23" s="2"/>
      <c r="J23" s="7">
        <f t="shared" si="1"/>
        <v>0</v>
      </c>
      <c r="K23" s="2"/>
      <c r="L23" s="6">
        <f t="shared" si="2"/>
        <v>-37.349999999999994</v>
      </c>
      <c r="M23" s="2"/>
      <c r="N23" s="7">
        <f t="shared" si="3"/>
        <v>-0.3195585215605749</v>
      </c>
      <c r="O23" s="11"/>
      <c r="P23" s="6">
        <v>803.3</v>
      </c>
      <c r="Q23" s="2"/>
      <c r="R23" s="7">
        <f t="shared" si="4"/>
        <v>0</v>
      </c>
      <c r="S23" s="2"/>
      <c r="T23" s="6">
        <v>689.09</v>
      </c>
      <c r="U23" s="2"/>
      <c r="V23" s="7">
        <f t="shared" si="5"/>
        <v>0</v>
      </c>
      <c r="W23" s="2"/>
      <c r="X23" s="6">
        <f t="shared" si="6"/>
        <v>114.20999999999992</v>
      </c>
      <c r="Y23" s="2"/>
      <c r="Z23" s="7">
        <f t="shared" si="7"/>
        <v>0.16574032419567825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2800.43</v>
      </c>
      <c r="I24" s="2"/>
      <c r="J24" s="7">
        <f t="shared" si="1"/>
        <v>0</v>
      </c>
      <c r="K24" s="2"/>
      <c r="L24" s="6">
        <f t="shared" si="2"/>
        <v>-901.8599999999999</v>
      </c>
      <c r="M24" s="2"/>
      <c r="N24" s="7">
        <f t="shared" si="3"/>
        <v>-0.32204340047778374</v>
      </c>
      <c r="O24" s="11"/>
      <c r="P24" s="6">
        <v>19708.57</v>
      </c>
      <c r="Q24" s="2"/>
      <c r="R24" s="7">
        <f t="shared" si="4"/>
        <v>0</v>
      </c>
      <c r="S24" s="2"/>
      <c r="T24" s="6">
        <v>23412.9</v>
      </c>
      <c r="U24" s="2"/>
      <c r="V24" s="7">
        <f t="shared" si="5"/>
        <v>0</v>
      </c>
      <c r="W24" s="2"/>
      <c r="X24" s="6">
        <f t="shared" si="6"/>
        <v>-3704.3300000000017</v>
      </c>
      <c r="Y24" s="2"/>
      <c r="Z24" s="7">
        <f t="shared" si="7"/>
        <v>-0.15821747839866063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-2451.4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1621.64</v>
      </c>
      <c r="E26" s="2"/>
      <c r="F26" s="7">
        <f t="shared" si="0"/>
        <v>0</v>
      </c>
      <c r="G26" s="2"/>
      <c r="H26" s="6">
        <v>2657.86</v>
      </c>
      <c r="I26" s="2"/>
      <c r="J26" s="7">
        <f t="shared" si="1"/>
        <v>0</v>
      </c>
      <c r="K26" s="2"/>
      <c r="L26" s="6">
        <f t="shared" si="2"/>
        <v>-1036.22</v>
      </c>
      <c r="M26" s="2"/>
      <c r="N26" s="7">
        <f t="shared" si="3"/>
        <v>-0.38987004582634149</v>
      </c>
      <c r="O26" s="11"/>
      <c r="P26" s="6">
        <v>16509.18</v>
      </c>
      <c r="Q26" s="2"/>
      <c r="R26" s="7">
        <f t="shared" si="4"/>
        <v>0</v>
      </c>
      <c r="S26" s="2"/>
      <c r="T26" s="6">
        <v>18657.66</v>
      </c>
      <c r="U26" s="2"/>
      <c r="V26" s="7">
        <f t="shared" si="5"/>
        <v>0</v>
      </c>
      <c r="W26" s="2"/>
      <c r="X26" s="6">
        <f t="shared" si="6"/>
        <v>-2148.4799999999996</v>
      </c>
      <c r="Y26" s="2"/>
      <c r="Z26" s="7">
        <f t="shared" si="7"/>
        <v>-0.11515270403684061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1372.84</v>
      </c>
      <c r="I27" s="2"/>
      <c r="J27" s="7">
        <f t="shared" si="1"/>
        <v>0</v>
      </c>
      <c r="K27" s="2"/>
      <c r="L27" s="6">
        <f t="shared" si="2"/>
        <v>-516.04</v>
      </c>
      <c r="M27" s="2"/>
      <c r="N27" s="7">
        <f t="shared" si="3"/>
        <v>-0.37589231083010399</v>
      </c>
      <c r="O27" s="11"/>
      <c r="P27" s="6">
        <v>20399.599999999999</v>
      </c>
      <c r="Q27" s="2"/>
      <c r="R27" s="7">
        <f t="shared" si="4"/>
        <v>0</v>
      </c>
      <c r="S27" s="2"/>
      <c r="T27" s="6">
        <v>13091.87</v>
      </c>
      <c r="U27" s="2"/>
      <c r="V27" s="7">
        <f t="shared" si="5"/>
        <v>0</v>
      </c>
      <c r="W27" s="2"/>
      <c r="X27" s="6">
        <f t="shared" si="6"/>
        <v>7307.7299999999977</v>
      </c>
      <c r="Y27" s="2"/>
      <c r="Z27" s="7">
        <f t="shared" si="7"/>
        <v>0.55818840242073875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243.49</v>
      </c>
      <c r="E28" s="2"/>
      <c r="F28" s="7">
        <f t="shared" si="0"/>
        <v>0</v>
      </c>
      <c r="G28" s="2"/>
      <c r="H28" s="6">
        <v>390.22</v>
      </c>
      <c r="I28" s="2"/>
      <c r="J28" s="7">
        <f t="shared" si="1"/>
        <v>0</v>
      </c>
      <c r="K28" s="2"/>
      <c r="L28" s="6">
        <f t="shared" si="2"/>
        <v>-146.73000000000002</v>
      </c>
      <c r="M28" s="2"/>
      <c r="N28" s="7">
        <f t="shared" si="3"/>
        <v>-0.37601865614268876</v>
      </c>
      <c r="O28" s="11"/>
      <c r="P28" s="6">
        <v>1786.92</v>
      </c>
      <c r="Q28" s="2"/>
      <c r="R28" s="7">
        <f t="shared" si="4"/>
        <v>0</v>
      </c>
      <c r="S28" s="2"/>
      <c r="T28" s="6">
        <v>2263.73</v>
      </c>
      <c r="U28" s="2"/>
      <c r="V28" s="7">
        <f t="shared" si="5"/>
        <v>0</v>
      </c>
      <c r="W28" s="2"/>
      <c r="X28" s="6">
        <f t="shared" si="6"/>
        <v>-476.80999999999995</v>
      </c>
      <c r="Y28" s="2"/>
      <c r="Z28" s="7">
        <f t="shared" si="7"/>
        <v>-0.21063024300601219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20416.13</v>
      </c>
      <c r="E29" s="1"/>
      <c r="F29" s="5">
        <f t="shared" ref="F29:F32" si="8">IF(D$12=0,0,D29/D$12)</f>
        <v>0</v>
      </c>
      <c r="G29" s="1"/>
      <c r="H29" s="1">
        <f>SUM(OSRRefH22_1x_0)</f>
        <v>26621.79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-6205.66</v>
      </c>
      <c r="M29" s="1"/>
      <c r="N29" s="5">
        <f t="shared" ref="N29:N32" si="11">IF(H29=0,0,L29/H29)</f>
        <v>-0.23310453579567714</v>
      </c>
      <c r="O29" s="13"/>
      <c r="P29" s="1">
        <f>SUM(OSRRefP22_1x_0)</f>
        <v>80110.100000000006</v>
      </c>
      <c r="Q29" s="1"/>
      <c r="R29" s="5">
        <f t="shared" ref="R29:R32" si="12">IF(P$12=0,0,P29/P$12)</f>
        <v>0</v>
      </c>
      <c r="S29" s="1"/>
      <c r="T29" s="1">
        <f>SUM(OSRRefT22_1x_0)</f>
        <v>125648.01000000001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-45537.91</v>
      </c>
      <c r="Y29" s="1"/>
      <c r="Z29" s="5">
        <f t="shared" ref="Z29:Z32" si="15">IF(T29=0,0,X29/T29)</f>
        <v>-0.36242444269511309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14140.28</v>
      </c>
      <c r="E30" s="2"/>
      <c r="F30" s="7">
        <f t="shared" si="8"/>
        <v>0</v>
      </c>
      <c r="G30" s="2"/>
      <c r="H30" s="6">
        <v>22105.62</v>
      </c>
      <c r="I30" s="2"/>
      <c r="J30" s="7">
        <f t="shared" si="9"/>
        <v>0</v>
      </c>
      <c r="K30" s="2"/>
      <c r="L30" s="6">
        <f t="shared" si="10"/>
        <v>-7965.3399999999983</v>
      </c>
      <c r="M30" s="2"/>
      <c r="N30" s="7">
        <f t="shared" si="11"/>
        <v>-0.36033099275206931</v>
      </c>
      <c r="O30" s="11"/>
      <c r="P30" s="6">
        <v>95957.14</v>
      </c>
      <c r="Q30" s="2"/>
      <c r="R30" s="7">
        <f t="shared" si="12"/>
        <v>0</v>
      </c>
      <c r="S30" s="2"/>
      <c r="T30" s="6">
        <v>141036.91</v>
      </c>
      <c r="U30" s="2"/>
      <c r="V30" s="7">
        <f t="shared" si="13"/>
        <v>0</v>
      </c>
      <c r="W30" s="2"/>
      <c r="X30" s="6">
        <f t="shared" si="14"/>
        <v>-45079.770000000004</v>
      </c>
      <c r="Y30" s="2"/>
      <c r="Z30" s="7">
        <f t="shared" si="15"/>
        <v>-0.31963101006679745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4651.66</v>
      </c>
      <c r="E31" s="2"/>
      <c r="F31" s="7">
        <f t="shared" si="8"/>
        <v>0</v>
      </c>
      <c r="G31" s="2"/>
      <c r="H31" s="6">
        <v>4516.17</v>
      </c>
      <c r="I31" s="2"/>
      <c r="J31" s="7">
        <f t="shared" si="9"/>
        <v>0</v>
      </c>
      <c r="K31" s="2"/>
      <c r="L31" s="6">
        <f t="shared" si="10"/>
        <v>135.48999999999978</v>
      </c>
      <c r="M31" s="2"/>
      <c r="N31" s="7">
        <f t="shared" si="11"/>
        <v>3.000108499015754E-2</v>
      </c>
      <c r="O31" s="11"/>
      <c r="P31" s="6">
        <v>28644.43</v>
      </c>
      <c r="Q31" s="2"/>
      <c r="R31" s="7">
        <f t="shared" si="12"/>
        <v>0</v>
      </c>
      <c r="S31" s="2"/>
      <c r="T31" s="6">
        <v>29711.63</v>
      </c>
      <c r="U31" s="2"/>
      <c r="V31" s="7">
        <f t="shared" si="13"/>
        <v>0</v>
      </c>
      <c r="W31" s="2"/>
      <c r="X31" s="6">
        <f t="shared" si="14"/>
        <v>-1067.2000000000007</v>
      </c>
      <c r="Y31" s="2"/>
      <c r="Z31" s="7">
        <f t="shared" si="15"/>
        <v>-3.5918594839798444E-2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6">
        <v>1624.19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1624.19</v>
      </c>
      <c r="M32" s="2"/>
      <c r="N32" s="7">
        <f t="shared" si="11"/>
        <v>0</v>
      </c>
      <c r="O32" s="11"/>
      <c r="P32" s="6">
        <v>-44491.47</v>
      </c>
      <c r="Q32" s="2"/>
      <c r="R32" s="7">
        <f t="shared" si="12"/>
        <v>0</v>
      </c>
      <c r="S32" s="2"/>
      <c r="T32" s="6">
        <v>-45100.53</v>
      </c>
      <c r="U32" s="2"/>
      <c r="V32" s="7">
        <f t="shared" si="13"/>
        <v>0</v>
      </c>
      <c r="W32" s="2"/>
      <c r="X32" s="6">
        <f t="shared" si="14"/>
        <v>609.05999999999767</v>
      </c>
      <c r="Y32" s="2"/>
      <c r="Z32" s="7">
        <f t="shared" si="15"/>
        <v>-1.3504497618985801E-2</v>
      </c>
    </row>
    <row r="33" spans="1:26" s="27" customFormat="1" outlineLevel="1" collapsed="1" x14ac:dyDescent="0.25">
      <c r="A33" s="25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0</v>
      </c>
      <c r="E33" s="1"/>
      <c r="F33" s="5">
        <f t="shared" ref="F33:F52" si="16">IF(D$12=0,0,D33/D$12)</f>
        <v>0</v>
      </c>
      <c r="G33" s="1"/>
      <c r="H33" s="1">
        <f>SUM(OSRRefH22_2x_0)</f>
        <v>11253.42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-11253.42</v>
      </c>
      <c r="M33" s="1"/>
      <c r="N33" s="5">
        <f t="shared" ref="N33:N52" si="19">IF(H33=0,0,L33/H33)</f>
        <v>-1</v>
      </c>
      <c r="O33" s="13"/>
      <c r="P33" s="1">
        <f>SUM(OSRRefP22_2x_0)</f>
        <v>11409.89</v>
      </c>
      <c r="Q33" s="1"/>
      <c r="R33" s="5">
        <f t="shared" ref="R33:R52" si="20">IF(P$12=0,0,P33/P$12)</f>
        <v>0</v>
      </c>
      <c r="S33" s="1"/>
      <c r="T33" s="1">
        <f>SUM(OSRRefT22_2x_0)</f>
        <v>81582.179999999993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-70172.289999999994</v>
      </c>
      <c r="Y33" s="1"/>
      <c r="Z33" s="5">
        <f t="shared" ref="Z33:Z52" si="23">IF(T33=0,0,X33/T33)</f>
        <v>-0.86014237422927409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/>
      <c r="E34" s="2"/>
      <c r="F34" s="7">
        <f t="shared" si="16"/>
        <v>0</v>
      </c>
      <c r="G34" s="2"/>
      <c r="H34" s="6">
        <v>11253.42</v>
      </c>
      <c r="I34" s="2"/>
      <c r="J34" s="7">
        <f t="shared" si="17"/>
        <v>0</v>
      </c>
      <c r="K34" s="2"/>
      <c r="L34" s="6">
        <f t="shared" si="18"/>
        <v>-11253.42</v>
      </c>
      <c r="M34" s="2"/>
      <c r="N34" s="7">
        <f t="shared" si="19"/>
        <v>-1</v>
      </c>
      <c r="O34" s="11"/>
      <c r="P34" s="6">
        <v>11409.89</v>
      </c>
      <c r="Q34" s="2"/>
      <c r="R34" s="7">
        <f t="shared" si="20"/>
        <v>0</v>
      </c>
      <c r="S34" s="2"/>
      <c r="T34" s="6">
        <v>81582.179999999993</v>
      </c>
      <c r="U34" s="2"/>
      <c r="V34" s="7">
        <f t="shared" si="21"/>
        <v>0</v>
      </c>
      <c r="W34" s="2"/>
      <c r="X34" s="6">
        <f t="shared" si="22"/>
        <v>-70172.289999999994</v>
      </c>
      <c r="Y34" s="2"/>
      <c r="Z34" s="7">
        <f t="shared" si="23"/>
        <v>-0.86014237422927409</v>
      </c>
    </row>
    <row r="35" spans="1:26" s="27" customFormat="1" outlineLevel="1" collapsed="1" x14ac:dyDescent="0.25">
      <c r="A35" s="25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345.23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2071.38</v>
      </c>
      <c r="Q35" s="1"/>
      <c r="R35" s="5">
        <f t="shared" si="20"/>
        <v>0</v>
      </c>
      <c r="S35" s="1"/>
      <c r="T35" s="1">
        <f>SUM(OSRRefT22_3x_0)</f>
        <v>2071.38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345.23</v>
      </c>
      <c r="E36" s="2"/>
      <c r="F36" s="7">
        <f t="shared" si="16"/>
        <v>0</v>
      </c>
      <c r="G36" s="2"/>
      <c r="H36" s="6">
        <v>345.23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2071.38</v>
      </c>
      <c r="Q36" s="2"/>
      <c r="R36" s="7">
        <f t="shared" si="20"/>
        <v>0</v>
      </c>
      <c r="S36" s="2"/>
      <c r="T36" s="6">
        <v>2071.38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7" customFormat="1" outlineLevel="1" collapsed="1" x14ac:dyDescent="0.25">
      <c r="A37" s="25"/>
      <c r="B37" s="13" t="str">
        <f>CONCATENATE("     ","Donations                                         ")</f>
        <v xml:space="preserve">     Donations                                         </v>
      </c>
      <c r="C37" s="13"/>
      <c r="D37" s="1">
        <f>SUM(OSRRefD22_4x_0)</f>
        <v>2.21</v>
      </c>
      <c r="E37" s="1"/>
      <c r="F37" s="5">
        <f t="shared" si="16"/>
        <v>0</v>
      </c>
      <c r="G37" s="1"/>
      <c r="H37" s="1">
        <f>SUM(OSRRefH22_4x_0)</f>
        <v>573.36</v>
      </c>
      <c r="I37" s="1"/>
      <c r="J37" s="5">
        <f t="shared" si="17"/>
        <v>0</v>
      </c>
      <c r="K37" s="1"/>
      <c r="L37" s="1">
        <f t="shared" si="18"/>
        <v>-571.15</v>
      </c>
      <c r="M37" s="1"/>
      <c r="N37" s="5">
        <f t="shared" si="19"/>
        <v>-0.99614552811497137</v>
      </c>
      <c r="O37" s="13"/>
      <c r="P37" s="1">
        <f>SUM(OSRRefP22_4x_0)</f>
        <v>145645</v>
      </c>
      <c r="Q37" s="1"/>
      <c r="R37" s="5">
        <f t="shared" si="20"/>
        <v>0</v>
      </c>
      <c r="S37" s="1"/>
      <c r="T37" s="1">
        <f>SUM(OSRRefT22_4x_0)</f>
        <v>44198.82</v>
      </c>
      <c r="U37" s="1"/>
      <c r="V37" s="5">
        <f t="shared" si="21"/>
        <v>0</v>
      </c>
      <c r="W37" s="1"/>
      <c r="X37" s="1">
        <f t="shared" si="22"/>
        <v>101446.18</v>
      </c>
      <c r="Y37" s="1"/>
      <c r="Z37" s="5">
        <f t="shared" si="23"/>
        <v>2.2952237186422622</v>
      </c>
    </row>
    <row r="38" spans="1:26" s="24" customFormat="1" hidden="1" outlineLevel="2" x14ac:dyDescent="0.25">
      <c r="A38" s="26"/>
      <c r="B38" s="11" t="str">
        <f>CONCATENATE("          ", "6399", " - ", "DONATION-ON CAMPUS")</f>
        <v xml:space="preserve">          6399 - DONATION-ON CAMPUS</v>
      </c>
      <c r="C38" s="11"/>
      <c r="D38" s="6">
        <v>2.21</v>
      </c>
      <c r="E38" s="2"/>
      <c r="F38" s="7">
        <f t="shared" si="16"/>
        <v>0</v>
      </c>
      <c r="G38" s="2"/>
      <c r="H38" s="6">
        <v>573.36</v>
      </c>
      <c r="I38" s="2"/>
      <c r="J38" s="7">
        <f t="shared" si="17"/>
        <v>0</v>
      </c>
      <c r="K38" s="2"/>
      <c r="L38" s="6">
        <f t="shared" si="18"/>
        <v>-571.15</v>
      </c>
      <c r="M38" s="2"/>
      <c r="N38" s="7">
        <f t="shared" si="19"/>
        <v>-0.99614552811497137</v>
      </c>
      <c r="O38" s="11"/>
      <c r="P38" s="6">
        <v>145645</v>
      </c>
      <c r="Q38" s="2"/>
      <c r="R38" s="7">
        <f t="shared" si="20"/>
        <v>0</v>
      </c>
      <c r="S38" s="2"/>
      <c r="T38" s="6">
        <v>44198.82</v>
      </c>
      <c r="U38" s="2"/>
      <c r="V38" s="7">
        <f t="shared" si="21"/>
        <v>0</v>
      </c>
      <c r="W38" s="2"/>
      <c r="X38" s="6">
        <f t="shared" si="22"/>
        <v>101446.18</v>
      </c>
      <c r="Y38" s="2"/>
      <c r="Z38" s="7">
        <f t="shared" si="23"/>
        <v>2.2952237186422622</v>
      </c>
    </row>
    <row r="39" spans="1:26" s="27" customFormat="1" outlineLevel="1" collapsed="1" x14ac:dyDescent="0.25">
      <c r="A39" s="25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4259.18</v>
      </c>
      <c r="I39" s="1"/>
      <c r="J39" s="5">
        <f t="shared" si="17"/>
        <v>0</v>
      </c>
      <c r="K39" s="1"/>
      <c r="L39" s="1">
        <f t="shared" si="18"/>
        <v>-4259.18</v>
      </c>
      <c r="M39" s="1"/>
      <c r="N39" s="5">
        <f t="shared" si="19"/>
        <v>-1</v>
      </c>
      <c r="O39" s="13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4541.76</v>
      </c>
      <c r="U39" s="1"/>
      <c r="V39" s="5">
        <f t="shared" si="21"/>
        <v>0</v>
      </c>
      <c r="W39" s="1"/>
      <c r="X39" s="1">
        <f t="shared" si="22"/>
        <v>-4541.76</v>
      </c>
      <c r="Y39" s="1"/>
      <c r="Z39" s="5">
        <f t="shared" si="23"/>
        <v>-1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>
        <v>4259.18</v>
      </c>
      <c r="I40" s="2"/>
      <c r="J40" s="7">
        <f t="shared" si="17"/>
        <v>0</v>
      </c>
      <c r="K40" s="2"/>
      <c r="L40" s="6">
        <f t="shared" si="18"/>
        <v>-4259.18</v>
      </c>
      <c r="M40" s="2"/>
      <c r="N40" s="7">
        <f t="shared" si="19"/>
        <v>-1</v>
      </c>
      <c r="O40" s="11"/>
      <c r="P40" s="6"/>
      <c r="Q40" s="2"/>
      <c r="R40" s="7">
        <f t="shared" si="20"/>
        <v>0</v>
      </c>
      <c r="S40" s="2"/>
      <c r="T40" s="6">
        <v>4541.76</v>
      </c>
      <c r="U40" s="2"/>
      <c r="V40" s="7">
        <f t="shared" si="21"/>
        <v>0</v>
      </c>
      <c r="W40" s="2"/>
      <c r="X40" s="6">
        <f t="shared" si="22"/>
        <v>-4541.76</v>
      </c>
      <c r="Y40" s="2"/>
      <c r="Z40" s="7">
        <f t="shared" si="23"/>
        <v>-1</v>
      </c>
    </row>
    <row r="41" spans="1:26" s="27" customFormat="1" outlineLevel="1" collapsed="1" x14ac:dyDescent="0.25">
      <c r="A41" s="25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SUM(OSRRefD22_6x_0)</f>
        <v>0</v>
      </c>
      <c r="E41" s="1"/>
      <c r="F41" s="5">
        <f t="shared" si="16"/>
        <v>0</v>
      </c>
      <c r="G41" s="1"/>
      <c r="H41" s="1">
        <f>SUM(OSRRefH22_6x_0)</f>
        <v>117.72</v>
      </c>
      <c r="I41" s="1"/>
      <c r="J41" s="5">
        <f t="shared" si="17"/>
        <v>0</v>
      </c>
      <c r="K41" s="1"/>
      <c r="L41" s="1">
        <f t="shared" si="18"/>
        <v>-117.72</v>
      </c>
      <c r="M41" s="1"/>
      <c r="N41" s="5">
        <f t="shared" si="19"/>
        <v>-1</v>
      </c>
      <c r="O41" s="13"/>
      <c r="P41" s="1">
        <f>SUM(OSRRefP22_6x_0)</f>
        <v>706.32</v>
      </c>
      <c r="Q41" s="1"/>
      <c r="R41" s="5">
        <f t="shared" si="20"/>
        <v>0</v>
      </c>
      <c r="S41" s="1"/>
      <c r="T41" s="1">
        <f>SUM(OSRRefT22_6x_0)</f>
        <v>706.32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"6351", " - ", "EQUIPMENT RENTAL")</f>
        <v xml:space="preserve">          6351 - EQUIPMENT RENTAL</v>
      </c>
      <c r="C42" s="11"/>
      <c r="D42" s="6"/>
      <c r="E42" s="2"/>
      <c r="F42" s="7">
        <f t="shared" si="16"/>
        <v>0</v>
      </c>
      <c r="G42" s="2"/>
      <c r="H42" s="6">
        <v>117.72</v>
      </c>
      <c r="I42" s="2"/>
      <c r="J42" s="7">
        <f t="shared" si="17"/>
        <v>0</v>
      </c>
      <c r="K42" s="2"/>
      <c r="L42" s="6">
        <f t="shared" si="18"/>
        <v>-117.72</v>
      </c>
      <c r="M42" s="2"/>
      <c r="N42" s="7">
        <f t="shared" si="19"/>
        <v>-1</v>
      </c>
      <c r="O42" s="11"/>
      <c r="P42" s="6">
        <v>706.32</v>
      </c>
      <c r="Q42" s="2"/>
      <c r="R42" s="7">
        <f t="shared" si="20"/>
        <v>0</v>
      </c>
      <c r="S42" s="2"/>
      <c r="T42" s="6">
        <v>706.32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7" customFormat="1" outlineLevel="1" collapsed="1" x14ac:dyDescent="0.25">
      <c r="A43" s="25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SUM(OSRRefD22_7x_0)</f>
        <v>123.25</v>
      </c>
      <c r="E43" s="1"/>
      <c r="F43" s="5">
        <f t="shared" si="16"/>
        <v>0</v>
      </c>
      <c r="G43" s="1"/>
      <c r="H43" s="1">
        <f>SUM(OSRRefH22_7x_0)</f>
        <v>0</v>
      </c>
      <c r="I43" s="1"/>
      <c r="J43" s="5">
        <f t="shared" si="17"/>
        <v>0</v>
      </c>
      <c r="K43" s="1"/>
      <c r="L43" s="1">
        <f t="shared" si="18"/>
        <v>123.25</v>
      </c>
      <c r="M43" s="1"/>
      <c r="N43" s="5">
        <f t="shared" si="19"/>
        <v>0</v>
      </c>
      <c r="O43" s="13"/>
      <c r="P43" s="1">
        <f>SUM(OSRRefP22_7x_0)</f>
        <v>132.5</v>
      </c>
      <c r="Q43" s="1"/>
      <c r="R43" s="5">
        <f t="shared" si="20"/>
        <v>0</v>
      </c>
      <c r="S43" s="1"/>
      <c r="T43" s="1">
        <f>SUM(OSRRefT22_7x_0)</f>
        <v>1.41</v>
      </c>
      <c r="U43" s="1"/>
      <c r="V43" s="5">
        <f t="shared" si="21"/>
        <v>0</v>
      </c>
      <c r="W43" s="1"/>
      <c r="X43" s="1">
        <f t="shared" si="22"/>
        <v>131.09</v>
      </c>
      <c r="Y43" s="1"/>
      <c r="Z43" s="5">
        <f t="shared" si="23"/>
        <v>92.971631205673773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>
        <v>123.25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123.25</v>
      </c>
      <c r="M44" s="2"/>
      <c r="N44" s="7">
        <f t="shared" si="19"/>
        <v>0</v>
      </c>
      <c r="O44" s="11"/>
      <c r="P44" s="6">
        <v>132.5</v>
      </c>
      <c r="Q44" s="2"/>
      <c r="R44" s="7">
        <f t="shared" si="20"/>
        <v>0</v>
      </c>
      <c r="S44" s="2"/>
      <c r="T44" s="6">
        <v>1.41</v>
      </c>
      <c r="U44" s="2"/>
      <c r="V44" s="7">
        <f t="shared" si="21"/>
        <v>0</v>
      </c>
      <c r="W44" s="2"/>
      <c r="X44" s="6">
        <f t="shared" si="22"/>
        <v>131.09</v>
      </c>
      <c r="Y44" s="2"/>
      <c r="Z44" s="7">
        <f t="shared" si="23"/>
        <v>92.971631205673773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SUM(OSRRefD22_8x_0)</f>
        <v>0</v>
      </c>
      <c r="E45" s="1"/>
      <c r="F45" s="5">
        <f t="shared" si="16"/>
        <v>0</v>
      </c>
      <c r="G45" s="1"/>
      <c r="H45" s="1">
        <f>SUM(OSRRefH22_8x_0)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SUM(OSRRefP22_8x_0)</f>
        <v>11700.62</v>
      </c>
      <c r="Q45" s="1"/>
      <c r="R45" s="5">
        <f t="shared" si="20"/>
        <v>0</v>
      </c>
      <c r="S45" s="1"/>
      <c r="T45" s="1">
        <f>SUM(OSRRefT22_8x_0)</f>
        <v>10183</v>
      </c>
      <c r="U45" s="1"/>
      <c r="V45" s="5">
        <f t="shared" si="21"/>
        <v>0</v>
      </c>
      <c r="W45" s="1"/>
      <c r="X45" s="1">
        <f t="shared" si="22"/>
        <v>1517.6200000000008</v>
      </c>
      <c r="Y45" s="1"/>
      <c r="Z45" s="5">
        <f t="shared" si="23"/>
        <v>0.14903466561916928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11700.62</v>
      </c>
      <c r="Q46" s="2"/>
      <c r="R46" s="7">
        <f t="shared" si="20"/>
        <v>0</v>
      </c>
      <c r="S46" s="2"/>
      <c r="T46" s="6">
        <v>10183</v>
      </c>
      <c r="U46" s="2"/>
      <c r="V46" s="7">
        <f t="shared" si="21"/>
        <v>0</v>
      </c>
      <c r="W46" s="2"/>
      <c r="X46" s="6">
        <f t="shared" si="22"/>
        <v>1517.6200000000008</v>
      </c>
      <c r="Y46" s="2"/>
      <c r="Z46" s="7">
        <f t="shared" si="23"/>
        <v>0.14903466561916928</v>
      </c>
    </row>
    <row r="47" spans="1:26" s="27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SUM(OSRRefD22_9x_0)</f>
        <v>115.13</v>
      </c>
      <c r="E47" s="1"/>
      <c r="F47" s="5">
        <f t="shared" si="16"/>
        <v>0</v>
      </c>
      <c r="G47" s="1"/>
      <c r="H47" s="1">
        <f>SUM(OSRRefH22_9x_0)</f>
        <v>108.47</v>
      </c>
      <c r="I47" s="1"/>
      <c r="J47" s="5">
        <f t="shared" si="17"/>
        <v>0</v>
      </c>
      <c r="K47" s="1"/>
      <c r="L47" s="1">
        <f t="shared" si="18"/>
        <v>6.6599999999999966</v>
      </c>
      <c r="M47" s="1"/>
      <c r="N47" s="5">
        <f t="shared" si="19"/>
        <v>6.139946528994189E-2</v>
      </c>
      <c r="O47" s="13"/>
      <c r="P47" s="1">
        <f>SUM(OSRRefP22_9x_0)</f>
        <v>690.78</v>
      </c>
      <c r="Q47" s="1"/>
      <c r="R47" s="5">
        <f t="shared" si="20"/>
        <v>0</v>
      </c>
      <c r="S47" s="1"/>
      <c r="T47" s="1">
        <f>SUM(OSRRefT22_9x_0)</f>
        <v>650.82000000000005</v>
      </c>
      <c r="U47" s="1"/>
      <c r="V47" s="5">
        <f t="shared" si="21"/>
        <v>0</v>
      </c>
      <c r="W47" s="1"/>
      <c r="X47" s="1">
        <f t="shared" si="22"/>
        <v>39.959999999999923</v>
      </c>
      <c r="Y47" s="1"/>
      <c r="Z47" s="5">
        <f t="shared" si="23"/>
        <v>6.1399465289941793E-2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115.13</v>
      </c>
      <c r="E48" s="2"/>
      <c r="F48" s="7">
        <f t="shared" si="16"/>
        <v>0</v>
      </c>
      <c r="G48" s="2"/>
      <c r="H48" s="6">
        <v>108.47</v>
      </c>
      <c r="I48" s="2"/>
      <c r="J48" s="7">
        <f t="shared" si="17"/>
        <v>0</v>
      </c>
      <c r="K48" s="2"/>
      <c r="L48" s="6">
        <f t="shared" si="18"/>
        <v>6.6599999999999966</v>
      </c>
      <c r="M48" s="2"/>
      <c r="N48" s="7">
        <f t="shared" si="19"/>
        <v>6.139946528994189E-2</v>
      </c>
      <c r="O48" s="11"/>
      <c r="P48" s="6">
        <v>690.78</v>
      </c>
      <c r="Q48" s="2"/>
      <c r="R48" s="7">
        <f t="shared" si="20"/>
        <v>0</v>
      </c>
      <c r="S48" s="2"/>
      <c r="T48" s="6">
        <v>650.82000000000005</v>
      </c>
      <c r="U48" s="2"/>
      <c r="V48" s="7">
        <f t="shared" si="21"/>
        <v>0</v>
      </c>
      <c r="W48" s="2"/>
      <c r="X48" s="6">
        <f t="shared" si="22"/>
        <v>39.959999999999923</v>
      </c>
      <c r="Y48" s="2"/>
      <c r="Z48" s="7">
        <f t="shared" si="23"/>
        <v>6.1399465289941793E-2</v>
      </c>
    </row>
    <row r="49" spans="1:26" s="27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SUM(OSRRefD22_10x_0)</f>
        <v>100</v>
      </c>
      <c r="E49" s="1"/>
      <c r="F49" s="5">
        <f t="shared" si="16"/>
        <v>0</v>
      </c>
      <c r="G49" s="1"/>
      <c r="H49" s="1">
        <f>SUM(OSRRefH22_10x_0)</f>
        <v>525</v>
      </c>
      <c r="I49" s="1"/>
      <c r="J49" s="5">
        <f t="shared" si="17"/>
        <v>0</v>
      </c>
      <c r="K49" s="1"/>
      <c r="L49" s="1">
        <f t="shared" si="18"/>
        <v>-425</v>
      </c>
      <c r="M49" s="1"/>
      <c r="N49" s="5">
        <f t="shared" si="19"/>
        <v>-0.80952380952380953</v>
      </c>
      <c r="O49" s="13"/>
      <c r="P49" s="1">
        <f>SUM(OSRRefP22_10x_0)</f>
        <v>50860</v>
      </c>
      <c r="Q49" s="1"/>
      <c r="R49" s="5">
        <f t="shared" si="20"/>
        <v>0</v>
      </c>
      <c r="S49" s="1"/>
      <c r="T49" s="1">
        <f>SUM(OSRRefT22_10x_0)</f>
        <v>44850</v>
      </c>
      <c r="U49" s="1"/>
      <c r="V49" s="5">
        <f t="shared" si="21"/>
        <v>0</v>
      </c>
      <c r="W49" s="1"/>
      <c r="X49" s="1">
        <f t="shared" si="22"/>
        <v>6010</v>
      </c>
      <c r="Y49" s="1"/>
      <c r="Z49" s="5">
        <f t="shared" si="23"/>
        <v>0.13400222965440356</v>
      </c>
    </row>
    <row r="50" spans="1:26" s="24" customFormat="1" hidden="1" outlineLevel="2" x14ac:dyDescent="0.25">
      <c r="A50" s="26"/>
      <c r="B50" s="11" t="str">
        <f>CONCATENATE("          ", "6331", " - ", "INDIRECT COSTS-AUXILIARY ORGAN")</f>
        <v xml:space="preserve">          6331 - INDIRECT COSTS-AUXILIARY ORGAN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45550</v>
      </c>
      <c r="Q50" s="2"/>
      <c r="R50" s="7">
        <f t="shared" si="20"/>
        <v>0</v>
      </c>
      <c r="S50" s="2"/>
      <c r="T50" s="6">
        <v>39250</v>
      </c>
      <c r="U50" s="2"/>
      <c r="V50" s="7">
        <f t="shared" si="21"/>
        <v>0</v>
      </c>
      <c r="W50" s="2"/>
      <c r="X50" s="6">
        <f t="shared" si="22"/>
        <v>6300</v>
      </c>
      <c r="Y50" s="2"/>
      <c r="Z50" s="7">
        <f t="shared" si="23"/>
        <v>0.16050955414012738</v>
      </c>
    </row>
    <row r="51" spans="1:26" s="24" customFormat="1" hidden="1" outlineLevel="2" x14ac:dyDescent="0.25">
      <c r="A51" s="26"/>
      <c r="B51" s="11" t="str">
        <f>CONCATENATE("          ", "6334", " - ", "LEGAL COUNCIL EXPENSE")</f>
        <v xml:space="preserve">          6334 - LEGAL COUNCIL EXPENSE</v>
      </c>
      <c r="C51" s="11"/>
      <c r="D51" s="6">
        <v>100</v>
      </c>
      <c r="E51" s="2"/>
      <c r="F51" s="7">
        <f t="shared" si="16"/>
        <v>0</v>
      </c>
      <c r="G51" s="2"/>
      <c r="H51" s="6">
        <v>525</v>
      </c>
      <c r="I51" s="2"/>
      <c r="J51" s="7">
        <f t="shared" si="17"/>
        <v>0</v>
      </c>
      <c r="K51" s="2"/>
      <c r="L51" s="6">
        <f t="shared" si="18"/>
        <v>-425</v>
      </c>
      <c r="M51" s="2"/>
      <c r="N51" s="7">
        <f t="shared" si="19"/>
        <v>-0.80952380952380953</v>
      </c>
      <c r="O51" s="11"/>
      <c r="P51" s="6">
        <v>290</v>
      </c>
      <c r="Q51" s="2"/>
      <c r="R51" s="7">
        <f t="shared" si="20"/>
        <v>0</v>
      </c>
      <c r="S51" s="2"/>
      <c r="T51" s="6">
        <v>600</v>
      </c>
      <c r="U51" s="2"/>
      <c r="V51" s="7">
        <f t="shared" si="21"/>
        <v>0</v>
      </c>
      <c r="W51" s="2"/>
      <c r="X51" s="6">
        <f t="shared" si="22"/>
        <v>-310</v>
      </c>
      <c r="Y51" s="2"/>
      <c r="Z51" s="7">
        <f t="shared" si="23"/>
        <v>-0.51666666666666672</v>
      </c>
    </row>
    <row r="52" spans="1:26" s="24" customFormat="1" hidden="1" outlineLevel="2" x14ac:dyDescent="0.25">
      <c r="A52" s="26"/>
      <c r="B52" s="11" t="str">
        <f>CONCATENATE("          ", "6336", " - ", "PROFESSIONAL SERVICES")</f>
        <v xml:space="preserve">          6336 - PROFESSIONAL SERVICES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5020</v>
      </c>
      <c r="Q52" s="2"/>
      <c r="R52" s="7">
        <f t="shared" si="20"/>
        <v>0</v>
      </c>
      <c r="S52" s="2"/>
      <c r="T52" s="6">
        <v>5000</v>
      </c>
      <c r="U52" s="2"/>
      <c r="V52" s="7">
        <f t="shared" si="21"/>
        <v>0</v>
      </c>
      <c r="W52" s="2"/>
      <c r="X52" s="6">
        <f t="shared" si="22"/>
        <v>20</v>
      </c>
      <c r="Y52" s="2"/>
      <c r="Z52" s="7">
        <f t="shared" si="23"/>
        <v>4.0000000000000001E-3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SUM(OSRRefD22_11x_0)</f>
        <v>2675.13</v>
      </c>
      <c r="E53" s="1"/>
      <c r="F53" s="5">
        <f t="shared" ref="F53:F56" si="24">IF(D$12=0,0,D53/D$12)</f>
        <v>0</v>
      </c>
      <c r="G53" s="1"/>
      <c r="H53" s="1">
        <f>SUM(OSRRefH22_11x_0)</f>
        <v>5601.52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-2926.3900000000003</v>
      </c>
      <c r="M53" s="1"/>
      <c r="N53" s="5">
        <f t="shared" ref="N53:N56" si="27">IF(H53=0,0,L53/H53)</f>
        <v>-0.52242784101458173</v>
      </c>
      <c r="O53" s="13"/>
      <c r="P53" s="1">
        <f>SUM(OSRRefP22_11x_0)</f>
        <v>20295.830000000002</v>
      </c>
      <c r="Q53" s="1"/>
      <c r="R53" s="5">
        <f t="shared" ref="R53:R56" si="28">IF(P$12=0,0,P53/P$12)</f>
        <v>0</v>
      </c>
      <c r="S53" s="1"/>
      <c r="T53" s="1">
        <f>SUM(OSRRefT22_11x_0)</f>
        <v>25609.339999999997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-5313.5099999999948</v>
      </c>
      <c r="Y53" s="1"/>
      <c r="Z53" s="5">
        <f t="shared" ref="Z53:Z56" si="31">IF(T53=0,0,X53/T53)</f>
        <v>-0.20748328539509395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31.58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31.58</v>
      </c>
      <c r="Y54" s="2"/>
      <c r="Z54" s="7">
        <f t="shared" si="31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2675.13</v>
      </c>
      <c r="E55" s="2"/>
      <c r="F55" s="7">
        <f t="shared" si="24"/>
        <v>0</v>
      </c>
      <c r="G55" s="2"/>
      <c r="H55" s="6">
        <v>5077</v>
      </c>
      <c r="I55" s="2"/>
      <c r="J55" s="7">
        <f t="shared" si="25"/>
        <v>0</v>
      </c>
      <c r="K55" s="2"/>
      <c r="L55" s="6">
        <f t="shared" si="26"/>
        <v>-2401.87</v>
      </c>
      <c r="M55" s="2"/>
      <c r="N55" s="7">
        <f t="shared" si="27"/>
        <v>-0.47308843805396888</v>
      </c>
      <c r="O55" s="11"/>
      <c r="P55" s="6">
        <v>19739.259999999998</v>
      </c>
      <c r="Q55" s="2"/>
      <c r="R55" s="7">
        <f t="shared" si="28"/>
        <v>0</v>
      </c>
      <c r="S55" s="2"/>
      <c r="T55" s="6">
        <v>22560.92</v>
      </c>
      <c r="U55" s="2"/>
      <c r="V55" s="7">
        <f t="shared" si="29"/>
        <v>0</v>
      </c>
      <c r="W55" s="2"/>
      <c r="X55" s="6">
        <f t="shared" si="30"/>
        <v>-2821.66</v>
      </c>
      <c r="Y55" s="2"/>
      <c r="Z55" s="7">
        <f t="shared" si="31"/>
        <v>-0.1250684812498781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4"/>
        <v>0</v>
      </c>
      <c r="G56" s="2"/>
      <c r="H56" s="6">
        <v>524.52</v>
      </c>
      <c r="I56" s="2"/>
      <c r="J56" s="7">
        <f t="shared" si="25"/>
        <v>0</v>
      </c>
      <c r="K56" s="2"/>
      <c r="L56" s="6">
        <f t="shared" si="26"/>
        <v>-524.52</v>
      </c>
      <c r="M56" s="2"/>
      <c r="N56" s="7">
        <f t="shared" si="27"/>
        <v>-1</v>
      </c>
      <c r="O56" s="11"/>
      <c r="P56" s="6">
        <v>524.99</v>
      </c>
      <c r="Q56" s="2"/>
      <c r="R56" s="7">
        <f t="shared" si="28"/>
        <v>0</v>
      </c>
      <c r="S56" s="2"/>
      <c r="T56" s="6">
        <v>3048.42</v>
      </c>
      <c r="U56" s="2"/>
      <c r="V56" s="7">
        <f t="shared" si="29"/>
        <v>0</v>
      </c>
      <c r="W56" s="2"/>
      <c r="X56" s="6">
        <f t="shared" si="30"/>
        <v>-2523.4300000000003</v>
      </c>
      <c r="Y56" s="2"/>
      <c r="Z56" s="7">
        <f t="shared" si="31"/>
        <v>-0.82778291705211227</v>
      </c>
    </row>
    <row r="57" spans="1:26" s="27" customFormat="1" outlineLevel="1" collapsed="1" x14ac:dyDescent="0.25">
      <c r="A57" s="25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795</v>
      </c>
      <c r="E57" s="1"/>
      <c r="F57" s="5">
        <f t="shared" ref="F57:F62" si="32">IF(D$12=0,0,D57/D$12)</f>
        <v>0</v>
      </c>
      <c r="G57" s="1"/>
      <c r="H57" s="1">
        <f>SUM(OSRRefH22_12x_0)</f>
        <v>0</v>
      </c>
      <c r="I57" s="1"/>
      <c r="J57" s="5">
        <f t="shared" ref="J57:J62" si="33">IF(H$12=0,0,H57/H$12)</f>
        <v>0</v>
      </c>
      <c r="K57" s="1"/>
      <c r="L57" s="1">
        <f t="shared" ref="L57:L62" si="34">+D57-H57</f>
        <v>795</v>
      </c>
      <c r="M57" s="1"/>
      <c r="N57" s="5">
        <f t="shared" ref="N57:N62" si="35">IF(H57=0,0,L57/H57)</f>
        <v>0</v>
      </c>
      <c r="O57" s="13"/>
      <c r="P57" s="1">
        <f>SUM(OSRRefP22_12x_0)</f>
        <v>1795</v>
      </c>
      <c r="Q57" s="1"/>
      <c r="R57" s="5">
        <f t="shared" ref="R57:R62" si="36">IF(P$12=0,0,P57/P$12)</f>
        <v>0</v>
      </c>
      <c r="S57" s="1"/>
      <c r="T57" s="1">
        <f>SUM(OSRRefT22_12x_0)</f>
        <v>1230</v>
      </c>
      <c r="U57" s="1"/>
      <c r="V57" s="5">
        <f t="shared" ref="V57:V62" si="37">IF(T$12=0,0,T57/T$12)</f>
        <v>0</v>
      </c>
      <c r="W57" s="1"/>
      <c r="X57" s="1">
        <f t="shared" ref="X57:X62" si="38">+P57-T57</f>
        <v>565</v>
      </c>
      <c r="Y57" s="1"/>
      <c r="Z57" s="5">
        <f t="shared" ref="Z57:Z62" si="39">IF(T57=0,0,X57/T57)</f>
        <v>0.45934959349593496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6">
        <v>795</v>
      </c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795</v>
      </c>
      <c r="M58" s="2"/>
      <c r="N58" s="7">
        <f t="shared" si="35"/>
        <v>0</v>
      </c>
      <c r="O58" s="11"/>
      <c r="P58" s="6">
        <v>1795</v>
      </c>
      <c r="Q58" s="2"/>
      <c r="R58" s="7">
        <f t="shared" si="36"/>
        <v>0</v>
      </c>
      <c r="S58" s="2"/>
      <c r="T58" s="6">
        <v>1230</v>
      </c>
      <c r="U58" s="2"/>
      <c r="V58" s="7">
        <f t="shared" si="37"/>
        <v>0</v>
      </c>
      <c r="W58" s="2"/>
      <c r="X58" s="6">
        <f t="shared" si="38"/>
        <v>565</v>
      </c>
      <c r="Y58" s="2"/>
      <c r="Z58" s="7">
        <f t="shared" si="39"/>
        <v>0.45934959349593496</v>
      </c>
    </row>
    <row r="59" spans="1:26" s="27" customFormat="1" outlineLevel="1" collapsed="1" x14ac:dyDescent="0.25">
      <c r="A59" s="25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662.62</v>
      </c>
      <c r="E59" s="1"/>
      <c r="F59" s="5">
        <f t="shared" si="32"/>
        <v>0</v>
      </c>
      <c r="G59" s="1"/>
      <c r="H59" s="1">
        <f>SUM(OSRRefH22_13x_0)</f>
        <v>259.33999999999997</v>
      </c>
      <c r="I59" s="1"/>
      <c r="J59" s="5">
        <f t="shared" si="33"/>
        <v>0</v>
      </c>
      <c r="K59" s="1"/>
      <c r="L59" s="1">
        <f t="shared" si="34"/>
        <v>403.28000000000003</v>
      </c>
      <c r="M59" s="1"/>
      <c r="N59" s="5">
        <f t="shared" si="35"/>
        <v>1.555024292434642</v>
      </c>
      <c r="O59" s="13"/>
      <c r="P59" s="1">
        <f>SUM(OSRRefP22_13x_0)</f>
        <v>3802.7200000000003</v>
      </c>
      <c r="Q59" s="1"/>
      <c r="R59" s="5">
        <f t="shared" si="36"/>
        <v>0</v>
      </c>
      <c r="S59" s="1"/>
      <c r="T59" s="1">
        <f>SUM(OSRRefT22_13x_0)</f>
        <v>1754.43</v>
      </c>
      <c r="U59" s="1"/>
      <c r="V59" s="5">
        <f t="shared" si="37"/>
        <v>0</v>
      </c>
      <c r="W59" s="1"/>
      <c r="X59" s="1">
        <f t="shared" si="38"/>
        <v>2048.29</v>
      </c>
      <c r="Y59" s="1"/>
      <c r="Z59" s="5">
        <f t="shared" si="39"/>
        <v>1.167495995850504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>
        <v>217.02</v>
      </c>
      <c r="Q60" s="2"/>
      <c r="R60" s="7">
        <f t="shared" si="36"/>
        <v>0</v>
      </c>
      <c r="S60" s="2"/>
      <c r="T60" s="6">
        <v>517.49</v>
      </c>
      <c r="U60" s="2"/>
      <c r="V60" s="7">
        <f t="shared" si="37"/>
        <v>0</v>
      </c>
      <c r="W60" s="2"/>
      <c r="X60" s="6">
        <f t="shared" si="38"/>
        <v>-300.47000000000003</v>
      </c>
      <c r="Y60" s="2"/>
      <c r="Z60" s="7">
        <f t="shared" si="39"/>
        <v>-0.58062957738313792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>
        <v>662.62</v>
      </c>
      <c r="E61" s="2"/>
      <c r="F61" s="7">
        <f t="shared" si="32"/>
        <v>0</v>
      </c>
      <c r="G61" s="2"/>
      <c r="H61" s="6">
        <v>227.48</v>
      </c>
      <c r="I61" s="2"/>
      <c r="J61" s="7">
        <f t="shared" si="33"/>
        <v>0</v>
      </c>
      <c r="K61" s="2"/>
      <c r="L61" s="6">
        <f t="shared" si="34"/>
        <v>435.14</v>
      </c>
      <c r="M61" s="2"/>
      <c r="N61" s="7">
        <f t="shared" si="35"/>
        <v>1.9128714612273607</v>
      </c>
      <c r="O61" s="11"/>
      <c r="P61" s="6">
        <v>3553.84</v>
      </c>
      <c r="Q61" s="2"/>
      <c r="R61" s="7">
        <f t="shared" si="36"/>
        <v>0</v>
      </c>
      <c r="S61" s="2"/>
      <c r="T61" s="6">
        <v>1085.1300000000001</v>
      </c>
      <c r="U61" s="2"/>
      <c r="V61" s="7">
        <f t="shared" si="37"/>
        <v>0</v>
      </c>
      <c r="W61" s="2"/>
      <c r="X61" s="6">
        <f t="shared" si="38"/>
        <v>2468.71</v>
      </c>
      <c r="Y61" s="2"/>
      <c r="Z61" s="7">
        <f t="shared" si="39"/>
        <v>2.2750361707813807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2"/>
        <v>0</v>
      </c>
      <c r="G62" s="2"/>
      <c r="H62" s="6">
        <v>31.86</v>
      </c>
      <c r="I62" s="2"/>
      <c r="J62" s="7">
        <f t="shared" si="33"/>
        <v>0</v>
      </c>
      <c r="K62" s="2"/>
      <c r="L62" s="6">
        <f t="shared" si="34"/>
        <v>-31.86</v>
      </c>
      <c r="M62" s="2"/>
      <c r="N62" s="7">
        <f t="shared" si="35"/>
        <v>-1</v>
      </c>
      <c r="O62" s="11"/>
      <c r="P62" s="6">
        <v>31.86</v>
      </c>
      <c r="Q62" s="2"/>
      <c r="R62" s="7">
        <f t="shared" si="36"/>
        <v>0</v>
      </c>
      <c r="S62" s="2"/>
      <c r="T62" s="6">
        <v>151.81</v>
      </c>
      <c r="U62" s="2"/>
      <c r="V62" s="7">
        <f t="shared" si="37"/>
        <v>0</v>
      </c>
      <c r="W62" s="2"/>
      <c r="X62" s="6">
        <f t="shared" si="38"/>
        <v>-119.95</v>
      </c>
      <c r="Y62" s="2"/>
      <c r="Z62" s="7">
        <f t="shared" si="39"/>
        <v>-0.79013240234503657</v>
      </c>
    </row>
    <row r="63" spans="1:26" s="27" customFormat="1" outlineLevel="1" collapsed="1" x14ac:dyDescent="0.25">
      <c r="A63" s="25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SUM(OSRRefD22_14x_0)</f>
        <v>1253.8499999999999</v>
      </c>
      <c r="E63" s="1"/>
      <c r="F63" s="5">
        <f t="shared" ref="F63:F69" si="40">IF(D$12=0,0,D63/D$12)</f>
        <v>0</v>
      </c>
      <c r="G63" s="1"/>
      <c r="H63" s="1">
        <f>SUM(OSRRefH22_14x_0)</f>
        <v>344.87</v>
      </c>
      <c r="I63" s="1"/>
      <c r="J63" s="5">
        <f t="shared" ref="J63:J69" si="41">IF(H$12=0,0,H63/H$12)</f>
        <v>0</v>
      </c>
      <c r="K63" s="1"/>
      <c r="L63" s="1">
        <f t="shared" ref="L63:L69" si="42">+D63-H63</f>
        <v>908.9799999999999</v>
      </c>
      <c r="M63" s="1"/>
      <c r="N63" s="5">
        <f t="shared" ref="N63:N69" si="43">IF(H63=0,0,L63/H63)</f>
        <v>2.6357178067097742</v>
      </c>
      <c r="O63" s="13"/>
      <c r="P63" s="1">
        <f>SUM(OSRRefP22_14x_0)</f>
        <v>2656.33</v>
      </c>
      <c r="Q63" s="1"/>
      <c r="R63" s="5">
        <f t="shared" ref="R63:R69" si="44">IF(P$12=0,0,P63/P$12)</f>
        <v>0</v>
      </c>
      <c r="S63" s="1"/>
      <c r="T63" s="1">
        <f>SUM(OSRRefT22_14x_0)</f>
        <v>1976.24</v>
      </c>
      <c r="U63" s="1"/>
      <c r="V63" s="5">
        <f t="shared" ref="V63:V69" si="45">IF(T$12=0,0,T63/T$12)</f>
        <v>0</v>
      </c>
      <c r="W63" s="1"/>
      <c r="X63" s="1">
        <f t="shared" ref="X63:X69" si="46">+P63-T63</f>
        <v>680.08999999999992</v>
      </c>
      <c r="Y63" s="1"/>
      <c r="Z63" s="5">
        <f t="shared" ref="Z63:Z69" si="47">IF(T63=0,0,X63/T63)</f>
        <v>0.34413330364733025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6">
        <v>1253.8499999999999</v>
      </c>
      <c r="E64" s="2"/>
      <c r="F64" s="7">
        <f t="shared" si="40"/>
        <v>0</v>
      </c>
      <c r="G64" s="2"/>
      <c r="H64" s="6">
        <v>344.87</v>
      </c>
      <c r="I64" s="2"/>
      <c r="J64" s="7">
        <f t="shared" si="41"/>
        <v>0</v>
      </c>
      <c r="K64" s="2"/>
      <c r="L64" s="6">
        <f t="shared" si="42"/>
        <v>908.9799999999999</v>
      </c>
      <c r="M64" s="2"/>
      <c r="N64" s="7">
        <f t="shared" si="43"/>
        <v>2.6357178067097742</v>
      </c>
      <c r="O64" s="11"/>
      <c r="P64" s="6">
        <v>2656.33</v>
      </c>
      <c r="Q64" s="2"/>
      <c r="R64" s="7">
        <f t="shared" si="44"/>
        <v>0</v>
      </c>
      <c r="S64" s="2"/>
      <c r="T64" s="6">
        <v>1976.24</v>
      </c>
      <c r="U64" s="2"/>
      <c r="V64" s="7">
        <f t="shared" si="45"/>
        <v>0</v>
      </c>
      <c r="W64" s="2"/>
      <c r="X64" s="6">
        <f t="shared" si="46"/>
        <v>680.08999999999992</v>
      </c>
      <c r="Y64" s="2"/>
      <c r="Z64" s="7">
        <f t="shared" si="47"/>
        <v>0.34413330364733025</v>
      </c>
    </row>
    <row r="65" spans="1:26" s="27" customFormat="1" outlineLevel="1" collapsed="1" x14ac:dyDescent="0.25">
      <c r="A65" s="25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3"/>
      <c r="P65" s="1">
        <f>SUM(OSRRefP22_15x_0)</f>
        <v>3313.92</v>
      </c>
      <c r="Q65" s="1"/>
      <c r="R65" s="5">
        <f t="shared" si="44"/>
        <v>0</v>
      </c>
      <c r="S65" s="1"/>
      <c r="T65" s="1">
        <f>SUM(OSRRefT22_15x_0)</f>
        <v>2225.4699999999998</v>
      </c>
      <c r="U65" s="1"/>
      <c r="V65" s="5">
        <f t="shared" si="45"/>
        <v>0</v>
      </c>
      <c r="W65" s="1"/>
      <c r="X65" s="1">
        <f t="shared" si="46"/>
        <v>1088.4500000000003</v>
      </c>
      <c r="Y65" s="1"/>
      <c r="Z65" s="5">
        <f t="shared" si="47"/>
        <v>0.48908769832889248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>
        <v>3313.92</v>
      </c>
      <c r="Q66" s="2"/>
      <c r="R66" s="7">
        <f t="shared" si="44"/>
        <v>0</v>
      </c>
      <c r="S66" s="2"/>
      <c r="T66" s="6">
        <v>2225.4699999999998</v>
      </c>
      <c r="U66" s="2"/>
      <c r="V66" s="7">
        <f t="shared" si="45"/>
        <v>0</v>
      </c>
      <c r="W66" s="2"/>
      <c r="X66" s="6">
        <f t="shared" si="46"/>
        <v>1088.4500000000003</v>
      </c>
      <c r="Y66" s="2"/>
      <c r="Z66" s="7">
        <f t="shared" si="47"/>
        <v>0.48908769832889248</v>
      </c>
    </row>
    <row r="67" spans="1:26" s="27" customFormat="1" outlineLevel="1" collapsed="1" x14ac:dyDescent="0.25">
      <c r="A67" s="25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SUM(OSRRefD22_16x_0)</f>
        <v>59.95</v>
      </c>
      <c r="E67" s="1"/>
      <c r="F67" s="5">
        <f t="shared" si="40"/>
        <v>0</v>
      </c>
      <c r="G67" s="1"/>
      <c r="H67" s="1">
        <f>SUM(OSRRefH22_16x_0)</f>
        <v>99.52</v>
      </c>
      <c r="I67" s="1"/>
      <c r="J67" s="5">
        <f t="shared" si="41"/>
        <v>0</v>
      </c>
      <c r="K67" s="1"/>
      <c r="L67" s="1">
        <f t="shared" si="42"/>
        <v>-39.569999999999993</v>
      </c>
      <c r="M67" s="1"/>
      <c r="N67" s="5">
        <f t="shared" si="43"/>
        <v>-0.3976085209003215</v>
      </c>
      <c r="O67" s="13"/>
      <c r="P67" s="1">
        <f>SUM(OSRRefP22_16x_0)</f>
        <v>3675.3</v>
      </c>
      <c r="Q67" s="1"/>
      <c r="R67" s="5">
        <f t="shared" si="44"/>
        <v>0</v>
      </c>
      <c r="S67" s="1"/>
      <c r="T67" s="1">
        <f>SUM(OSRRefT22_16x_0)</f>
        <v>7210.4900000000007</v>
      </c>
      <c r="U67" s="1"/>
      <c r="V67" s="5">
        <f t="shared" si="45"/>
        <v>0</v>
      </c>
      <c r="W67" s="1"/>
      <c r="X67" s="1">
        <f t="shared" si="46"/>
        <v>-3535.1900000000005</v>
      </c>
      <c r="Y67" s="1"/>
      <c r="Z67" s="5">
        <f t="shared" si="47"/>
        <v>-0.49028429413257629</v>
      </c>
    </row>
    <row r="68" spans="1:26" s="24" customFormat="1" hidden="1" outlineLevel="2" x14ac:dyDescent="0.25">
      <c r="A68" s="26"/>
      <c r="B68" s="11" t="str">
        <f>CONCATENATE("          ", "6292", " - ", "TRAVEL/CONFERENCE")</f>
        <v xml:space="preserve">          6292 - TRAVEL/CONFERENCE</v>
      </c>
      <c r="C68" s="11"/>
      <c r="D68" s="6">
        <v>59.95</v>
      </c>
      <c r="E68" s="2"/>
      <c r="F68" s="7">
        <f t="shared" si="40"/>
        <v>0</v>
      </c>
      <c r="G68" s="2"/>
      <c r="H68" s="6">
        <v>99.52</v>
      </c>
      <c r="I68" s="2"/>
      <c r="J68" s="7">
        <f t="shared" si="41"/>
        <v>0</v>
      </c>
      <c r="K68" s="2"/>
      <c r="L68" s="6">
        <f t="shared" si="42"/>
        <v>-39.569999999999993</v>
      </c>
      <c r="M68" s="2"/>
      <c r="N68" s="7">
        <f t="shared" si="43"/>
        <v>-0.3976085209003215</v>
      </c>
      <c r="O68" s="11"/>
      <c r="P68" s="6">
        <v>3675.3</v>
      </c>
      <c r="Q68" s="2"/>
      <c r="R68" s="7">
        <f t="shared" si="44"/>
        <v>0</v>
      </c>
      <c r="S68" s="2"/>
      <c r="T68" s="6">
        <v>5836.06</v>
      </c>
      <c r="U68" s="2"/>
      <c r="V68" s="7">
        <f t="shared" si="45"/>
        <v>0</v>
      </c>
      <c r="W68" s="2"/>
      <c r="X68" s="6">
        <f t="shared" si="46"/>
        <v>-2160.7600000000002</v>
      </c>
      <c r="Y68" s="2"/>
      <c r="Z68" s="7">
        <f t="shared" si="47"/>
        <v>-0.37024293787246876</v>
      </c>
    </row>
    <row r="69" spans="1:26" s="24" customFormat="1" hidden="1" outlineLevel="2" x14ac:dyDescent="0.25">
      <c r="A69" s="26"/>
      <c r="B69" s="11" t="str">
        <f>CONCATENATE("          ", "6294", " - ", "TRAVEL OPERATIONAL")</f>
        <v xml:space="preserve">          6294 - TRAVEL OPERATIONAL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/>
      <c r="Q69" s="2"/>
      <c r="R69" s="7">
        <f t="shared" si="44"/>
        <v>0</v>
      </c>
      <c r="S69" s="2"/>
      <c r="T69" s="6">
        <v>1374.43</v>
      </c>
      <c r="U69" s="2"/>
      <c r="V69" s="7">
        <f t="shared" si="45"/>
        <v>0</v>
      </c>
      <c r="W69" s="2"/>
      <c r="X69" s="6">
        <f t="shared" si="46"/>
        <v>-1374.43</v>
      </c>
      <c r="Y69" s="2"/>
      <c r="Z69" s="7">
        <f t="shared" si="47"/>
        <v>-1</v>
      </c>
    </row>
    <row r="70" spans="1:26" s="61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0">
        <f>+D16-D18+D71</f>
        <v>-36311.929999999993</v>
      </c>
      <c r="E73" s="14"/>
      <c r="F73" s="21">
        <f>IF(D$12=0,0,D73/D$12)</f>
        <v>0</v>
      </c>
      <c r="G73" s="14"/>
      <c r="H73" s="20">
        <f>+H16-H18+H71</f>
        <v>-64059.360000000001</v>
      </c>
      <c r="I73" s="14"/>
      <c r="J73" s="21">
        <f>IF(H$12=0,0,H73/H$12)</f>
        <v>0</v>
      </c>
      <c r="K73" s="15"/>
      <c r="L73" s="20">
        <f>+D73-H73</f>
        <v>27747.430000000008</v>
      </c>
      <c r="M73" s="15"/>
      <c r="N73" s="21">
        <f>IF(H73=0,0,L73/H73)</f>
        <v>-0.4331518454133792</v>
      </c>
      <c r="O73" s="28"/>
      <c r="P73" s="20">
        <f>+P16-P18+P71</f>
        <v>-436974.30000000005</v>
      </c>
      <c r="Q73" s="14"/>
      <c r="R73" s="21">
        <f>IF(P$12=0,0,P73/P$12)</f>
        <v>0</v>
      </c>
      <c r="S73" s="14"/>
      <c r="T73" s="20">
        <f>+T16-T18+T71</f>
        <v>-454429.27999999985</v>
      </c>
      <c r="U73" s="14"/>
      <c r="V73" s="21">
        <f>IF(T$12=0,0,T73/T$12)</f>
        <v>0</v>
      </c>
      <c r="W73" s="15"/>
      <c r="X73" s="20">
        <f>+P73-T73</f>
        <v>17454.979999999807</v>
      </c>
      <c r="Y73" s="15"/>
      <c r="Z73" s="21">
        <f>IF(T73=0,0,X73/T73)</f>
        <v>-3.8410773179051783E-2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2">
        <f>+D73-D75</f>
        <v>-36311.929999999993</v>
      </c>
      <c r="E77" s="14"/>
      <c r="F77" s="30">
        <f>IF(D$12=0,0,D77/D$12)</f>
        <v>0</v>
      </c>
      <c r="G77" s="14"/>
      <c r="H77" s="32">
        <f>+H73-H75</f>
        <v>-64059.360000000001</v>
      </c>
      <c r="I77" s="14"/>
      <c r="J77" s="30">
        <f>IF(H$12=0,0,H77/H$12)</f>
        <v>0</v>
      </c>
      <c r="K77" s="15"/>
      <c r="L77" s="32">
        <f>D77-H77</f>
        <v>27747.430000000008</v>
      </c>
      <c r="M77" s="15"/>
      <c r="N77" s="30">
        <f>IF(H77=0,0,L77/H77)</f>
        <v>-0.4331518454133792</v>
      </c>
      <c r="O77" s="28"/>
      <c r="P77" s="32">
        <f>+P73-P75</f>
        <v>-436974.30000000005</v>
      </c>
      <c r="Q77" s="14"/>
      <c r="R77" s="30">
        <f>IF(P$12=0,0,P77/P$12)</f>
        <v>0</v>
      </c>
      <c r="S77" s="14"/>
      <c r="T77" s="32">
        <f>+T73-T75</f>
        <v>-454429.27999999985</v>
      </c>
      <c r="U77" s="14"/>
      <c r="V77" s="30">
        <f>IF(T$12=0,0,T77/T$12)</f>
        <v>0</v>
      </c>
      <c r="W77" s="15"/>
      <c r="X77" s="32">
        <f>P77-T77</f>
        <v>17454.979999999807</v>
      </c>
      <c r="Y77" s="15"/>
      <c r="Z77" s="30">
        <f>IF(T77=0,0,X77/T77)</f>
        <v>-3.8410773179051783E-2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6">
        <f>SUM(D77:D79)</f>
        <v>-36311.929999999993</v>
      </c>
      <c r="E80" s="14"/>
      <c r="F80" s="31">
        <f>IF(D$12=0,0,D80/D$12)</f>
        <v>0</v>
      </c>
      <c r="G80" s="14"/>
      <c r="H80" s="36">
        <f>SUM(H77:H79)</f>
        <v>-64059.360000000001</v>
      </c>
      <c r="I80" s="14"/>
      <c r="J80" s="31">
        <f>IF(H$12=0,0,H80/H$12)</f>
        <v>0</v>
      </c>
      <c r="K80" s="15"/>
      <c r="L80" s="36">
        <f>+D80-H80</f>
        <v>27747.430000000008</v>
      </c>
      <c r="M80" s="15"/>
      <c r="N80" s="31">
        <f>IF(H80=0,0,L80/H80)</f>
        <v>-0.4331518454133792</v>
      </c>
      <c r="O80" s="28"/>
      <c r="P80" s="36">
        <f>SUM(P77:P79)</f>
        <v>-436974.30000000005</v>
      </c>
      <c r="Q80" s="14"/>
      <c r="R80" s="31">
        <f>IF(P$12=0,0,P80/P$12)</f>
        <v>0</v>
      </c>
      <c r="S80" s="14"/>
      <c r="T80" s="36">
        <f>SUM(T77:T79)</f>
        <v>-454429.27999999985</v>
      </c>
      <c r="U80" s="14"/>
      <c r="V80" s="31">
        <f>IF(T$12=0,0,T80/T$12)</f>
        <v>0</v>
      </c>
      <c r="W80" s="15"/>
      <c r="X80" s="36">
        <f>+P80-T80</f>
        <v>17454.979999999807</v>
      </c>
      <c r="Y80" s="15"/>
      <c r="Z80" s="31">
        <f>IF(T80=0,0,X80/T80)</f>
        <v>-3.8410773179051783E-2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2">
        <v>43847.453464039354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6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","202", " - ", "Accounting")</f>
        <v>Department 202 - Accounting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47027.140000000007</v>
      </c>
      <c r="E18" s="22"/>
      <c r="F18" s="33">
        <f t="shared" ref="F18:F27" si="0">IF(D$12=0,0,D18/D$12)</f>
        <v>0</v>
      </c>
      <c r="G18" s="22"/>
      <c r="H18" s="22">
        <f>SUM(OSRRefH22x_0)</f>
        <v>50228.739999999991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-3201.599999999984</v>
      </c>
      <c r="M18" s="4"/>
      <c r="N18" s="33">
        <f t="shared" ref="N18:N27" si="3">IF(H18=0,0,L18/H18)</f>
        <v>-6.3740400416175777E-2</v>
      </c>
      <c r="O18" s="10"/>
      <c r="P18" s="22">
        <f>SUM(OSRRefP22x_0)</f>
        <v>306157.19000000006</v>
      </c>
      <c r="Q18" s="22"/>
      <c r="R18" s="33">
        <f t="shared" ref="R18:R27" si="4">IF(P$12=0,0,P18/P$12)</f>
        <v>0</v>
      </c>
      <c r="S18" s="22"/>
      <c r="T18" s="22">
        <f>SUM(OSRRefT22x_0)</f>
        <v>302857.77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3299.4200000000419</v>
      </c>
      <c r="Y18" s="4"/>
      <c r="Z18" s="33">
        <f t="shared" ref="Z18:Z27" si="7">IF(T18=0,0,X18/T18)</f>
        <v>1.0894288761355014E-2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14317.34</v>
      </c>
      <c r="E19" s="1"/>
      <c r="F19" s="5">
        <f t="shared" si="0"/>
        <v>0</v>
      </c>
      <c r="G19" s="1"/>
      <c r="H19" s="1">
        <f>SUM(OSRRefH22_0x_0)</f>
        <v>14510.8</v>
      </c>
      <c r="I19" s="1"/>
      <c r="J19" s="5">
        <f t="shared" si="1"/>
        <v>0</v>
      </c>
      <c r="K19" s="1"/>
      <c r="L19" s="1">
        <f t="shared" si="2"/>
        <v>-193.45999999999913</v>
      </c>
      <c r="M19" s="1"/>
      <c r="N19" s="5">
        <f t="shared" si="3"/>
        <v>-1.3332138820740354E-2</v>
      </c>
      <c r="O19" s="13"/>
      <c r="P19" s="1">
        <f>SUM(OSRRefP22_0x_0)</f>
        <v>94785.65</v>
      </c>
      <c r="Q19" s="1"/>
      <c r="R19" s="5">
        <f t="shared" si="4"/>
        <v>0</v>
      </c>
      <c r="S19" s="1"/>
      <c r="T19" s="1">
        <f>SUM(OSRRefT22_0x_0)</f>
        <v>97752.99000000002</v>
      </c>
      <c r="U19" s="1"/>
      <c r="V19" s="5">
        <f t="shared" si="5"/>
        <v>0</v>
      </c>
      <c r="W19" s="1"/>
      <c r="X19" s="1">
        <f t="shared" si="6"/>
        <v>-2967.3400000000256</v>
      </c>
      <c r="Y19" s="1"/>
      <c r="Z19" s="5">
        <f t="shared" si="7"/>
        <v>-3.0355490916441789E-2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2058.9299999999998</v>
      </c>
      <c r="E20" s="2"/>
      <c r="F20" s="7">
        <f t="shared" si="0"/>
        <v>0</v>
      </c>
      <c r="G20" s="2"/>
      <c r="H20" s="6">
        <v>1945.84</v>
      </c>
      <c r="I20" s="2"/>
      <c r="J20" s="7">
        <f t="shared" si="1"/>
        <v>0</v>
      </c>
      <c r="K20" s="2"/>
      <c r="L20" s="6">
        <f t="shared" si="2"/>
        <v>113.08999999999992</v>
      </c>
      <c r="M20" s="2"/>
      <c r="N20" s="7">
        <f t="shared" si="3"/>
        <v>5.8118858693417715E-2</v>
      </c>
      <c r="O20" s="11"/>
      <c r="P20" s="6">
        <v>15434.42</v>
      </c>
      <c r="Q20" s="2"/>
      <c r="R20" s="7">
        <f t="shared" si="4"/>
        <v>0</v>
      </c>
      <c r="S20" s="2"/>
      <c r="T20" s="6">
        <v>14763.86</v>
      </c>
      <c r="U20" s="2"/>
      <c r="V20" s="7">
        <f t="shared" si="5"/>
        <v>0</v>
      </c>
      <c r="W20" s="2"/>
      <c r="X20" s="6">
        <f t="shared" si="6"/>
        <v>670.55999999999949</v>
      </c>
      <c r="Y20" s="2"/>
      <c r="Z20" s="7">
        <f t="shared" si="7"/>
        <v>4.5419016436081046E-2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153.54</v>
      </c>
      <c r="E21" s="2"/>
      <c r="F21" s="7">
        <f t="shared" si="0"/>
        <v>0</v>
      </c>
      <c r="G21" s="2"/>
      <c r="H21" s="6">
        <v>130.41999999999999</v>
      </c>
      <c r="I21" s="2"/>
      <c r="J21" s="7">
        <f t="shared" si="1"/>
        <v>0</v>
      </c>
      <c r="K21" s="2"/>
      <c r="L21" s="6">
        <f t="shared" si="2"/>
        <v>23.120000000000005</v>
      </c>
      <c r="M21" s="2"/>
      <c r="N21" s="7">
        <f t="shared" si="3"/>
        <v>0.17727342432142315</v>
      </c>
      <c r="O21" s="11"/>
      <c r="P21" s="6">
        <v>575.54999999999995</v>
      </c>
      <c r="Q21" s="2"/>
      <c r="R21" s="7">
        <f t="shared" si="4"/>
        <v>0</v>
      </c>
      <c r="S21" s="2"/>
      <c r="T21" s="6">
        <v>688.75</v>
      </c>
      <c r="U21" s="2"/>
      <c r="V21" s="7">
        <f t="shared" si="5"/>
        <v>0</v>
      </c>
      <c r="W21" s="2"/>
      <c r="X21" s="6">
        <f t="shared" si="6"/>
        <v>-113.20000000000005</v>
      </c>
      <c r="Y21" s="2"/>
      <c r="Z21" s="7">
        <f t="shared" si="7"/>
        <v>-0.16435571687840297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5942.02</v>
      </c>
      <c r="E22" s="2"/>
      <c r="F22" s="7">
        <f t="shared" si="0"/>
        <v>0</v>
      </c>
      <c r="G22" s="2"/>
      <c r="H22" s="6">
        <v>6954.14</v>
      </c>
      <c r="I22" s="2"/>
      <c r="J22" s="7">
        <f t="shared" si="1"/>
        <v>0</v>
      </c>
      <c r="K22" s="2"/>
      <c r="L22" s="6">
        <f t="shared" si="2"/>
        <v>-1012.1199999999999</v>
      </c>
      <c r="M22" s="2"/>
      <c r="N22" s="7">
        <f t="shared" si="3"/>
        <v>-0.14554207996962959</v>
      </c>
      <c r="O22" s="11"/>
      <c r="P22" s="6">
        <v>35652.120000000003</v>
      </c>
      <c r="Q22" s="2"/>
      <c r="R22" s="7">
        <f t="shared" si="4"/>
        <v>0</v>
      </c>
      <c r="S22" s="2"/>
      <c r="T22" s="6">
        <v>37364.639999999999</v>
      </c>
      <c r="U22" s="2"/>
      <c r="V22" s="7">
        <f t="shared" si="5"/>
        <v>0</v>
      </c>
      <c r="W22" s="2"/>
      <c r="X22" s="6">
        <f t="shared" si="6"/>
        <v>-1712.5199999999968</v>
      </c>
      <c r="Y22" s="2"/>
      <c r="Z22" s="7">
        <f t="shared" si="7"/>
        <v>-4.5832637488277601E-2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117.41</v>
      </c>
      <c r="E23" s="2"/>
      <c r="F23" s="7">
        <f t="shared" si="0"/>
        <v>0</v>
      </c>
      <c r="G23" s="2"/>
      <c r="H23" s="6">
        <v>109.39</v>
      </c>
      <c r="I23" s="2"/>
      <c r="J23" s="7">
        <f t="shared" si="1"/>
        <v>0</v>
      </c>
      <c r="K23" s="2"/>
      <c r="L23" s="6">
        <f t="shared" si="2"/>
        <v>8.019999999999996</v>
      </c>
      <c r="M23" s="2"/>
      <c r="N23" s="7">
        <f t="shared" si="3"/>
        <v>7.3315659566687966E-2</v>
      </c>
      <c r="O23" s="11"/>
      <c r="P23" s="6">
        <v>580.88</v>
      </c>
      <c r="Q23" s="2"/>
      <c r="R23" s="7">
        <f t="shared" si="4"/>
        <v>0</v>
      </c>
      <c r="S23" s="2"/>
      <c r="T23" s="6">
        <v>577.66999999999996</v>
      </c>
      <c r="U23" s="2"/>
      <c r="V23" s="7">
        <f t="shared" si="5"/>
        <v>0</v>
      </c>
      <c r="W23" s="2"/>
      <c r="X23" s="6">
        <f t="shared" si="6"/>
        <v>3.2100000000000364</v>
      </c>
      <c r="Y23" s="2"/>
      <c r="Z23" s="7">
        <f t="shared" si="7"/>
        <v>5.5568057887722001E-3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2196.79</v>
      </c>
      <c r="E24" s="2"/>
      <c r="F24" s="7">
        <f t="shared" si="0"/>
        <v>0</v>
      </c>
      <c r="G24" s="2"/>
      <c r="H24" s="6">
        <v>1978.45</v>
      </c>
      <c r="I24" s="2"/>
      <c r="J24" s="7">
        <f t="shared" si="1"/>
        <v>0</v>
      </c>
      <c r="K24" s="2"/>
      <c r="L24" s="6">
        <f t="shared" si="2"/>
        <v>218.33999999999992</v>
      </c>
      <c r="M24" s="2"/>
      <c r="N24" s="7">
        <f t="shared" si="3"/>
        <v>0.11035911951274983</v>
      </c>
      <c r="O24" s="11"/>
      <c r="P24" s="6">
        <v>14408.53</v>
      </c>
      <c r="Q24" s="2"/>
      <c r="R24" s="7">
        <f t="shared" si="4"/>
        <v>0</v>
      </c>
      <c r="S24" s="2"/>
      <c r="T24" s="6">
        <v>13652.43</v>
      </c>
      <c r="U24" s="2"/>
      <c r="V24" s="7">
        <f t="shared" si="5"/>
        <v>0</v>
      </c>
      <c r="W24" s="2"/>
      <c r="X24" s="6">
        <f t="shared" si="6"/>
        <v>756.10000000000036</v>
      </c>
      <c r="Y24" s="2"/>
      <c r="Z24" s="7">
        <f t="shared" si="7"/>
        <v>5.5382082164127586E-2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1866.76</v>
      </c>
      <c r="E25" s="2"/>
      <c r="F25" s="7">
        <f t="shared" si="0"/>
        <v>0</v>
      </c>
      <c r="G25" s="2"/>
      <c r="H25" s="6">
        <v>1556.64</v>
      </c>
      <c r="I25" s="2"/>
      <c r="J25" s="7">
        <f t="shared" si="1"/>
        <v>0</v>
      </c>
      <c r="K25" s="2"/>
      <c r="L25" s="6">
        <f t="shared" si="2"/>
        <v>310.11999999999989</v>
      </c>
      <c r="M25" s="2"/>
      <c r="N25" s="7">
        <f t="shared" si="3"/>
        <v>0.19922396957549585</v>
      </c>
      <c r="O25" s="11"/>
      <c r="P25" s="6">
        <v>13008.36</v>
      </c>
      <c r="Q25" s="2"/>
      <c r="R25" s="7">
        <f t="shared" si="4"/>
        <v>0</v>
      </c>
      <c r="S25" s="2"/>
      <c r="T25" s="6">
        <v>12741.88</v>
      </c>
      <c r="U25" s="2"/>
      <c r="V25" s="7">
        <f t="shared" si="5"/>
        <v>0</v>
      </c>
      <c r="W25" s="2"/>
      <c r="X25" s="6">
        <f t="shared" si="6"/>
        <v>266.48000000000138</v>
      </c>
      <c r="Y25" s="2"/>
      <c r="Z25" s="7">
        <f t="shared" si="7"/>
        <v>2.0913711320464594E-2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1152.2</v>
      </c>
      <c r="E26" s="2"/>
      <c r="F26" s="7">
        <f t="shared" si="0"/>
        <v>0</v>
      </c>
      <c r="G26" s="2"/>
      <c r="H26" s="6">
        <v>1104.42</v>
      </c>
      <c r="I26" s="2"/>
      <c r="J26" s="7">
        <f t="shared" si="1"/>
        <v>0</v>
      </c>
      <c r="K26" s="2"/>
      <c r="L26" s="6">
        <f t="shared" si="2"/>
        <v>47.779999999999973</v>
      </c>
      <c r="M26" s="2"/>
      <c r="N26" s="7">
        <f t="shared" si="3"/>
        <v>4.3262526937215884E-2</v>
      </c>
      <c r="O26" s="11"/>
      <c r="P26" s="6">
        <v>10272.01</v>
      </c>
      <c r="Q26" s="2"/>
      <c r="R26" s="7">
        <f t="shared" si="4"/>
        <v>0</v>
      </c>
      <c r="S26" s="2"/>
      <c r="T26" s="6">
        <v>13528.83</v>
      </c>
      <c r="U26" s="2"/>
      <c r="V26" s="7">
        <f t="shared" si="5"/>
        <v>0</v>
      </c>
      <c r="W26" s="2"/>
      <c r="X26" s="6">
        <f t="shared" si="6"/>
        <v>-3256.8199999999997</v>
      </c>
      <c r="Y26" s="2"/>
      <c r="Z26" s="7">
        <f t="shared" si="7"/>
        <v>-0.2407318297295479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829.69</v>
      </c>
      <c r="E27" s="2"/>
      <c r="F27" s="7">
        <f t="shared" si="0"/>
        <v>0</v>
      </c>
      <c r="G27" s="2"/>
      <c r="H27" s="6">
        <v>731.5</v>
      </c>
      <c r="I27" s="2"/>
      <c r="J27" s="7">
        <f t="shared" si="1"/>
        <v>0</v>
      </c>
      <c r="K27" s="2"/>
      <c r="L27" s="6">
        <f t="shared" si="2"/>
        <v>98.190000000000055</v>
      </c>
      <c r="M27" s="2"/>
      <c r="N27" s="7">
        <f t="shared" si="3"/>
        <v>0.13423103212576903</v>
      </c>
      <c r="O27" s="11"/>
      <c r="P27" s="6">
        <v>4853.78</v>
      </c>
      <c r="Q27" s="2"/>
      <c r="R27" s="7">
        <f t="shared" si="4"/>
        <v>0</v>
      </c>
      <c r="S27" s="2"/>
      <c r="T27" s="6">
        <v>4434.93</v>
      </c>
      <c r="U27" s="2"/>
      <c r="V27" s="7">
        <f t="shared" si="5"/>
        <v>0</v>
      </c>
      <c r="W27" s="2"/>
      <c r="X27" s="6">
        <f t="shared" si="6"/>
        <v>418.84999999999945</v>
      </c>
      <c r="Y27" s="2"/>
      <c r="Z27" s="7">
        <f t="shared" si="7"/>
        <v>9.4443429772284884E-2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29105.890000000003</v>
      </c>
      <c r="E28" s="1"/>
      <c r="F28" s="5">
        <f t="shared" ref="F28:F32" si="8">IF(D$12=0,0,D28/D$12)</f>
        <v>0</v>
      </c>
      <c r="G28" s="1"/>
      <c r="H28" s="1">
        <f>SUM(OSRRefH22_1x_0)</f>
        <v>27984.59</v>
      </c>
      <c r="I28" s="1"/>
      <c r="J28" s="5">
        <f t="shared" ref="J28:J32" si="9">IF(H$12=0,0,H28/H$12)</f>
        <v>0</v>
      </c>
      <c r="K28" s="1"/>
      <c r="L28" s="1">
        <f t="shared" ref="L28:L32" si="10">+D28-H28</f>
        <v>1121.3000000000029</v>
      </c>
      <c r="M28" s="1"/>
      <c r="N28" s="5">
        <f t="shared" ref="N28:N32" si="11">IF(H28=0,0,L28/H28)</f>
        <v>4.0068480545900544E-2</v>
      </c>
      <c r="O28" s="13"/>
      <c r="P28" s="1">
        <f>SUM(OSRRefP22_1x_0)</f>
        <v>184903.46999999997</v>
      </c>
      <c r="Q28" s="1"/>
      <c r="R28" s="5">
        <f t="shared" ref="R28:R32" si="12">IF(P$12=0,0,P28/P$12)</f>
        <v>0</v>
      </c>
      <c r="S28" s="1"/>
      <c r="T28" s="1">
        <f>SUM(OSRRefT22_1x_0)</f>
        <v>175301.02999999997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9602.4400000000023</v>
      </c>
      <c r="Y28" s="1"/>
      <c r="Z28" s="5">
        <f t="shared" ref="Z28:Z32" si="15">IF(T28=0,0,X28/T28)</f>
        <v>5.4776860124552629E-2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23793.030000000002</v>
      </c>
      <c r="E29" s="2"/>
      <c r="F29" s="7">
        <f t="shared" si="8"/>
        <v>0</v>
      </c>
      <c r="G29" s="2"/>
      <c r="H29" s="6">
        <v>23423.18</v>
      </c>
      <c r="I29" s="2"/>
      <c r="J29" s="7">
        <f t="shared" si="9"/>
        <v>0</v>
      </c>
      <c r="K29" s="2"/>
      <c r="L29" s="6">
        <f t="shared" si="10"/>
        <v>369.85000000000218</v>
      </c>
      <c r="M29" s="2"/>
      <c r="N29" s="7">
        <f t="shared" si="11"/>
        <v>1.5789914093645788E-2</v>
      </c>
      <c r="O29" s="11"/>
      <c r="P29" s="6">
        <v>149437.90999999997</v>
      </c>
      <c r="Q29" s="2"/>
      <c r="R29" s="7">
        <f t="shared" si="12"/>
        <v>0</v>
      </c>
      <c r="S29" s="2"/>
      <c r="T29" s="6">
        <v>140082.56</v>
      </c>
      <c r="U29" s="2"/>
      <c r="V29" s="7">
        <f t="shared" si="13"/>
        <v>0</v>
      </c>
      <c r="W29" s="2"/>
      <c r="X29" s="6">
        <f t="shared" si="14"/>
        <v>9355.3499999999767</v>
      </c>
      <c r="Y29" s="2"/>
      <c r="Z29" s="7">
        <f t="shared" si="15"/>
        <v>6.6784544771311835E-2</v>
      </c>
    </row>
    <row r="30" spans="1:26" s="24" customFormat="1" hidden="1" outlineLevel="2" x14ac:dyDescent="0.25">
      <c r="A30" s="26"/>
      <c r="B30" s="11" t="str">
        <f>CONCATENATE("          ", "6005", " - ", "TEMPORARY WAGES-HOURLY")</f>
        <v xml:space="preserve">          6005 - TEMPORARY WAGES-HOURLY</v>
      </c>
      <c r="C30" s="11"/>
      <c r="D30" s="6">
        <v>1830.23</v>
      </c>
      <c r="E30" s="2"/>
      <c r="F30" s="7">
        <f t="shared" si="8"/>
        <v>0</v>
      </c>
      <c r="G30" s="2"/>
      <c r="H30" s="6">
        <v>1591.35</v>
      </c>
      <c r="I30" s="2"/>
      <c r="J30" s="7">
        <f t="shared" si="9"/>
        <v>0</v>
      </c>
      <c r="K30" s="2"/>
      <c r="L30" s="6">
        <f t="shared" si="10"/>
        <v>238.88000000000011</v>
      </c>
      <c r="M30" s="2"/>
      <c r="N30" s="7">
        <f t="shared" si="11"/>
        <v>0.15011154051591424</v>
      </c>
      <c r="O30" s="11"/>
      <c r="P30" s="6">
        <v>13734.68</v>
      </c>
      <c r="Q30" s="2"/>
      <c r="R30" s="7">
        <f t="shared" si="12"/>
        <v>0</v>
      </c>
      <c r="S30" s="2"/>
      <c r="T30" s="6">
        <v>12550.55</v>
      </c>
      <c r="U30" s="2"/>
      <c r="V30" s="7">
        <f t="shared" si="13"/>
        <v>0</v>
      </c>
      <c r="W30" s="2"/>
      <c r="X30" s="6">
        <f t="shared" si="14"/>
        <v>1184.130000000001</v>
      </c>
      <c r="Y30" s="2"/>
      <c r="Z30" s="7">
        <f t="shared" si="15"/>
        <v>9.4348853237507607E-2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>
        <v>3143.63</v>
      </c>
      <c r="E31" s="2"/>
      <c r="F31" s="7">
        <f t="shared" si="8"/>
        <v>0</v>
      </c>
      <c r="G31" s="2"/>
      <c r="H31" s="6">
        <v>2970.06</v>
      </c>
      <c r="I31" s="2"/>
      <c r="J31" s="7">
        <f t="shared" si="9"/>
        <v>0</v>
      </c>
      <c r="K31" s="2"/>
      <c r="L31" s="6">
        <f t="shared" si="10"/>
        <v>173.57000000000016</v>
      </c>
      <c r="M31" s="2"/>
      <c r="N31" s="7">
        <f t="shared" si="11"/>
        <v>5.8439896837100991E-2</v>
      </c>
      <c r="O31" s="11"/>
      <c r="P31" s="6">
        <v>18886.88</v>
      </c>
      <c r="Q31" s="2"/>
      <c r="R31" s="7">
        <f t="shared" si="12"/>
        <v>0</v>
      </c>
      <c r="S31" s="2"/>
      <c r="T31" s="6">
        <v>22667.919999999998</v>
      </c>
      <c r="U31" s="2"/>
      <c r="V31" s="7">
        <f t="shared" si="13"/>
        <v>0</v>
      </c>
      <c r="W31" s="2"/>
      <c r="X31" s="6">
        <f t="shared" si="14"/>
        <v>-3781.0399999999972</v>
      </c>
      <c r="Y31" s="2"/>
      <c r="Z31" s="7">
        <f t="shared" si="15"/>
        <v>-0.16680136510098842</v>
      </c>
    </row>
    <row r="32" spans="1:26" s="24" customFormat="1" hidden="1" outlineLevel="2" x14ac:dyDescent="0.25">
      <c r="A32" s="26"/>
      <c r="B32" s="11" t="str">
        <f>CONCATENATE("          ", "6008", " - ", "STUDENT HOURLY-FICA EXEMPT")</f>
        <v xml:space="preserve">          6008 - STUDENT HOURLY-FICA EXEMPT</v>
      </c>
      <c r="C32" s="11"/>
      <c r="D32" s="6">
        <v>339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339</v>
      </c>
      <c r="M32" s="2"/>
      <c r="N32" s="7">
        <f t="shared" si="11"/>
        <v>0</v>
      </c>
      <c r="O32" s="11"/>
      <c r="P32" s="6">
        <v>2844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2844</v>
      </c>
      <c r="Y32" s="2"/>
      <c r="Z32" s="7">
        <f t="shared" si="15"/>
        <v>0</v>
      </c>
    </row>
    <row r="33" spans="1:26" s="27" customFormat="1" outlineLevel="1" collapsed="1" x14ac:dyDescent="0.25">
      <c r="A33" s="25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0</v>
      </c>
      <c r="E33" s="1"/>
      <c r="F33" s="5">
        <f t="shared" ref="F33:F52" si="16">IF(D$12=0,0,D33/D$12)</f>
        <v>0</v>
      </c>
      <c r="G33" s="1"/>
      <c r="H33" s="1">
        <f>SUM(OSRRefH22_2x_0)</f>
        <v>0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0</v>
      </c>
      <c r="M33" s="1"/>
      <c r="N33" s="5">
        <f t="shared" ref="N33:N52" si="19">IF(H33=0,0,L33/H33)</f>
        <v>0</v>
      </c>
      <c r="O33" s="13"/>
      <c r="P33" s="1">
        <f>SUM(OSRRefP22_2x_0)</f>
        <v>0</v>
      </c>
      <c r="Q33" s="1"/>
      <c r="R33" s="5">
        <f t="shared" ref="R33:R52" si="20">IF(P$12=0,0,P33/P$12)</f>
        <v>0</v>
      </c>
      <c r="S33" s="1"/>
      <c r="T33" s="1">
        <f>SUM(OSRRefT22_2x_0)</f>
        <v>389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-389</v>
      </c>
      <c r="Y33" s="1"/>
      <c r="Z33" s="5">
        <f t="shared" ref="Z33:Z52" si="23">IF(T33=0,0,X33/T33)</f>
        <v>-1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389</v>
      </c>
      <c r="U34" s="2"/>
      <c r="V34" s="7">
        <f t="shared" si="21"/>
        <v>0</v>
      </c>
      <c r="W34" s="2"/>
      <c r="X34" s="6">
        <f t="shared" si="22"/>
        <v>-389</v>
      </c>
      <c r="Y34" s="2"/>
      <c r="Z34" s="7">
        <f t="shared" si="23"/>
        <v>-1</v>
      </c>
    </row>
    <row r="35" spans="1:26" s="27" customFormat="1" outlineLevel="1" collapsed="1" x14ac:dyDescent="0.25">
      <c r="A35" s="25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1558.88</v>
      </c>
      <c r="E35" s="1"/>
      <c r="F35" s="5">
        <f t="shared" si="16"/>
        <v>0</v>
      </c>
      <c r="G35" s="1"/>
      <c r="H35" s="1">
        <f>SUM(OSRRefH22_3x_0)</f>
        <v>1558.88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9353.2800000000007</v>
      </c>
      <c r="Q35" s="1"/>
      <c r="R35" s="5">
        <f t="shared" si="20"/>
        <v>0</v>
      </c>
      <c r="S35" s="1"/>
      <c r="T35" s="1">
        <f>SUM(OSRRefT22_3x_0)</f>
        <v>9353.2800000000007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1558.88</v>
      </c>
      <c r="E36" s="2"/>
      <c r="F36" s="7">
        <f t="shared" si="16"/>
        <v>0</v>
      </c>
      <c r="G36" s="2"/>
      <c r="H36" s="6">
        <v>1558.88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9353.2800000000007</v>
      </c>
      <c r="Q36" s="2"/>
      <c r="R36" s="7">
        <f t="shared" si="20"/>
        <v>0</v>
      </c>
      <c r="S36" s="2"/>
      <c r="T36" s="6">
        <v>9353.2800000000007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7" customFormat="1" outlineLevel="1" collapsed="1" x14ac:dyDescent="0.25">
      <c r="A37" s="25"/>
      <c r="B37" s="13" t="str">
        <f>CONCATENATE("     ","Employees' Appreciation                           ")</f>
        <v xml:space="preserve">     Employees' Appreciation                           </v>
      </c>
      <c r="C37" s="13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137.68</v>
      </c>
      <c r="I37" s="1"/>
      <c r="J37" s="5">
        <f t="shared" si="17"/>
        <v>0</v>
      </c>
      <c r="K37" s="1"/>
      <c r="L37" s="1">
        <f t="shared" si="18"/>
        <v>-137.68</v>
      </c>
      <c r="M37" s="1"/>
      <c r="N37" s="5">
        <f t="shared" si="19"/>
        <v>-1</v>
      </c>
      <c r="O37" s="13"/>
      <c r="P37" s="1">
        <f>SUM(OSRRefP22_4x_0)</f>
        <v>0</v>
      </c>
      <c r="Q37" s="1"/>
      <c r="R37" s="5">
        <f t="shared" si="20"/>
        <v>0</v>
      </c>
      <c r="S37" s="1"/>
      <c r="T37" s="1">
        <f>SUM(OSRRefT22_4x_0)</f>
        <v>137.68</v>
      </c>
      <c r="U37" s="1"/>
      <c r="V37" s="5">
        <f t="shared" si="21"/>
        <v>0</v>
      </c>
      <c r="W37" s="1"/>
      <c r="X37" s="1">
        <f t="shared" si="22"/>
        <v>-137.68</v>
      </c>
      <c r="Y37" s="1"/>
      <c r="Z37" s="5">
        <f t="shared" si="23"/>
        <v>-1</v>
      </c>
    </row>
    <row r="38" spans="1:26" s="24" customFormat="1" hidden="1" outlineLevel="2" x14ac:dyDescent="0.25">
      <c r="A38" s="26"/>
      <c r="B38" s="11" t="str">
        <f>CONCATENATE("          ", "6277", " - ", "EMPLOYEE APPRECIATION")</f>
        <v xml:space="preserve">          6277 - EMPLOYEE APPRECIATION</v>
      </c>
      <c r="C38" s="11"/>
      <c r="D38" s="6"/>
      <c r="E38" s="2"/>
      <c r="F38" s="7">
        <f t="shared" si="16"/>
        <v>0</v>
      </c>
      <c r="G38" s="2"/>
      <c r="H38" s="6">
        <v>137.68</v>
      </c>
      <c r="I38" s="2"/>
      <c r="J38" s="7">
        <f t="shared" si="17"/>
        <v>0</v>
      </c>
      <c r="K38" s="2"/>
      <c r="L38" s="6">
        <f t="shared" si="18"/>
        <v>-137.68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137.68</v>
      </c>
      <c r="U38" s="2"/>
      <c r="V38" s="7">
        <f t="shared" si="21"/>
        <v>0</v>
      </c>
      <c r="W38" s="2"/>
      <c r="X38" s="6">
        <f t="shared" si="22"/>
        <v>-137.68</v>
      </c>
      <c r="Y38" s="2"/>
      <c r="Z38" s="7">
        <f t="shared" si="23"/>
        <v>-1</v>
      </c>
    </row>
    <row r="39" spans="1:26" s="27" customFormat="1" outlineLevel="1" collapsed="1" x14ac:dyDescent="0.25">
      <c r="A39" s="25"/>
      <c r="B39" s="13" t="str">
        <f>CONCATENATE("     ","Equipment Rental                                  ")</f>
        <v xml:space="preserve">     Equipment Rental       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91.26</v>
      </c>
      <c r="I39" s="1"/>
      <c r="J39" s="5">
        <f t="shared" si="17"/>
        <v>0</v>
      </c>
      <c r="K39" s="1"/>
      <c r="L39" s="1">
        <f t="shared" si="18"/>
        <v>-91.26</v>
      </c>
      <c r="M39" s="1"/>
      <c r="N39" s="5">
        <f t="shared" si="19"/>
        <v>-1</v>
      </c>
      <c r="O39" s="13"/>
      <c r="P39" s="1">
        <f>SUM(OSRRefP22_5x_0)</f>
        <v>547.55999999999995</v>
      </c>
      <c r="Q39" s="1"/>
      <c r="R39" s="5">
        <f t="shared" si="20"/>
        <v>0</v>
      </c>
      <c r="S39" s="1"/>
      <c r="T39" s="1">
        <f>SUM(OSRRefT22_5x_0)</f>
        <v>547.55999999999995</v>
      </c>
      <c r="U39" s="1"/>
      <c r="V39" s="5">
        <f t="shared" si="21"/>
        <v>0</v>
      </c>
      <c r="W39" s="1"/>
      <c r="X39" s="1">
        <f t="shared" si="22"/>
        <v>0</v>
      </c>
      <c r="Y39" s="1"/>
      <c r="Z39" s="5">
        <f t="shared" si="23"/>
        <v>0</v>
      </c>
    </row>
    <row r="40" spans="1:26" s="24" customFormat="1" hidden="1" outlineLevel="2" x14ac:dyDescent="0.25">
      <c r="A40" s="26"/>
      <c r="B40" s="11" t="str">
        <f>CONCATENATE("          ", "6351", " - ", "EQUIPMENT RENTAL")</f>
        <v xml:space="preserve">          6351 - EQUIPMENT RENTAL</v>
      </c>
      <c r="C40" s="11"/>
      <c r="D40" s="6"/>
      <c r="E40" s="2"/>
      <c r="F40" s="7">
        <f t="shared" si="16"/>
        <v>0</v>
      </c>
      <c r="G40" s="2"/>
      <c r="H40" s="6">
        <v>91.26</v>
      </c>
      <c r="I40" s="2"/>
      <c r="J40" s="7">
        <f t="shared" si="17"/>
        <v>0</v>
      </c>
      <c r="K40" s="2"/>
      <c r="L40" s="6">
        <f t="shared" si="18"/>
        <v>-91.26</v>
      </c>
      <c r="M40" s="2"/>
      <c r="N40" s="7">
        <f t="shared" si="19"/>
        <v>-1</v>
      </c>
      <c r="O40" s="11"/>
      <c r="P40" s="6">
        <v>547.55999999999995</v>
      </c>
      <c r="Q40" s="2"/>
      <c r="R40" s="7">
        <f t="shared" si="20"/>
        <v>0</v>
      </c>
      <c r="S40" s="2"/>
      <c r="T40" s="6">
        <v>547.55999999999995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7" customFormat="1" outlineLevel="1" collapsed="1" x14ac:dyDescent="0.25">
      <c r="A41" s="25"/>
      <c r="B41" s="13" t="str">
        <f>CONCATENATE("     ","Freight out/Postage                               ")</f>
        <v xml:space="preserve">     Freight out/Postage                               </v>
      </c>
      <c r="C41" s="13"/>
      <c r="D41" s="1">
        <f>SUM(OSRRefD22_6x_0)</f>
        <v>83.65</v>
      </c>
      <c r="E41" s="1"/>
      <c r="F41" s="5">
        <f t="shared" si="16"/>
        <v>0</v>
      </c>
      <c r="G41" s="1"/>
      <c r="H41" s="1">
        <f>SUM(OSRRefH22_6x_0)</f>
        <v>80.260000000000005</v>
      </c>
      <c r="I41" s="1"/>
      <c r="J41" s="5">
        <f t="shared" si="17"/>
        <v>0</v>
      </c>
      <c r="K41" s="1"/>
      <c r="L41" s="1">
        <f t="shared" si="18"/>
        <v>3.3900000000000006</v>
      </c>
      <c r="M41" s="1"/>
      <c r="N41" s="5">
        <f t="shared" si="19"/>
        <v>4.2237727385995516E-2</v>
      </c>
      <c r="O41" s="13"/>
      <c r="P41" s="1">
        <f>SUM(OSRRefP22_6x_0)</f>
        <v>748.9</v>
      </c>
      <c r="Q41" s="1"/>
      <c r="R41" s="5">
        <f t="shared" si="20"/>
        <v>0</v>
      </c>
      <c r="S41" s="1"/>
      <c r="T41" s="1">
        <f>SUM(OSRRefT22_6x_0)</f>
        <v>702.65</v>
      </c>
      <c r="U41" s="1"/>
      <c r="V41" s="5">
        <f t="shared" si="21"/>
        <v>0</v>
      </c>
      <c r="W41" s="1"/>
      <c r="X41" s="1">
        <f t="shared" si="22"/>
        <v>46.25</v>
      </c>
      <c r="Y41" s="1"/>
      <c r="Z41" s="5">
        <f t="shared" si="23"/>
        <v>6.5822244360634746E-2</v>
      </c>
    </row>
    <row r="42" spans="1:26" s="24" customFormat="1" hidden="1" outlineLevel="2" x14ac:dyDescent="0.25">
      <c r="A42" s="26"/>
      <c r="B42" s="11" t="str">
        <f>CONCATENATE("          ", "6307", " - ", "POSTAGE")</f>
        <v xml:space="preserve">          6307 - POSTAGE</v>
      </c>
      <c r="C42" s="11"/>
      <c r="D42" s="6">
        <v>83.65</v>
      </c>
      <c r="E42" s="2"/>
      <c r="F42" s="7">
        <f t="shared" si="16"/>
        <v>0</v>
      </c>
      <c r="G42" s="2"/>
      <c r="H42" s="6">
        <v>80.260000000000005</v>
      </c>
      <c r="I42" s="2"/>
      <c r="J42" s="7">
        <f t="shared" si="17"/>
        <v>0</v>
      </c>
      <c r="K42" s="2"/>
      <c r="L42" s="6">
        <f t="shared" si="18"/>
        <v>3.3900000000000006</v>
      </c>
      <c r="M42" s="2"/>
      <c r="N42" s="7">
        <f t="shared" si="19"/>
        <v>4.2237727385995516E-2</v>
      </c>
      <c r="O42" s="11"/>
      <c r="P42" s="6">
        <v>748.9</v>
      </c>
      <c r="Q42" s="2"/>
      <c r="R42" s="7">
        <f t="shared" si="20"/>
        <v>0</v>
      </c>
      <c r="S42" s="2"/>
      <c r="T42" s="6">
        <v>702.65</v>
      </c>
      <c r="U42" s="2"/>
      <c r="V42" s="7">
        <f t="shared" si="21"/>
        <v>0</v>
      </c>
      <c r="W42" s="2"/>
      <c r="X42" s="6">
        <f t="shared" si="22"/>
        <v>46.25</v>
      </c>
      <c r="Y42" s="2"/>
      <c r="Z42" s="7">
        <f t="shared" si="23"/>
        <v>6.5822244360634746E-2</v>
      </c>
    </row>
    <row r="43" spans="1:26" s="27" customFormat="1" outlineLevel="1" collapsed="1" x14ac:dyDescent="0.25">
      <c r="A43" s="25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SUM(OSRRefD22_7x_0)</f>
        <v>0</v>
      </c>
      <c r="E43" s="1"/>
      <c r="F43" s="5">
        <f t="shared" si="16"/>
        <v>0</v>
      </c>
      <c r="G43" s="1"/>
      <c r="H43" s="1">
        <f>SUM(OSRRefH22_7x_0)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SUM(OSRRefP22_7x_0)</f>
        <v>0</v>
      </c>
      <c r="Q43" s="1"/>
      <c r="R43" s="5">
        <f t="shared" si="20"/>
        <v>0</v>
      </c>
      <c r="S43" s="1"/>
      <c r="T43" s="1">
        <f>SUM(OSRRefT22_7x_0)</f>
        <v>90.42</v>
      </c>
      <c r="U43" s="1"/>
      <c r="V43" s="5">
        <f t="shared" si="21"/>
        <v>0</v>
      </c>
      <c r="W43" s="1"/>
      <c r="X43" s="1">
        <f t="shared" si="22"/>
        <v>-90.42</v>
      </c>
      <c r="Y43" s="1"/>
      <c r="Z43" s="5">
        <f t="shared" si="23"/>
        <v>-1</v>
      </c>
    </row>
    <row r="44" spans="1:26" s="24" customFormat="1" hidden="1" outlineLevel="2" x14ac:dyDescent="0.25">
      <c r="A44" s="26"/>
      <c r="B44" s="11" t="str">
        <f>CONCATENATE("          ", "6279", " - ", "GENERAL EXPENSE")</f>
        <v xml:space="preserve">          6279 - GENERAL EXPENSE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/>
      <c r="Q44" s="2"/>
      <c r="R44" s="7">
        <f t="shared" si="20"/>
        <v>0</v>
      </c>
      <c r="S44" s="2"/>
      <c r="T44" s="6">
        <v>90.42</v>
      </c>
      <c r="U44" s="2"/>
      <c r="V44" s="7">
        <f t="shared" si="21"/>
        <v>0</v>
      </c>
      <c r="W44" s="2"/>
      <c r="X44" s="6">
        <f t="shared" si="22"/>
        <v>-90.42</v>
      </c>
      <c r="Y44" s="2"/>
      <c r="Z44" s="7">
        <f t="shared" si="23"/>
        <v>-1</v>
      </c>
    </row>
    <row r="45" spans="1:26" s="27" customFormat="1" outlineLevel="1" collapsed="1" x14ac:dyDescent="0.25">
      <c r="A45" s="25"/>
      <c r="B45" s="13" t="str">
        <f>CONCATENATE("     ","Insurance                                         ")</f>
        <v xml:space="preserve">     Insurance                                         </v>
      </c>
      <c r="C45" s="13"/>
      <c r="D45" s="1">
        <f>SUM(OSRRefD22_8x_0)</f>
        <v>132.16999999999999</v>
      </c>
      <c r="E45" s="1"/>
      <c r="F45" s="5">
        <f t="shared" si="16"/>
        <v>0</v>
      </c>
      <c r="G45" s="1"/>
      <c r="H45" s="1">
        <f>SUM(OSRRefH22_8x_0)</f>
        <v>124.52</v>
      </c>
      <c r="I45" s="1"/>
      <c r="J45" s="5">
        <f t="shared" si="17"/>
        <v>0</v>
      </c>
      <c r="K45" s="1"/>
      <c r="L45" s="1">
        <f t="shared" si="18"/>
        <v>7.6499999999999915</v>
      </c>
      <c r="M45" s="1"/>
      <c r="N45" s="5">
        <f t="shared" si="19"/>
        <v>6.1435913909412075E-2</v>
      </c>
      <c r="O45" s="13"/>
      <c r="P45" s="1">
        <f>SUM(OSRRefP22_8x_0)</f>
        <v>793.02</v>
      </c>
      <c r="Q45" s="1"/>
      <c r="R45" s="5">
        <f t="shared" si="20"/>
        <v>0</v>
      </c>
      <c r="S45" s="1"/>
      <c r="T45" s="1">
        <f>SUM(OSRRefT22_8x_0)</f>
        <v>747.12</v>
      </c>
      <c r="U45" s="1"/>
      <c r="V45" s="5">
        <f t="shared" si="21"/>
        <v>0</v>
      </c>
      <c r="W45" s="1"/>
      <c r="X45" s="1">
        <f t="shared" si="22"/>
        <v>45.899999999999977</v>
      </c>
      <c r="Y45" s="1"/>
      <c r="Z45" s="5">
        <f t="shared" si="23"/>
        <v>6.143591390941211E-2</v>
      </c>
    </row>
    <row r="46" spans="1:26" s="24" customFormat="1" hidden="1" outlineLevel="2" x14ac:dyDescent="0.25">
      <c r="A46" s="26"/>
      <c r="B46" s="11" t="str">
        <f>CONCATENATE("          ", "6314", " - ", "LIABILITY INSURANCE")</f>
        <v xml:space="preserve">          6314 - LIABILITY INSURANCE</v>
      </c>
      <c r="C46" s="11"/>
      <c r="D46" s="6">
        <v>132.16999999999999</v>
      </c>
      <c r="E46" s="2"/>
      <c r="F46" s="7">
        <f t="shared" si="16"/>
        <v>0</v>
      </c>
      <c r="G46" s="2"/>
      <c r="H46" s="6">
        <v>124.52</v>
      </c>
      <c r="I46" s="2"/>
      <c r="J46" s="7">
        <f t="shared" si="17"/>
        <v>0</v>
      </c>
      <c r="K46" s="2"/>
      <c r="L46" s="6">
        <f t="shared" si="18"/>
        <v>7.6499999999999915</v>
      </c>
      <c r="M46" s="2"/>
      <c r="N46" s="7">
        <f t="shared" si="19"/>
        <v>6.1435913909412075E-2</v>
      </c>
      <c r="O46" s="11"/>
      <c r="P46" s="6">
        <v>793.02</v>
      </c>
      <c r="Q46" s="2"/>
      <c r="R46" s="7">
        <f t="shared" si="20"/>
        <v>0</v>
      </c>
      <c r="S46" s="2"/>
      <c r="T46" s="6">
        <v>747.12</v>
      </c>
      <c r="U46" s="2"/>
      <c r="V46" s="7">
        <f t="shared" si="21"/>
        <v>0</v>
      </c>
      <c r="W46" s="2"/>
      <c r="X46" s="6">
        <f t="shared" si="22"/>
        <v>45.899999999999977</v>
      </c>
      <c r="Y46" s="2"/>
      <c r="Z46" s="7">
        <f t="shared" si="23"/>
        <v>6.143591390941211E-2</v>
      </c>
    </row>
    <row r="47" spans="1:26" s="27" customFormat="1" outlineLevel="1" collapsed="1" x14ac:dyDescent="0.25">
      <c r="A47" s="25"/>
      <c r="B47" s="13" t="str">
        <f>CONCATENATE("     ","Professional Services                             ")</f>
        <v xml:space="preserve">     Professional Services                             </v>
      </c>
      <c r="C47" s="13"/>
      <c r="D47" s="1">
        <f>SUM(OSRRefD22_9x_0)</f>
        <v>0</v>
      </c>
      <c r="E47" s="1"/>
      <c r="F47" s="5">
        <f t="shared" si="16"/>
        <v>0</v>
      </c>
      <c r="G47" s="1"/>
      <c r="H47" s="1">
        <f>SUM(OSRRefH22_9x_0)</f>
        <v>0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3"/>
      <c r="P47" s="1">
        <f>SUM(OSRRefP22_9x_0)</f>
        <v>82.5</v>
      </c>
      <c r="Q47" s="1"/>
      <c r="R47" s="5">
        <f t="shared" si="20"/>
        <v>0</v>
      </c>
      <c r="S47" s="1"/>
      <c r="T47" s="1">
        <f>SUM(OSRRefT22_9x_0)</f>
        <v>0</v>
      </c>
      <c r="U47" s="1"/>
      <c r="V47" s="5">
        <f t="shared" si="21"/>
        <v>0</v>
      </c>
      <c r="W47" s="1"/>
      <c r="X47" s="1">
        <f t="shared" si="22"/>
        <v>82.5</v>
      </c>
      <c r="Y47" s="1"/>
      <c r="Z47" s="5">
        <f t="shared" si="23"/>
        <v>0</v>
      </c>
    </row>
    <row r="48" spans="1:26" s="24" customFormat="1" hidden="1" outlineLevel="2" x14ac:dyDescent="0.25">
      <c r="A48" s="26"/>
      <c r="B48" s="11" t="str">
        <f>CONCATENATE("          ", "6332", " - ", "CONSULTANT FEES")</f>
        <v xml:space="preserve">          6332 - CONSULTANT FEES</v>
      </c>
      <c r="C48" s="11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>
        <v>82.5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82.5</v>
      </c>
      <c r="Y48" s="2"/>
      <c r="Z48" s="7">
        <f t="shared" si="23"/>
        <v>0</v>
      </c>
    </row>
    <row r="49" spans="1:26" s="27" customFormat="1" outlineLevel="1" collapsed="1" x14ac:dyDescent="0.25">
      <c r="A49" s="25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SUM(OSRRefD22_10x_0)</f>
        <v>392.71</v>
      </c>
      <c r="E49" s="1"/>
      <c r="F49" s="5">
        <f t="shared" si="16"/>
        <v>0</v>
      </c>
      <c r="G49" s="1"/>
      <c r="H49" s="1">
        <f>SUM(OSRRefH22_10x_0)</f>
        <v>4354.29</v>
      </c>
      <c r="I49" s="1"/>
      <c r="J49" s="5">
        <f t="shared" si="17"/>
        <v>0</v>
      </c>
      <c r="K49" s="1"/>
      <c r="L49" s="1">
        <f t="shared" si="18"/>
        <v>-3961.58</v>
      </c>
      <c r="M49" s="1"/>
      <c r="N49" s="5">
        <f t="shared" si="19"/>
        <v>-0.90981078430697082</v>
      </c>
      <c r="O49" s="13"/>
      <c r="P49" s="1">
        <f>SUM(OSRRefP22_10x_0)</f>
        <v>964.19</v>
      </c>
      <c r="Q49" s="1"/>
      <c r="R49" s="5">
        <f t="shared" si="20"/>
        <v>0</v>
      </c>
      <c r="S49" s="1"/>
      <c r="T49" s="1">
        <f>SUM(OSRRefT22_10x_0)</f>
        <v>4543.74</v>
      </c>
      <c r="U49" s="1"/>
      <c r="V49" s="5">
        <f t="shared" si="21"/>
        <v>0</v>
      </c>
      <c r="W49" s="1"/>
      <c r="X49" s="1">
        <f t="shared" si="22"/>
        <v>-3579.5499999999997</v>
      </c>
      <c r="Y49" s="1"/>
      <c r="Z49" s="5">
        <f t="shared" si="23"/>
        <v>-0.78779815746499582</v>
      </c>
    </row>
    <row r="50" spans="1:26" s="24" customFormat="1" hidden="1" outlineLevel="2" x14ac:dyDescent="0.25">
      <c r="A50" s="26"/>
      <c r="B50" s="11" t="str">
        <f>CONCATENATE("          ", "6371", " - ", "COMPUTER SOFTWARE MAINTENANCE")</f>
        <v xml:space="preserve">          6371 - COMPUTER SOFTWARE MAINTENANCE</v>
      </c>
      <c r="C50" s="11"/>
      <c r="D50" s="6">
        <v>375</v>
      </c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375</v>
      </c>
      <c r="M50" s="2"/>
      <c r="N50" s="7">
        <f t="shared" si="19"/>
        <v>0</v>
      </c>
      <c r="O50" s="11"/>
      <c r="P50" s="6">
        <v>375</v>
      </c>
      <c r="Q50" s="2"/>
      <c r="R50" s="7">
        <f t="shared" si="20"/>
        <v>0</v>
      </c>
      <c r="S50" s="2"/>
      <c r="T50" s="6">
        <v>75</v>
      </c>
      <c r="U50" s="2"/>
      <c r="V50" s="7">
        <f t="shared" si="21"/>
        <v>0</v>
      </c>
      <c r="W50" s="2"/>
      <c r="X50" s="6">
        <f t="shared" si="22"/>
        <v>300</v>
      </c>
      <c r="Y50" s="2"/>
      <c r="Z50" s="7">
        <f t="shared" si="23"/>
        <v>4</v>
      </c>
    </row>
    <row r="51" spans="1:26" s="24" customFormat="1" hidden="1" outlineLevel="2" x14ac:dyDescent="0.25">
      <c r="A51" s="26"/>
      <c r="B51" s="11" t="str">
        <f>CONCATENATE("          ", "6373", " - ", "MAINTENANCE CONTRACTS")</f>
        <v xml:space="preserve">          6373 - MAINTENANCE CONTRACTS</v>
      </c>
      <c r="C51" s="11"/>
      <c r="D51" s="6">
        <v>17.71</v>
      </c>
      <c r="E51" s="2"/>
      <c r="F51" s="7">
        <f t="shared" si="16"/>
        <v>0</v>
      </c>
      <c r="G51" s="2"/>
      <c r="H51" s="6">
        <v>4354.29</v>
      </c>
      <c r="I51" s="2"/>
      <c r="J51" s="7">
        <f t="shared" si="17"/>
        <v>0</v>
      </c>
      <c r="K51" s="2"/>
      <c r="L51" s="6">
        <f t="shared" si="18"/>
        <v>-4336.58</v>
      </c>
      <c r="M51" s="2"/>
      <c r="N51" s="7">
        <f t="shared" si="19"/>
        <v>-0.99593274678535415</v>
      </c>
      <c r="O51" s="11"/>
      <c r="P51" s="6">
        <v>124.61</v>
      </c>
      <c r="Q51" s="2"/>
      <c r="R51" s="7">
        <f t="shared" si="20"/>
        <v>0</v>
      </c>
      <c r="S51" s="2"/>
      <c r="T51" s="6">
        <v>4468.74</v>
      </c>
      <c r="U51" s="2"/>
      <c r="V51" s="7">
        <f t="shared" si="21"/>
        <v>0</v>
      </c>
      <c r="W51" s="2"/>
      <c r="X51" s="6">
        <f t="shared" si="22"/>
        <v>-4344.13</v>
      </c>
      <c r="Y51" s="2"/>
      <c r="Z51" s="7">
        <f t="shared" si="23"/>
        <v>-0.97211518235565286</v>
      </c>
    </row>
    <row r="52" spans="1:26" s="24" customFormat="1" hidden="1" outlineLevel="2" x14ac:dyDescent="0.25">
      <c r="A52" s="26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464.58</v>
      </c>
      <c r="Q52" s="2"/>
      <c r="R52" s="7">
        <f t="shared" si="20"/>
        <v>0</v>
      </c>
      <c r="S52" s="2"/>
      <c r="T52" s="6"/>
      <c r="U52" s="2"/>
      <c r="V52" s="7">
        <f t="shared" si="21"/>
        <v>0</v>
      </c>
      <c r="W52" s="2"/>
      <c r="X52" s="6">
        <f t="shared" si="22"/>
        <v>464.58</v>
      </c>
      <c r="Y52" s="2"/>
      <c r="Z52" s="7">
        <f t="shared" si="23"/>
        <v>0</v>
      </c>
    </row>
    <row r="53" spans="1:26" s="27" customFormat="1" outlineLevel="1" collapsed="1" x14ac:dyDescent="0.25">
      <c r="A53" s="25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SUM(OSRRefD22_11x_0)</f>
        <v>504.37</v>
      </c>
      <c r="E53" s="1"/>
      <c r="F53" s="5">
        <f t="shared" ref="F53:F60" si="24">IF(D$12=0,0,D53/D$12)</f>
        <v>0</v>
      </c>
      <c r="G53" s="1"/>
      <c r="H53" s="1">
        <f>SUM(OSRRefH22_11x_0)</f>
        <v>689.61</v>
      </c>
      <c r="I53" s="1"/>
      <c r="J53" s="5">
        <f t="shared" ref="J53:J60" si="25">IF(H$12=0,0,H53/H$12)</f>
        <v>0</v>
      </c>
      <c r="K53" s="1"/>
      <c r="L53" s="1">
        <f t="shared" ref="L53:L60" si="26">+D53-H53</f>
        <v>-185.24</v>
      </c>
      <c r="M53" s="1"/>
      <c r="N53" s="5">
        <f t="shared" ref="N53:N60" si="27">IF(H53=0,0,L53/H53)</f>
        <v>-0.26861559432142806</v>
      </c>
      <c r="O53" s="13"/>
      <c r="P53" s="1">
        <f>SUM(OSRRefP22_11x_0)</f>
        <v>8099.4</v>
      </c>
      <c r="Q53" s="1"/>
      <c r="R53" s="5">
        <f t="shared" ref="R53:R60" si="28">IF(P$12=0,0,P53/P$12)</f>
        <v>0</v>
      </c>
      <c r="S53" s="1"/>
      <c r="T53" s="1">
        <f>SUM(OSRRefT22_11x_0)</f>
        <v>3396.72</v>
      </c>
      <c r="U53" s="1"/>
      <c r="V53" s="5">
        <f t="shared" ref="V53:V60" si="29">IF(T$12=0,0,T53/T$12)</f>
        <v>0</v>
      </c>
      <c r="W53" s="1"/>
      <c r="X53" s="1">
        <f t="shared" ref="X53:X60" si="30">+P53-T53</f>
        <v>4702.68</v>
      </c>
      <c r="Y53" s="1"/>
      <c r="Z53" s="5">
        <f t="shared" ref="Z53:Z60" si="31">IF(T53=0,0,X53/T53)</f>
        <v>1.3844767893732779</v>
      </c>
    </row>
    <row r="54" spans="1:26" s="24" customFormat="1" hidden="1" outlineLevel="2" x14ac:dyDescent="0.25">
      <c r="A54" s="26"/>
      <c r="B54" s="11" t="str">
        <f>CONCATENATE("          ", "6281", " - ", "STORAGE FEE")</f>
        <v xml:space="preserve">          6281 - STORAGE FEE</v>
      </c>
      <c r="C54" s="11"/>
      <c r="D54" s="6">
        <v>504.37</v>
      </c>
      <c r="E54" s="2"/>
      <c r="F54" s="7">
        <f t="shared" si="24"/>
        <v>0</v>
      </c>
      <c r="G54" s="2"/>
      <c r="H54" s="6">
        <v>689.61</v>
      </c>
      <c r="I54" s="2"/>
      <c r="J54" s="7">
        <f t="shared" si="25"/>
        <v>0</v>
      </c>
      <c r="K54" s="2"/>
      <c r="L54" s="6">
        <f t="shared" si="26"/>
        <v>-185.24</v>
      </c>
      <c r="M54" s="2"/>
      <c r="N54" s="7">
        <f t="shared" si="27"/>
        <v>-0.26861559432142806</v>
      </c>
      <c r="O54" s="11"/>
      <c r="P54" s="6">
        <v>8099.4</v>
      </c>
      <c r="Q54" s="2"/>
      <c r="R54" s="7">
        <f t="shared" si="28"/>
        <v>0</v>
      </c>
      <c r="S54" s="2"/>
      <c r="T54" s="6">
        <v>3396.72</v>
      </c>
      <c r="U54" s="2"/>
      <c r="V54" s="7">
        <f t="shared" si="29"/>
        <v>0</v>
      </c>
      <c r="W54" s="2"/>
      <c r="X54" s="6">
        <f t="shared" si="30"/>
        <v>4702.68</v>
      </c>
      <c r="Y54" s="2"/>
      <c r="Z54" s="7">
        <f t="shared" si="31"/>
        <v>1.3844767893732779</v>
      </c>
    </row>
    <row r="55" spans="1:26" s="27" customFormat="1" outlineLevel="1" collapsed="1" x14ac:dyDescent="0.25">
      <c r="A55" s="25"/>
      <c r="B55" s="13" t="str">
        <f>CONCATENATE("     ","Subscriptions &amp; Dues                              ")</f>
        <v xml:space="preserve">     Subscriptions &amp; Dues                              </v>
      </c>
      <c r="C55" s="13"/>
      <c r="D55" s="1">
        <f>SUM(OSRRefD22_12x_0)</f>
        <v>0</v>
      </c>
      <c r="E55" s="1"/>
      <c r="F55" s="5">
        <f t="shared" si="24"/>
        <v>0</v>
      </c>
      <c r="G55" s="1"/>
      <c r="H55" s="1">
        <f>SUM(OSRRefH22_12x_0)</f>
        <v>0</v>
      </c>
      <c r="I55" s="1"/>
      <c r="J55" s="5">
        <f t="shared" si="25"/>
        <v>0</v>
      </c>
      <c r="K55" s="1"/>
      <c r="L55" s="1">
        <f t="shared" si="26"/>
        <v>0</v>
      </c>
      <c r="M55" s="1"/>
      <c r="N55" s="5">
        <f t="shared" si="27"/>
        <v>0</v>
      </c>
      <c r="O55" s="13"/>
      <c r="P55" s="1">
        <f>SUM(OSRRefP22_12x_0)</f>
        <v>39</v>
      </c>
      <c r="Q55" s="1"/>
      <c r="R55" s="5">
        <f t="shared" si="28"/>
        <v>0</v>
      </c>
      <c r="S55" s="1"/>
      <c r="T55" s="1">
        <f>SUM(OSRRefT22_12x_0)</f>
        <v>0</v>
      </c>
      <c r="U55" s="1"/>
      <c r="V55" s="5">
        <f t="shared" si="29"/>
        <v>0</v>
      </c>
      <c r="W55" s="1"/>
      <c r="X55" s="1">
        <f t="shared" si="30"/>
        <v>39</v>
      </c>
      <c r="Y55" s="1"/>
      <c r="Z55" s="5">
        <f t="shared" si="31"/>
        <v>0</v>
      </c>
    </row>
    <row r="56" spans="1:26" s="24" customFormat="1" hidden="1" outlineLevel="2" x14ac:dyDescent="0.25">
      <c r="A56" s="26"/>
      <c r="B56" s="11" t="str">
        <f>CONCATENATE("          ", "6258", " - ", "MEMBERSHIP DUES")</f>
        <v xml:space="preserve">          6258 - MEMBERSHIP DUES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>
        <v>39</v>
      </c>
      <c r="Q56" s="2"/>
      <c r="R56" s="7">
        <f t="shared" si="28"/>
        <v>0</v>
      </c>
      <c r="S56" s="2"/>
      <c r="T56" s="6"/>
      <c r="U56" s="2"/>
      <c r="V56" s="7">
        <f t="shared" si="29"/>
        <v>0</v>
      </c>
      <c r="W56" s="2"/>
      <c r="X56" s="6">
        <f t="shared" si="30"/>
        <v>39</v>
      </c>
      <c r="Y56" s="2"/>
      <c r="Z56" s="7">
        <f t="shared" si="31"/>
        <v>0</v>
      </c>
    </row>
    <row r="57" spans="1:26" s="27" customFormat="1" outlineLevel="1" collapsed="1" x14ac:dyDescent="0.25">
      <c r="A57" s="25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SUM(OSRRefD22_13x_0)</f>
        <v>177.3</v>
      </c>
      <c r="E57" s="1"/>
      <c r="F57" s="5">
        <f t="shared" si="24"/>
        <v>0</v>
      </c>
      <c r="G57" s="1"/>
      <c r="H57" s="1">
        <f>SUM(OSRRefH22_13x_0)</f>
        <v>327.7</v>
      </c>
      <c r="I57" s="1"/>
      <c r="J57" s="5">
        <f t="shared" si="25"/>
        <v>0</v>
      </c>
      <c r="K57" s="1"/>
      <c r="L57" s="1">
        <f t="shared" si="26"/>
        <v>-150.39999999999998</v>
      </c>
      <c r="M57" s="1"/>
      <c r="N57" s="5">
        <f t="shared" si="27"/>
        <v>-0.45895636252670119</v>
      </c>
      <c r="O57" s="13"/>
      <c r="P57" s="1">
        <f>SUM(OSRRefP22_13x_0)</f>
        <v>3062.25</v>
      </c>
      <c r="Q57" s="1"/>
      <c r="R57" s="5">
        <f t="shared" si="28"/>
        <v>0</v>
      </c>
      <c r="S57" s="1"/>
      <c r="T57" s="1">
        <f>SUM(OSRRefT22_13x_0)</f>
        <v>3703.6800000000003</v>
      </c>
      <c r="U57" s="1"/>
      <c r="V57" s="5">
        <f t="shared" si="29"/>
        <v>0</v>
      </c>
      <c r="W57" s="1"/>
      <c r="X57" s="1">
        <f t="shared" si="30"/>
        <v>-641.43000000000029</v>
      </c>
      <c r="Y57" s="1"/>
      <c r="Z57" s="5">
        <f t="shared" si="31"/>
        <v>-0.17318720839813381</v>
      </c>
    </row>
    <row r="58" spans="1:26" s="24" customFormat="1" hidden="1" outlineLevel="2" x14ac:dyDescent="0.25">
      <c r="A58" s="26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0</v>
      </c>
      <c r="M58" s="2"/>
      <c r="N58" s="7">
        <f t="shared" si="27"/>
        <v>0</v>
      </c>
      <c r="O58" s="11"/>
      <c r="P58" s="6"/>
      <c r="Q58" s="2"/>
      <c r="R58" s="7">
        <f t="shared" si="28"/>
        <v>0</v>
      </c>
      <c r="S58" s="2"/>
      <c r="T58" s="6">
        <v>2355.94</v>
      </c>
      <c r="U58" s="2"/>
      <c r="V58" s="7">
        <f t="shared" si="29"/>
        <v>0</v>
      </c>
      <c r="W58" s="2"/>
      <c r="X58" s="6">
        <f t="shared" si="30"/>
        <v>-2355.94</v>
      </c>
      <c r="Y58" s="2"/>
      <c r="Z58" s="7">
        <f t="shared" si="31"/>
        <v>-1</v>
      </c>
    </row>
    <row r="59" spans="1:26" s="24" customFormat="1" hidden="1" outlineLevel="2" x14ac:dyDescent="0.25">
      <c r="A59" s="26"/>
      <c r="B59" s="11" t="str">
        <f>CONCATENATE("          ", "6241", " - ", "OFFICE EXPENSE")</f>
        <v xml:space="preserve">          6241 - OFFICE EXPENSE</v>
      </c>
      <c r="C59" s="11"/>
      <c r="D59" s="6">
        <v>177.3</v>
      </c>
      <c r="E59" s="2"/>
      <c r="F59" s="7">
        <f t="shared" si="24"/>
        <v>0</v>
      </c>
      <c r="G59" s="2"/>
      <c r="H59" s="6">
        <v>327.7</v>
      </c>
      <c r="I59" s="2"/>
      <c r="J59" s="7">
        <f t="shared" si="25"/>
        <v>0</v>
      </c>
      <c r="K59" s="2"/>
      <c r="L59" s="6">
        <f t="shared" si="26"/>
        <v>-150.39999999999998</v>
      </c>
      <c r="M59" s="2"/>
      <c r="N59" s="7">
        <f t="shared" si="27"/>
        <v>-0.45895636252670119</v>
      </c>
      <c r="O59" s="11"/>
      <c r="P59" s="6">
        <v>2399.34</v>
      </c>
      <c r="Q59" s="2"/>
      <c r="R59" s="7">
        <f t="shared" si="28"/>
        <v>0</v>
      </c>
      <c r="S59" s="2"/>
      <c r="T59" s="6">
        <v>1347.74</v>
      </c>
      <c r="U59" s="2"/>
      <c r="V59" s="7">
        <f t="shared" si="29"/>
        <v>0</v>
      </c>
      <c r="W59" s="2"/>
      <c r="X59" s="6">
        <f t="shared" si="30"/>
        <v>1051.6000000000001</v>
      </c>
      <c r="Y59" s="2"/>
      <c r="Z59" s="7">
        <f t="shared" si="31"/>
        <v>0.78026919138706285</v>
      </c>
    </row>
    <row r="60" spans="1:26" s="24" customFormat="1" hidden="1" outlineLevel="2" x14ac:dyDescent="0.25">
      <c r="A60" s="26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662.91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662.91</v>
      </c>
      <c r="Y60" s="2"/>
      <c r="Z60" s="7">
        <f t="shared" si="31"/>
        <v>0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SUM(OSRRefD22_14x_0)</f>
        <v>443.83</v>
      </c>
      <c r="E61" s="1"/>
      <c r="F61" s="5">
        <f t="shared" ref="F61:F64" si="32">IF(D$12=0,0,D61/D$12)</f>
        <v>0</v>
      </c>
      <c r="G61" s="1"/>
      <c r="H61" s="1">
        <f>SUM(OSRRefH22_14x_0)</f>
        <v>369.15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74.680000000000007</v>
      </c>
      <c r="M61" s="1"/>
      <c r="N61" s="5">
        <f t="shared" ref="N61:N64" si="35">IF(H61=0,0,L61/H61)</f>
        <v>0.20230258702424492</v>
      </c>
      <c r="O61" s="13"/>
      <c r="P61" s="1">
        <f>SUM(OSRRefP22_14x_0)</f>
        <v>2439.44</v>
      </c>
      <c r="Q61" s="1"/>
      <c r="R61" s="5">
        <f t="shared" ref="R61:R64" si="36">IF(P$12=0,0,P61/P$12)</f>
        <v>0</v>
      </c>
      <c r="S61" s="1"/>
      <c r="T61" s="1">
        <f>SUM(OSRRefT22_14x_0)</f>
        <v>2219.65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219.78999999999996</v>
      </c>
      <c r="Y61" s="1"/>
      <c r="Z61" s="5">
        <f t="shared" ref="Z61:Z64" si="39">IF(T61=0,0,X61/T61)</f>
        <v>9.902011578401998E-2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443.83</v>
      </c>
      <c r="E62" s="2"/>
      <c r="F62" s="7">
        <f t="shared" si="32"/>
        <v>0</v>
      </c>
      <c r="G62" s="2"/>
      <c r="H62" s="6">
        <v>369.15</v>
      </c>
      <c r="I62" s="2"/>
      <c r="J62" s="7">
        <f t="shared" si="33"/>
        <v>0</v>
      </c>
      <c r="K62" s="2"/>
      <c r="L62" s="6">
        <f t="shared" si="34"/>
        <v>74.680000000000007</v>
      </c>
      <c r="M62" s="2"/>
      <c r="N62" s="7">
        <f t="shared" si="35"/>
        <v>0.20230258702424492</v>
      </c>
      <c r="O62" s="11"/>
      <c r="P62" s="6">
        <v>2439.44</v>
      </c>
      <c r="Q62" s="2"/>
      <c r="R62" s="7">
        <f t="shared" si="36"/>
        <v>0</v>
      </c>
      <c r="S62" s="2"/>
      <c r="T62" s="6">
        <v>2219.65</v>
      </c>
      <c r="U62" s="2"/>
      <c r="V62" s="7">
        <f t="shared" si="37"/>
        <v>0</v>
      </c>
      <c r="W62" s="2"/>
      <c r="X62" s="6">
        <f t="shared" si="38"/>
        <v>219.78999999999996</v>
      </c>
      <c r="Y62" s="2"/>
      <c r="Z62" s="7">
        <f t="shared" si="39"/>
        <v>9.902011578401998E-2</v>
      </c>
    </row>
    <row r="63" spans="1:26" s="27" customFormat="1" outlineLevel="1" collapsed="1" x14ac:dyDescent="0.25">
      <c r="A63" s="25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SUM(OSRRefD22_15x_0)</f>
        <v>311</v>
      </c>
      <c r="E63" s="1"/>
      <c r="F63" s="5">
        <f t="shared" si="32"/>
        <v>0</v>
      </c>
      <c r="G63" s="1"/>
      <c r="H63" s="1">
        <f>SUM(OSRRefH22_15x_0)</f>
        <v>0</v>
      </c>
      <c r="I63" s="1"/>
      <c r="J63" s="5">
        <f t="shared" si="33"/>
        <v>0</v>
      </c>
      <c r="K63" s="1"/>
      <c r="L63" s="1">
        <f t="shared" si="34"/>
        <v>311</v>
      </c>
      <c r="M63" s="1"/>
      <c r="N63" s="5">
        <f t="shared" si="35"/>
        <v>0</v>
      </c>
      <c r="O63" s="13"/>
      <c r="P63" s="1">
        <f>SUM(OSRRefP22_15x_0)</f>
        <v>338.53</v>
      </c>
      <c r="Q63" s="1"/>
      <c r="R63" s="5">
        <f t="shared" si="36"/>
        <v>0</v>
      </c>
      <c r="S63" s="1"/>
      <c r="T63" s="1">
        <f>SUM(OSRRefT22_15x_0)</f>
        <v>3972.25</v>
      </c>
      <c r="U63" s="1"/>
      <c r="V63" s="5">
        <f t="shared" si="37"/>
        <v>0</v>
      </c>
      <c r="W63" s="1"/>
      <c r="X63" s="1">
        <f t="shared" si="38"/>
        <v>-3633.7200000000003</v>
      </c>
      <c r="Y63" s="1"/>
      <c r="Z63" s="5">
        <f t="shared" si="39"/>
        <v>-0.914776260305872</v>
      </c>
    </row>
    <row r="64" spans="1:26" s="24" customFormat="1" hidden="1" outlineLevel="2" x14ac:dyDescent="0.25">
      <c r="A64" s="26"/>
      <c r="B64" s="11" t="str">
        <f>CONCATENATE("          ", "6376", " - ", "TRAINING")</f>
        <v xml:space="preserve">          6376 - TRAINING</v>
      </c>
      <c r="C64" s="11"/>
      <c r="D64" s="6">
        <v>311</v>
      </c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311</v>
      </c>
      <c r="M64" s="2"/>
      <c r="N64" s="7">
        <f t="shared" si="35"/>
        <v>0</v>
      </c>
      <c r="O64" s="11"/>
      <c r="P64" s="6">
        <v>338.53</v>
      </c>
      <c r="Q64" s="2"/>
      <c r="R64" s="7">
        <f t="shared" si="36"/>
        <v>0</v>
      </c>
      <c r="S64" s="2"/>
      <c r="T64" s="6">
        <v>3972.25</v>
      </c>
      <c r="U64" s="2"/>
      <c r="V64" s="7">
        <f t="shared" si="37"/>
        <v>0</v>
      </c>
      <c r="W64" s="2"/>
      <c r="X64" s="6">
        <f t="shared" si="38"/>
        <v>-3633.7200000000003</v>
      </c>
      <c r="Y64" s="2"/>
      <c r="Z64" s="7">
        <f t="shared" si="39"/>
        <v>-0.914776260305872</v>
      </c>
    </row>
    <row r="65" spans="1:26" s="61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8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9" t="s">
        <v>3</v>
      </c>
      <c r="C68" s="29"/>
      <c r="D68" s="20">
        <f>+D16-D18+D66</f>
        <v>-47027.140000000007</v>
      </c>
      <c r="E68" s="14"/>
      <c r="F68" s="21">
        <f>IF(D$12=0,0,D68/D$12)</f>
        <v>0</v>
      </c>
      <c r="G68" s="14"/>
      <c r="H68" s="20">
        <f>+H16-H18+H66</f>
        <v>-50228.739999999991</v>
      </c>
      <c r="I68" s="14"/>
      <c r="J68" s="21">
        <f>IF(H$12=0,0,H68/H$12)</f>
        <v>0</v>
      </c>
      <c r="K68" s="15"/>
      <c r="L68" s="20">
        <f>+D68-H68</f>
        <v>3201.599999999984</v>
      </c>
      <c r="M68" s="15"/>
      <c r="N68" s="21">
        <f>IF(H68=0,0,L68/H68)</f>
        <v>-6.3740400416175777E-2</v>
      </c>
      <c r="O68" s="28"/>
      <c r="P68" s="20">
        <f>+P16-P18+P66</f>
        <v>-306157.19000000006</v>
      </c>
      <c r="Q68" s="14"/>
      <c r="R68" s="21">
        <f>IF(P$12=0,0,P68/P$12)</f>
        <v>0</v>
      </c>
      <c r="S68" s="14"/>
      <c r="T68" s="20">
        <f>+T16-T18+T66</f>
        <v>-302857.77</v>
      </c>
      <c r="U68" s="14"/>
      <c r="V68" s="21">
        <f>IF(T$12=0,0,T68/T$12)</f>
        <v>0</v>
      </c>
      <c r="W68" s="15"/>
      <c r="X68" s="20">
        <f>+P68-T68</f>
        <v>-3299.4200000000419</v>
      </c>
      <c r="Y68" s="15"/>
      <c r="Z68" s="21">
        <f>IF(T68=0,0,X68/T68)</f>
        <v>1.0894288761355014E-2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/>
      <c r="E70" s="4"/>
      <c r="F70" s="12">
        <f>IF(D$12=0,0,D70/D$12)</f>
        <v>0</v>
      </c>
      <c r="G70" s="4"/>
      <c r="H70" s="4"/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/>
      <c r="Q70" s="4"/>
      <c r="R70" s="12">
        <f>IF(P$12=0,0,P70/P$12)</f>
        <v>0</v>
      </c>
      <c r="S70" s="4"/>
      <c r="T70" s="4"/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4</v>
      </c>
      <c r="C72" s="29"/>
      <c r="D72" s="32">
        <f>+D68-D70</f>
        <v>-47027.140000000007</v>
      </c>
      <c r="E72" s="14"/>
      <c r="F72" s="30">
        <f>IF(D$12=0,0,D72/D$12)</f>
        <v>0</v>
      </c>
      <c r="G72" s="14"/>
      <c r="H72" s="32">
        <f>+H68-H70</f>
        <v>-50228.739999999991</v>
      </c>
      <c r="I72" s="14"/>
      <c r="J72" s="30">
        <f>IF(H$12=0,0,H72/H$12)</f>
        <v>0</v>
      </c>
      <c r="K72" s="15"/>
      <c r="L72" s="32">
        <f>D72-H72</f>
        <v>3201.599999999984</v>
      </c>
      <c r="M72" s="15"/>
      <c r="N72" s="30">
        <f>IF(H72=0,0,L72/H72)</f>
        <v>-6.3740400416175777E-2</v>
      </c>
      <c r="O72" s="28"/>
      <c r="P72" s="32">
        <f>+P68-P70</f>
        <v>-306157.19000000006</v>
      </c>
      <c r="Q72" s="14"/>
      <c r="R72" s="30">
        <f>IF(P$12=0,0,P72/P$12)</f>
        <v>0</v>
      </c>
      <c r="S72" s="14"/>
      <c r="T72" s="32">
        <f>+T68-T70</f>
        <v>-302857.77</v>
      </c>
      <c r="U72" s="14"/>
      <c r="V72" s="30">
        <f>IF(T$12=0,0,T72/T$12)</f>
        <v>0</v>
      </c>
      <c r="W72" s="15"/>
      <c r="X72" s="32">
        <f>P72-T72</f>
        <v>-3299.4200000000419</v>
      </c>
      <c r="Y72" s="15"/>
      <c r="Z72" s="30">
        <f>IF(T72=0,0,X72/T72)</f>
        <v>1.0894288761355014E-2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5</v>
      </c>
      <c r="C75" s="29"/>
      <c r="D75" s="36">
        <f>SUM(D72:D74)</f>
        <v>-47027.140000000007</v>
      </c>
      <c r="E75" s="14"/>
      <c r="F75" s="31">
        <f>IF(D$12=0,0,D75/D$12)</f>
        <v>0</v>
      </c>
      <c r="G75" s="14"/>
      <c r="H75" s="36">
        <f>SUM(H72:H74)</f>
        <v>-50228.739999999991</v>
      </c>
      <c r="I75" s="14"/>
      <c r="J75" s="31">
        <f>IF(H$12=0,0,H75/H$12)</f>
        <v>0</v>
      </c>
      <c r="K75" s="15"/>
      <c r="L75" s="36">
        <f>+D75-H75</f>
        <v>3201.599999999984</v>
      </c>
      <c r="M75" s="15"/>
      <c r="N75" s="31">
        <f>IF(H75=0,0,L75/H75)</f>
        <v>-6.3740400416175777E-2</v>
      </c>
      <c r="O75" s="28"/>
      <c r="P75" s="36">
        <f>SUM(P72:P74)</f>
        <v>-306157.19000000006</v>
      </c>
      <c r="Q75" s="14"/>
      <c r="R75" s="31">
        <f>IF(P$12=0,0,P75/P$12)</f>
        <v>0</v>
      </c>
      <c r="S75" s="14"/>
      <c r="T75" s="36">
        <f>SUM(T72:T74)</f>
        <v>-302857.77</v>
      </c>
      <c r="U75" s="14"/>
      <c r="V75" s="31">
        <f>IF(T$12=0,0,T75/T$12)</f>
        <v>0</v>
      </c>
      <c r="W75" s="15"/>
      <c r="X75" s="36">
        <f>+P75-T75</f>
        <v>-3299.4200000000419</v>
      </c>
      <c r="Y75" s="15"/>
      <c r="Z75" s="31">
        <f>IF(T75=0,0,X75/T75)</f>
        <v>1.0894288761355014E-2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A77" s="9"/>
      <c r="B77" s="62">
        <v>43847.453479629628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56" t="s">
        <v>313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4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","203", " - ", "Human Resources")</f>
        <v>Department 203 - Human Resources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62517.429999999993</v>
      </c>
      <c r="E18" s="22"/>
      <c r="F18" s="33">
        <f t="shared" ref="F18:F29" si="0">IF(D$12=0,0,D18/D$12)</f>
        <v>0</v>
      </c>
      <c r="G18" s="22"/>
      <c r="H18" s="22">
        <f>SUM(OSRRefH22x_0)</f>
        <v>59572.359999999993</v>
      </c>
      <c r="I18" s="22"/>
      <c r="J18" s="33">
        <f t="shared" ref="J18:J29" si="1">IF(H$12=0,0,H18/H$12)</f>
        <v>0</v>
      </c>
      <c r="K18" s="4"/>
      <c r="L18" s="22">
        <f t="shared" ref="L18:L29" si="2">+D18-H18</f>
        <v>2945.0699999999997</v>
      </c>
      <c r="M18" s="4"/>
      <c r="N18" s="33">
        <f t="shared" ref="N18:N29" si="3">IF(H18=0,0,L18/H18)</f>
        <v>4.9436852929781533E-2</v>
      </c>
      <c r="O18" s="10"/>
      <c r="P18" s="22">
        <f>SUM(OSRRefP22x_0)</f>
        <v>402598.70999999996</v>
      </c>
      <c r="Q18" s="22"/>
      <c r="R18" s="33">
        <f t="shared" ref="R18:R29" si="4">IF(P$12=0,0,P18/P$12)</f>
        <v>0</v>
      </c>
      <c r="S18" s="22"/>
      <c r="T18" s="22">
        <f>SUM(OSRRefT22x_0)</f>
        <v>344205.17</v>
      </c>
      <c r="U18" s="22"/>
      <c r="V18" s="33">
        <f t="shared" ref="V18:V29" si="5">IF(T$12=0,0,T18/T$12)</f>
        <v>0</v>
      </c>
      <c r="W18" s="4"/>
      <c r="X18" s="22">
        <f t="shared" ref="X18:X29" si="6">+P18-T18</f>
        <v>58393.539999999979</v>
      </c>
      <c r="Y18" s="4"/>
      <c r="Z18" s="33">
        <f t="shared" ref="Z18:Z29" si="7">IF(T18=0,0,X18/T18)</f>
        <v>0.16964748089053974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11647.369999999999</v>
      </c>
      <c r="E19" s="1"/>
      <c r="F19" s="5">
        <f t="shared" si="0"/>
        <v>0</v>
      </c>
      <c r="G19" s="1"/>
      <c r="H19" s="1">
        <f>SUM(OSRRefH22_0x_0)</f>
        <v>11040.1</v>
      </c>
      <c r="I19" s="1"/>
      <c r="J19" s="5">
        <f t="shared" si="1"/>
        <v>0</v>
      </c>
      <c r="K19" s="1"/>
      <c r="L19" s="1">
        <f t="shared" si="2"/>
        <v>607.26999999999862</v>
      </c>
      <c r="M19" s="1"/>
      <c r="N19" s="5">
        <f t="shared" si="3"/>
        <v>5.5005842338384486E-2</v>
      </c>
      <c r="O19" s="13"/>
      <c r="P19" s="1">
        <f>SUM(OSRRefP22_0x_0)</f>
        <v>81364.08</v>
      </c>
      <c r="Q19" s="1"/>
      <c r="R19" s="5">
        <f t="shared" si="4"/>
        <v>0</v>
      </c>
      <c r="S19" s="1"/>
      <c r="T19" s="1">
        <f>SUM(OSRRefT22_0x_0)</f>
        <v>66593.039999999994</v>
      </c>
      <c r="U19" s="1"/>
      <c r="V19" s="5">
        <f t="shared" si="5"/>
        <v>0</v>
      </c>
      <c r="W19" s="1"/>
      <c r="X19" s="1">
        <f t="shared" si="6"/>
        <v>14771.040000000008</v>
      </c>
      <c r="Y19" s="1"/>
      <c r="Z19" s="5">
        <f t="shared" si="7"/>
        <v>0.22181056759084747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1797.27</v>
      </c>
      <c r="E20" s="2"/>
      <c r="F20" s="7">
        <f t="shared" si="0"/>
        <v>0</v>
      </c>
      <c r="G20" s="2"/>
      <c r="H20" s="6">
        <v>1429.82</v>
      </c>
      <c r="I20" s="2"/>
      <c r="J20" s="7">
        <f t="shared" si="1"/>
        <v>0</v>
      </c>
      <c r="K20" s="2"/>
      <c r="L20" s="6">
        <f t="shared" si="2"/>
        <v>367.45000000000005</v>
      </c>
      <c r="M20" s="2"/>
      <c r="N20" s="7">
        <f t="shared" si="3"/>
        <v>0.25699039039879151</v>
      </c>
      <c r="O20" s="11"/>
      <c r="P20" s="6">
        <v>12581.17</v>
      </c>
      <c r="Q20" s="2"/>
      <c r="R20" s="7">
        <f t="shared" si="4"/>
        <v>0</v>
      </c>
      <c r="S20" s="2"/>
      <c r="T20" s="6">
        <v>11077.33</v>
      </c>
      <c r="U20" s="2"/>
      <c r="V20" s="7">
        <f t="shared" si="5"/>
        <v>0</v>
      </c>
      <c r="W20" s="2"/>
      <c r="X20" s="6">
        <f t="shared" si="6"/>
        <v>1503.8400000000001</v>
      </c>
      <c r="Y20" s="2"/>
      <c r="Z20" s="7">
        <f t="shared" si="7"/>
        <v>0.13575834609964677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116.47</v>
      </c>
      <c r="E21" s="2"/>
      <c r="F21" s="7">
        <f t="shared" si="0"/>
        <v>0</v>
      </c>
      <c r="G21" s="2"/>
      <c r="H21" s="6">
        <v>90.97</v>
      </c>
      <c r="I21" s="2"/>
      <c r="J21" s="7">
        <f t="shared" si="1"/>
        <v>0</v>
      </c>
      <c r="K21" s="2"/>
      <c r="L21" s="6">
        <f t="shared" si="2"/>
        <v>25.5</v>
      </c>
      <c r="M21" s="2"/>
      <c r="N21" s="7">
        <f t="shared" si="3"/>
        <v>0.28031219083214248</v>
      </c>
      <c r="O21" s="11"/>
      <c r="P21" s="6">
        <v>427.64</v>
      </c>
      <c r="Q21" s="2"/>
      <c r="R21" s="7">
        <f t="shared" si="4"/>
        <v>0</v>
      </c>
      <c r="S21" s="2"/>
      <c r="T21" s="6">
        <v>491.85</v>
      </c>
      <c r="U21" s="2"/>
      <c r="V21" s="7">
        <f t="shared" si="5"/>
        <v>0</v>
      </c>
      <c r="W21" s="2"/>
      <c r="X21" s="6">
        <f t="shared" si="6"/>
        <v>-64.210000000000036</v>
      </c>
      <c r="Y21" s="2"/>
      <c r="Z21" s="7">
        <f t="shared" si="7"/>
        <v>-0.13054793127986181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5861.62</v>
      </c>
      <c r="E22" s="2"/>
      <c r="F22" s="7">
        <f t="shared" si="0"/>
        <v>0</v>
      </c>
      <c r="G22" s="2"/>
      <c r="H22" s="6">
        <v>6225.19</v>
      </c>
      <c r="I22" s="2"/>
      <c r="J22" s="7">
        <f t="shared" si="1"/>
        <v>0</v>
      </c>
      <c r="K22" s="2"/>
      <c r="L22" s="6">
        <f t="shared" si="2"/>
        <v>-363.56999999999971</v>
      </c>
      <c r="M22" s="2"/>
      <c r="N22" s="7">
        <f t="shared" si="3"/>
        <v>-5.8403036694462292E-2</v>
      </c>
      <c r="O22" s="11"/>
      <c r="P22" s="6">
        <v>35170.519999999997</v>
      </c>
      <c r="Q22" s="2"/>
      <c r="R22" s="7">
        <f t="shared" si="4"/>
        <v>0</v>
      </c>
      <c r="S22" s="2"/>
      <c r="T22" s="6">
        <v>32733.599999999999</v>
      </c>
      <c r="U22" s="2"/>
      <c r="V22" s="7">
        <f t="shared" si="5"/>
        <v>0</v>
      </c>
      <c r="W22" s="2"/>
      <c r="X22" s="6">
        <f t="shared" si="6"/>
        <v>2436.9199999999983</v>
      </c>
      <c r="Y22" s="2"/>
      <c r="Z22" s="7">
        <f t="shared" si="7"/>
        <v>7.4447051347850471E-2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89.06</v>
      </c>
      <c r="E23" s="2"/>
      <c r="F23" s="7">
        <f t="shared" si="0"/>
        <v>0</v>
      </c>
      <c r="G23" s="2"/>
      <c r="H23" s="6">
        <v>76.3</v>
      </c>
      <c r="I23" s="2"/>
      <c r="J23" s="7">
        <f t="shared" si="1"/>
        <v>0</v>
      </c>
      <c r="K23" s="2"/>
      <c r="L23" s="6">
        <f t="shared" si="2"/>
        <v>12.760000000000005</v>
      </c>
      <c r="M23" s="2"/>
      <c r="N23" s="7">
        <f t="shared" si="3"/>
        <v>0.16723460026212328</v>
      </c>
      <c r="O23" s="11"/>
      <c r="P23" s="6">
        <v>425.71</v>
      </c>
      <c r="Q23" s="2"/>
      <c r="R23" s="7">
        <f t="shared" si="4"/>
        <v>0</v>
      </c>
      <c r="S23" s="2"/>
      <c r="T23" s="6">
        <v>412.52</v>
      </c>
      <c r="U23" s="2"/>
      <c r="V23" s="7">
        <f t="shared" si="5"/>
        <v>0</v>
      </c>
      <c r="W23" s="2"/>
      <c r="X23" s="6">
        <f t="shared" si="6"/>
        <v>13.189999999999998</v>
      </c>
      <c r="Y23" s="2"/>
      <c r="Z23" s="7">
        <f t="shared" si="7"/>
        <v>3.1974207311160664E-2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919.4</v>
      </c>
      <c r="E24" s="2"/>
      <c r="F24" s="7">
        <f t="shared" si="0"/>
        <v>0</v>
      </c>
      <c r="G24" s="2"/>
      <c r="H24" s="6">
        <v>727.17</v>
      </c>
      <c r="I24" s="2"/>
      <c r="J24" s="7">
        <f t="shared" si="1"/>
        <v>0</v>
      </c>
      <c r="K24" s="2"/>
      <c r="L24" s="6">
        <f t="shared" si="2"/>
        <v>192.23000000000002</v>
      </c>
      <c r="M24" s="2"/>
      <c r="N24" s="7">
        <f t="shared" si="3"/>
        <v>0.26435358994457969</v>
      </c>
      <c r="O24" s="11"/>
      <c r="P24" s="6">
        <v>7040.29</v>
      </c>
      <c r="Q24" s="2"/>
      <c r="R24" s="7">
        <f t="shared" si="4"/>
        <v>0</v>
      </c>
      <c r="S24" s="2"/>
      <c r="T24" s="6">
        <v>6134</v>
      </c>
      <c r="U24" s="2"/>
      <c r="V24" s="7">
        <f t="shared" si="5"/>
        <v>0</v>
      </c>
      <c r="W24" s="2"/>
      <c r="X24" s="6">
        <f t="shared" si="6"/>
        <v>906.29</v>
      </c>
      <c r="Y24" s="2"/>
      <c r="Z24" s="7">
        <f t="shared" si="7"/>
        <v>0.1477486142810564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1971.94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1971.94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454.67</v>
      </c>
      <c r="E26" s="2"/>
      <c r="F26" s="7">
        <f t="shared" si="0"/>
        <v>0</v>
      </c>
      <c r="G26" s="2"/>
      <c r="H26" s="6">
        <v>356.24</v>
      </c>
      <c r="I26" s="2"/>
      <c r="J26" s="7">
        <f t="shared" si="1"/>
        <v>0</v>
      </c>
      <c r="K26" s="2"/>
      <c r="L26" s="6">
        <f t="shared" si="2"/>
        <v>98.43</v>
      </c>
      <c r="M26" s="2"/>
      <c r="N26" s="7">
        <f t="shared" si="3"/>
        <v>0.27630249270154955</v>
      </c>
      <c r="O26" s="11"/>
      <c r="P26" s="6">
        <v>2768.04</v>
      </c>
      <c r="Q26" s="2"/>
      <c r="R26" s="7">
        <f t="shared" si="4"/>
        <v>0</v>
      </c>
      <c r="S26" s="2"/>
      <c r="T26" s="6">
        <v>1561.07</v>
      </c>
      <c r="U26" s="2"/>
      <c r="V26" s="7">
        <f t="shared" si="5"/>
        <v>0</v>
      </c>
      <c r="W26" s="2"/>
      <c r="X26" s="6">
        <f t="shared" si="6"/>
        <v>1206.97</v>
      </c>
      <c r="Y26" s="2"/>
      <c r="Z26" s="7">
        <f t="shared" si="7"/>
        <v>0.77316840372308737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1201.82</v>
      </c>
      <c r="E27" s="2"/>
      <c r="F27" s="7">
        <f t="shared" si="0"/>
        <v>0</v>
      </c>
      <c r="G27" s="2"/>
      <c r="H27" s="6">
        <v>1036.28</v>
      </c>
      <c r="I27" s="2"/>
      <c r="J27" s="7">
        <f t="shared" si="1"/>
        <v>0</v>
      </c>
      <c r="K27" s="2"/>
      <c r="L27" s="6">
        <f t="shared" si="2"/>
        <v>165.53999999999996</v>
      </c>
      <c r="M27" s="2"/>
      <c r="N27" s="7">
        <f t="shared" si="3"/>
        <v>0.15974447060639979</v>
      </c>
      <c r="O27" s="11"/>
      <c r="P27" s="6">
        <v>11287.69</v>
      </c>
      <c r="Q27" s="2"/>
      <c r="R27" s="7">
        <f t="shared" si="4"/>
        <v>0</v>
      </c>
      <c r="S27" s="2"/>
      <c r="T27" s="6">
        <v>7108.37</v>
      </c>
      <c r="U27" s="2"/>
      <c r="V27" s="7">
        <f t="shared" si="5"/>
        <v>0</v>
      </c>
      <c r="W27" s="2"/>
      <c r="X27" s="6">
        <f t="shared" si="6"/>
        <v>4179.3200000000006</v>
      </c>
      <c r="Y27" s="2"/>
      <c r="Z27" s="7">
        <f t="shared" si="7"/>
        <v>0.58794350884942692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859.24</v>
      </c>
      <c r="E28" s="2"/>
      <c r="F28" s="7">
        <f t="shared" si="0"/>
        <v>0</v>
      </c>
      <c r="G28" s="2"/>
      <c r="H28" s="6">
        <v>742.68</v>
      </c>
      <c r="I28" s="2"/>
      <c r="J28" s="7">
        <f t="shared" si="1"/>
        <v>0</v>
      </c>
      <c r="K28" s="2"/>
      <c r="L28" s="6">
        <f t="shared" si="2"/>
        <v>116.56000000000006</v>
      </c>
      <c r="M28" s="2"/>
      <c r="N28" s="7">
        <f t="shared" si="3"/>
        <v>0.15694511768190886</v>
      </c>
      <c r="O28" s="11"/>
      <c r="P28" s="6">
        <v>7410.33</v>
      </c>
      <c r="Q28" s="2"/>
      <c r="R28" s="7">
        <f t="shared" si="4"/>
        <v>0</v>
      </c>
      <c r="S28" s="2"/>
      <c r="T28" s="6">
        <v>4905.2700000000004</v>
      </c>
      <c r="U28" s="2"/>
      <c r="V28" s="7">
        <f t="shared" si="5"/>
        <v>0</v>
      </c>
      <c r="W28" s="2"/>
      <c r="X28" s="6">
        <f t="shared" si="6"/>
        <v>2505.0599999999995</v>
      </c>
      <c r="Y28" s="2"/>
      <c r="Z28" s="7">
        <f t="shared" si="7"/>
        <v>0.51068748509256356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347.82</v>
      </c>
      <c r="E29" s="2"/>
      <c r="F29" s="7">
        <f t="shared" si="0"/>
        <v>0</v>
      </c>
      <c r="G29" s="2"/>
      <c r="H29" s="6">
        <v>355.45</v>
      </c>
      <c r="I29" s="2"/>
      <c r="J29" s="7">
        <f t="shared" si="1"/>
        <v>0</v>
      </c>
      <c r="K29" s="2"/>
      <c r="L29" s="6">
        <f t="shared" si="2"/>
        <v>-7.6299999999999955</v>
      </c>
      <c r="M29" s="2"/>
      <c r="N29" s="7">
        <f t="shared" si="3"/>
        <v>-2.1465747643831752E-2</v>
      </c>
      <c r="O29" s="11"/>
      <c r="P29" s="6">
        <v>2280.75</v>
      </c>
      <c r="Q29" s="2"/>
      <c r="R29" s="7">
        <f t="shared" si="4"/>
        <v>0</v>
      </c>
      <c r="S29" s="2"/>
      <c r="T29" s="6">
        <v>2169.0300000000002</v>
      </c>
      <c r="U29" s="2"/>
      <c r="V29" s="7">
        <f t="shared" si="5"/>
        <v>0</v>
      </c>
      <c r="W29" s="2"/>
      <c r="X29" s="6">
        <f t="shared" si="6"/>
        <v>111.7199999999998</v>
      </c>
      <c r="Y29" s="2"/>
      <c r="Z29" s="7">
        <f t="shared" si="7"/>
        <v>5.1506894787070621E-2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22167.93</v>
      </c>
      <c r="E30" s="1"/>
      <c r="F30" s="5">
        <f t="shared" ref="F30:F34" si="8">IF(D$12=0,0,D30/D$12)</f>
        <v>0</v>
      </c>
      <c r="G30" s="1"/>
      <c r="H30" s="1">
        <f>SUM(OSRRefH22_1x_0)</f>
        <v>18588.07</v>
      </c>
      <c r="I30" s="1"/>
      <c r="J30" s="5">
        <f t="shared" ref="J30:J34" si="9">IF(H$12=0,0,H30/H$12)</f>
        <v>0</v>
      </c>
      <c r="K30" s="1"/>
      <c r="L30" s="1">
        <f t="shared" ref="L30:L34" si="10">+D30-H30</f>
        <v>3579.8600000000006</v>
      </c>
      <c r="M30" s="1"/>
      <c r="N30" s="5">
        <f t="shared" ref="N30:N34" si="11">IF(H30=0,0,L30/H30)</f>
        <v>0.19258911764373604</v>
      </c>
      <c r="O30" s="13"/>
      <c r="P30" s="1">
        <f>SUM(OSRRefP22_1x_0)</f>
        <v>140503.00999999998</v>
      </c>
      <c r="Q30" s="1"/>
      <c r="R30" s="5">
        <f t="shared" ref="R30:R34" si="12">IF(P$12=0,0,P30/P$12)</f>
        <v>0</v>
      </c>
      <c r="S30" s="1"/>
      <c r="T30" s="1">
        <f>SUM(OSRRefT22_1x_0)</f>
        <v>130183.74000000002</v>
      </c>
      <c r="U30" s="1"/>
      <c r="V30" s="5">
        <f t="shared" ref="V30:V34" si="13">IF(T$12=0,0,T30/T$12)</f>
        <v>0</v>
      </c>
      <c r="W30" s="1"/>
      <c r="X30" s="1">
        <f t="shared" ref="X30:X34" si="14">+P30-T30</f>
        <v>10319.26999999996</v>
      </c>
      <c r="Y30" s="1"/>
      <c r="Z30" s="5">
        <f t="shared" ref="Z30:Z34" si="15">IF(T30=0,0,X30/T30)</f>
        <v>7.9266965290749516E-2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8545.4</v>
      </c>
      <c r="E31" s="2"/>
      <c r="F31" s="7">
        <f t="shared" si="8"/>
        <v>0</v>
      </c>
      <c r="G31" s="2"/>
      <c r="H31" s="6">
        <v>7342.04</v>
      </c>
      <c r="I31" s="2"/>
      <c r="J31" s="7">
        <f t="shared" si="9"/>
        <v>0</v>
      </c>
      <c r="K31" s="2"/>
      <c r="L31" s="6">
        <f t="shared" si="10"/>
        <v>1203.3599999999997</v>
      </c>
      <c r="M31" s="2"/>
      <c r="N31" s="7">
        <f t="shared" si="11"/>
        <v>0.16389995151211376</v>
      </c>
      <c r="O31" s="11"/>
      <c r="P31" s="6">
        <v>52171.92</v>
      </c>
      <c r="Q31" s="2"/>
      <c r="R31" s="7">
        <f t="shared" si="12"/>
        <v>0</v>
      </c>
      <c r="S31" s="2"/>
      <c r="T31" s="6">
        <v>47530.03</v>
      </c>
      <c r="U31" s="2"/>
      <c r="V31" s="7">
        <f t="shared" si="13"/>
        <v>0</v>
      </c>
      <c r="W31" s="2"/>
      <c r="X31" s="6">
        <f t="shared" si="14"/>
        <v>4641.8899999999994</v>
      </c>
      <c r="Y31" s="2"/>
      <c r="Z31" s="7">
        <f t="shared" si="15"/>
        <v>9.7662256893168375E-2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>
        <v>9128.1299999999992</v>
      </c>
      <c r="E32" s="2"/>
      <c r="F32" s="7">
        <f t="shared" si="8"/>
        <v>0</v>
      </c>
      <c r="G32" s="2"/>
      <c r="H32" s="6">
        <v>8097.04</v>
      </c>
      <c r="I32" s="2"/>
      <c r="J32" s="7">
        <f t="shared" si="9"/>
        <v>0</v>
      </c>
      <c r="K32" s="2"/>
      <c r="L32" s="6">
        <f t="shared" si="10"/>
        <v>1031.0899999999992</v>
      </c>
      <c r="M32" s="2"/>
      <c r="N32" s="7">
        <f t="shared" si="11"/>
        <v>0.12734159643524043</v>
      </c>
      <c r="O32" s="11"/>
      <c r="P32" s="6">
        <v>57999.409999999996</v>
      </c>
      <c r="Q32" s="2"/>
      <c r="R32" s="7">
        <f t="shared" si="12"/>
        <v>0</v>
      </c>
      <c r="S32" s="2"/>
      <c r="T32" s="6">
        <v>52057.79</v>
      </c>
      <c r="U32" s="2"/>
      <c r="V32" s="7">
        <f t="shared" si="13"/>
        <v>0</v>
      </c>
      <c r="W32" s="2"/>
      <c r="X32" s="6">
        <f t="shared" si="14"/>
        <v>5941.6199999999953</v>
      </c>
      <c r="Y32" s="2"/>
      <c r="Z32" s="7">
        <f t="shared" si="15"/>
        <v>0.11413507949530695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>
        <v>4494.3999999999996</v>
      </c>
      <c r="E33" s="2"/>
      <c r="F33" s="7">
        <f t="shared" si="8"/>
        <v>0</v>
      </c>
      <c r="G33" s="2"/>
      <c r="H33" s="6">
        <v>2506.37</v>
      </c>
      <c r="I33" s="2"/>
      <c r="J33" s="7">
        <f t="shared" si="9"/>
        <v>0</v>
      </c>
      <c r="K33" s="2"/>
      <c r="L33" s="6">
        <f t="shared" si="10"/>
        <v>1988.0299999999997</v>
      </c>
      <c r="M33" s="2"/>
      <c r="N33" s="7">
        <f t="shared" si="11"/>
        <v>0.79319094946077384</v>
      </c>
      <c r="O33" s="11"/>
      <c r="P33" s="6">
        <v>30331.68</v>
      </c>
      <c r="Q33" s="2"/>
      <c r="R33" s="7">
        <f t="shared" si="12"/>
        <v>0</v>
      </c>
      <c r="S33" s="2"/>
      <c r="T33" s="6">
        <v>21520.230000000003</v>
      </c>
      <c r="U33" s="2"/>
      <c r="V33" s="7">
        <f t="shared" si="13"/>
        <v>0</v>
      </c>
      <c r="W33" s="2"/>
      <c r="X33" s="6">
        <f t="shared" si="14"/>
        <v>8811.4499999999971</v>
      </c>
      <c r="Y33" s="2"/>
      <c r="Z33" s="7">
        <f t="shared" si="15"/>
        <v>0.40944962019457953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>
        <v>642.62</v>
      </c>
      <c r="I34" s="2"/>
      <c r="J34" s="7">
        <f t="shared" si="9"/>
        <v>0</v>
      </c>
      <c r="K34" s="2"/>
      <c r="L34" s="6">
        <f t="shared" si="10"/>
        <v>-642.62</v>
      </c>
      <c r="M34" s="2"/>
      <c r="N34" s="7">
        <f t="shared" si="11"/>
        <v>-1</v>
      </c>
      <c r="O34" s="11"/>
      <c r="P34" s="6">
        <v>0</v>
      </c>
      <c r="Q34" s="2"/>
      <c r="R34" s="7">
        <f t="shared" si="12"/>
        <v>0</v>
      </c>
      <c r="S34" s="2"/>
      <c r="T34" s="6">
        <v>9075.69</v>
      </c>
      <c r="U34" s="2"/>
      <c r="V34" s="7">
        <f t="shared" si="13"/>
        <v>0</v>
      </c>
      <c r="W34" s="2"/>
      <c r="X34" s="6">
        <f t="shared" si="14"/>
        <v>-9075.69</v>
      </c>
      <c r="Y34" s="2"/>
      <c r="Z34" s="7">
        <f t="shared" si="15"/>
        <v>-1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52.5</v>
      </c>
      <c r="E35" s="1"/>
      <c r="F35" s="5">
        <f t="shared" ref="F35:F52" si="16">IF(D$12=0,0,D35/D$12)</f>
        <v>0</v>
      </c>
      <c r="G35" s="1"/>
      <c r="H35" s="1">
        <f>SUM(OSRRefH22_2x_0)</f>
        <v>40</v>
      </c>
      <c r="I35" s="1"/>
      <c r="J35" s="5">
        <f t="shared" ref="J35:J52" si="17">IF(H$12=0,0,H35/H$12)</f>
        <v>0</v>
      </c>
      <c r="K35" s="1"/>
      <c r="L35" s="1">
        <f t="shared" ref="L35:L52" si="18">+D35-H35</f>
        <v>12.5</v>
      </c>
      <c r="M35" s="1"/>
      <c r="N35" s="5">
        <f t="shared" ref="N35:N52" si="19">IF(H35=0,0,L35/H35)</f>
        <v>0.3125</v>
      </c>
      <c r="O35" s="13"/>
      <c r="P35" s="1">
        <f>SUM(OSRRefP22_2x_0)</f>
        <v>1387.74</v>
      </c>
      <c r="Q35" s="1"/>
      <c r="R35" s="5">
        <f t="shared" ref="R35:R52" si="20">IF(P$12=0,0,P35/P$12)</f>
        <v>0</v>
      </c>
      <c r="S35" s="1"/>
      <c r="T35" s="1">
        <f>SUM(OSRRefT22_2x_0)</f>
        <v>2594.7399999999998</v>
      </c>
      <c r="U35" s="1"/>
      <c r="V35" s="5">
        <f t="shared" ref="V35:V52" si="21">IF(T$12=0,0,T35/T$12)</f>
        <v>0</v>
      </c>
      <c r="W35" s="1"/>
      <c r="X35" s="1">
        <f t="shared" ref="X35:X52" si="22">+P35-T35</f>
        <v>-1206.9999999999998</v>
      </c>
      <c r="Y35" s="1"/>
      <c r="Z35" s="5">
        <f t="shared" ref="Z35:Z52" si="23">IF(T35=0,0,X35/T35)</f>
        <v>-0.46517184766103731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>
        <v>52.5</v>
      </c>
      <c r="E36" s="2"/>
      <c r="F36" s="7">
        <f t="shared" si="16"/>
        <v>0</v>
      </c>
      <c r="G36" s="2"/>
      <c r="H36" s="6">
        <v>40</v>
      </c>
      <c r="I36" s="2"/>
      <c r="J36" s="7">
        <f t="shared" si="17"/>
        <v>0</v>
      </c>
      <c r="K36" s="2"/>
      <c r="L36" s="6">
        <f t="shared" si="18"/>
        <v>12.5</v>
      </c>
      <c r="M36" s="2"/>
      <c r="N36" s="7">
        <f t="shared" si="19"/>
        <v>0.3125</v>
      </c>
      <c r="O36" s="11"/>
      <c r="P36" s="6">
        <v>1387.74</v>
      </c>
      <c r="Q36" s="2"/>
      <c r="R36" s="7">
        <f t="shared" si="20"/>
        <v>0</v>
      </c>
      <c r="S36" s="2"/>
      <c r="T36" s="6">
        <v>2594.7399999999998</v>
      </c>
      <c r="U36" s="2"/>
      <c r="V36" s="7">
        <f t="shared" si="21"/>
        <v>0</v>
      </c>
      <c r="W36" s="2"/>
      <c r="X36" s="6">
        <f t="shared" si="22"/>
        <v>-1206.9999999999998</v>
      </c>
      <c r="Y36" s="2"/>
      <c r="Z36" s="7">
        <f t="shared" si="23"/>
        <v>-0.46517184766103731</v>
      </c>
    </row>
    <row r="37" spans="1:26" s="27" customFormat="1" outlineLevel="1" collapsed="1" x14ac:dyDescent="0.25">
      <c r="A37" s="25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224.18</v>
      </c>
      <c r="E37" s="1"/>
      <c r="F37" s="5">
        <f t="shared" si="16"/>
        <v>0</v>
      </c>
      <c r="G37" s="1"/>
      <c r="H37" s="1">
        <f>SUM(OSRRefH22_3x_0)</f>
        <v>224.17</v>
      </c>
      <c r="I37" s="1"/>
      <c r="J37" s="5">
        <f t="shared" si="17"/>
        <v>0</v>
      </c>
      <c r="K37" s="1"/>
      <c r="L37" s="1">
        <f t="shared" si="18"/>
        <v>1.0000000000019327E-2</v>
      </c>
      <c r="M37" s="1"/>
      <c r="N37" s="5">
        <f t="shared" si="19"/>
        <v>4.4609002096709314E-5</v>
      </c>
      <c r="O37" s="13"/>
      <c r="P37" s="1">
        <f>SUM(OSRRefP22_3x_0)</f>
        <v>1345.08</v>
      </c>
      <c r="Q37" s="1"/>
      <c r="R37" s="5">
        <f t="shared" si="20"/>
        <v>0</v>
      </c>
      <c r="S37" s="1"/>
      <c r="T37" s="1">
        <f>SUM(OSRRefT22_3x_0)</f>
        <v>1345.02</v>
      </c>
      <c r="U37" s="1"/>
      <c r="V37" s="5">
        <f t="shared" si="21"/>
        <v>0</v>
      </c>
      <c r="W37" s="1"/>
      <c r="X37" s="1">
        <f t="shared" si="22"/>
        <v>5.999999999994543E-2</v>
      </c>
      <c r="Y37" s="1"/>
      <c r="Z37" s="5">
        <f t="shared" si="23"/>
        <v>4.460900209658253E-5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224.18</v>
      </c>
      <c r="E38" s="2"/>
      <c r="F38" s="7">
        <f t="shared" si="16"/>
        <v>0</v>
      </c>
      <c r="G38" s="2"/>
      <c r="H38" s="6">
        <v>224.17</v>
      </c>
      <c r="I38" s="2"/>
      <c r="J38" s="7">
        <f t="shared" si="17"/>
        <v>0</v>
      </c>
      <c r="K38" s="2"/>
      <c r="L38" s="6">
        <f t="shared" si="18"/>
        <v>1.0000000000019327E-2</v>
      </c>
      <c r="M38" s="2"/>
      <c r="N38" s="7">
        <f t="shared" si="19"/>
        <v>4.4609002096709314E-5</v>
      </c>
      <c r="O38" s="11"/>
      <c r="P38" s="6">
        <v>1345.08</v>
      </c>
      <c r="Q38" s="2"/>
      <c r="R38" s="7">
        <f t="shared" si="20"/>
        <v>0</v>
      </c>
      <c r="S38" s="2"/>
      <c r="T38" s="6">
        <v>1345.02</v>
      </c>
      <c r="U38" s="2"/>
      <c r="V38" s="7">
        <f t="shared" si="21"/>
        <v>0</v>
      </c>
      <c r="W38" s="2"/>
      <c r="X38" s="6">
        <f t="shared" si="22"/>
        <v>5.999999999994543E-2</v>
      </c>
      <c r="Y38" s="2"/>
      <c r="Z38" s="7">
        <f t="shared" si="23"/>
        <v>4.460900209658253E-5</v>
      </c>
    </row>
    <row r="39" spans="1:26" s="27" customFormat="1" outlineLevel="1" collapsed="1" x14ac:dyDescent="0.25">
      <c r="A39" s="25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12678.74</v>
      </c>
      <c r="E39" s="1"/>
      <c r="F39" s="5">
        <f t="shared" si="16"/>
        <v>0</v>
      </c>
      <c r="G39" s="1"/>
      <c r="H39" s="1">
        <f>SUM(OSRRefH22_4x_0)</f>
        <v>13819.13</v>
      </c>
      <c r="I39" s="1"/>
      <c r="J39" s="5">
        <f t="shared" si="17"/>
        <v>0</v>
      </c>
      <c r="K39" s="1"/>
      <c r="L39" s="1">
        <f t="shared" si="18"/>
        <v>-1140.3899999999994</v>
      </c>
      <c r="M39" s="1"/>
      <c r="N39" s="5">
        <f t="shared" si="19"/>
        <v>-8.2522561116365467E-2</v>
      </c>
      <c r="O39" s="13"/>
      <c r="P39" s="1">
        <f>SUM(OSRRefP22_4x_0)</f>
        <v>24837.86</v>
      </c>
      <c r="Q39" s="1"/>
      <c r="R39" s="5">
        <f t="shared" si="20"/>
        <v>0</v>
      </c>
      <c r="S39" s="1"/>
      <c r="T39" s="1">
        <f>SUM(OSRRefT22_4x_0)</f>
        <v>24639.59</v>
      </c>
      <c r="U39" s="1"/>
      <c r="V39" s="5">
        <f t="shared" si="21"/>
        <v>0</v>
      </c>
      <c r="W39" s="1"/>
      <c r="X39" s="1">
        <f t="shared" si="22"/>
        <v>198.27000000000044</v>
      </c>
      <c r="Y39" s="1"/>
      <c r="Z39" s="5">
        <f t="shared" si="23"/>
        <v>8.0468059736383771E-3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6">
        <v>12678.74</v>
      </c>
      <c r="E40" s="2"/>
      <c r="F40" s="7">
        <f t="shared" si="16"/>
        <v>0</v>
      </c>
      <c r="G40" s="2"/>
      <c r="H40" s="6">
        <v>13819.13</v>
      </c>
      <c r="I40" s="2"/>
      <c r="J40" s="7">
        <f t="shared" si="17"/>
        <v>0</v>
      </c>
      <c r="K40" s="2"/>
      <c r="L40" s="6">
        <f t="shared" si="18"/>
        <v>-1140.3899999999994</v>
      </c>
      <c r="M40" s="2"/>
      <c r="N40" s="7">
        <f t="shared" si="19"/>
        <v>-8.2522561116365467E-2</v>
      </c>
      <c r="O40" s="11"/>
      <c r="P40" s="6">
        <v>24837.86</v>
      </c>
      <c r="Q40" s="2"/>
      <c r="R40" s="7">
        <f t="shared" si="20"/>
        <v>0</v>
      </c>
      <c r="S40" s="2"/>
      <c r="T40" s="6">
        <v>24639.59</v>
      </c>
      <c r="U40" s="2"/>
      <c r="V40" s="7">
        <f t="shared" si="21"/>
        <v>0</v>
      </c>
      <c r="W40" s="2"/>
      <c r="X40" s="6">
        <f t="shared" si="22"/>
        <v>198.27000000000044</v>
      </c>
      <c r="Y40" s="2"/>
      <c r="Z40" s="7">
        <f t="shared" si="23"/>
        <v>8.0468059736383771E-3</v>
      </c>
    </row>
    <row r="41" spans="1:26" s="27" customFormat="1" outlineLevel="1" collapsed="1" x14ac:dyDescent="0.25">
      <c r="A41" s="25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91.26</v>
      </c>
      <c r="I41" s="1"/>
      <c r="J41" s="5">
        <f t="shared" si="17"/>
        <v>0</v>
      </c>
      <c r="K41" s="1"/>
      <c r="L41" s="1">
        <f t="shared" si="18"/>
        <v>-91.26</v>
      </c>
      <c r="M41" s="1"/>
      <c r="N41" s="5">
        <f t="shared" si="19"/>
        <v>-1</v>
      </c>
      <c r="O41" s="13"/>
      <c r="P41" s="1">
        <f>SUM(OSRRefP22_5x_0)</f>
        <v>273.77999999999997</v>
      </c>
      <c r="Q41" s="1"/>
      <c r="R41" s="5">
        <f t="shared" si="20"/>
        <v>0</v>
      </c>
      <c r="S41" s="1"/>
      <c r="T41" s="1">
        <f>SUM(OSRRefT22_5x_0)</f>
        <v>547.55999999999995</v>
      </c>
      <c r="U41" s="1"/>
      <c r="V41" s="5">
        <f t="shared" si="21"/>
        <v>0</v>
      </c>
      <c r="W41" s="1"/>
      <c r="X41" s="1">
        <f t="shared" si="22"/>
        <v>-273.77999999999997</v>
      </c>
      <c r="Y41" s="1"/>
      <c r="Z41" s="5">
        <f t="shared" si="23"/>
        <v>-0.5</v>
      </c>
    </row>
    <row r="42" spans="1:26" s="24" customFormat="1" hidden="1" outlineLevel="2" x14ac:dyDescent="0.25">
      <c r="A42" s="26"/>
      <c r="B42" s="11" t="str">
        <f>CONCATENATE("          ", "6351", " - ", "EQUIPMENT RENTAL")</f>
        <v xml:space="preserve">          6351 - EQUIPMENT RENTAL</v>
      </c>
      <c r="C42" s="11"/>
      <c r="D42" s="6"/>
      <c r="E42" s="2"/>
      <c r="F42" s="7">
        <f t="shared" si="16"/>
        <v>0</v>
      </c>
      <c r="G42" s="2"/>
      <c r="H42" s="6">
        <v>91.26</v>
      </c>
      <c r="I42" s="2"/>
      <c r="J42" s="7">
        <f t="shared" si="17"/>
        <v>0</v>
      </c>
      <c r="K42" s="2"/>
      <c r="L42" s="6">
        <f t="shared" si="18"/>
        <v>-91.26</v>
      </c>
      <c r="M42" s="2"/>
      <c r="N42" s="7">
        <f t="shared" si="19"/>
        <v>-1</v>
      </c>
      <c r="O42" s="11"/>
      <c r="P42" s="6">
        <v>273.77999999999997</v>
      </c>
      <c r="Q42" s="2"/>
      <c r="R42" s="7">
        <f t="shared" si="20"/>
        <v>0</v>
      </c>
      <c r="S42" s="2"/>
      <c r="T42" s="6">
        <v>547.55999999999995</v>
      </c>
      <c r="U42" s="2"/>
      <c r="V42" s="7">
        <f t="shared" si="21"/>
        <v>0</v>
      </c>
      <c r="W42" s="2"/>
      <c r="X42" s="6">
        <f t="shared" si="22"/>
        <v>-273.77999999999997</v>
      </c>
      <c r="Y42" s="2"/>
      <c r="Z42" s="7">
        <f t="shared" si="23"/>
        <v>-0.5</v>
      </c>
    </row>
    <row r="43" spans="1:26" s="27" customFormat="1" outlineLevel="1" collapsed="1" x14ac:dyDescent="0.25">
      <c r="A43" s="25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SUM(OSRRefD22_6x_0)</f>
        <v>0</v>
      </c>
      <c r="E43" s="1"/>
      <c r="F43" s="5">
        <f t="shared" si="16"/>
        <v>0</v>
      </c>
      <c r="G43" s="1"/>
      <c r="H43" s="1">
        <f>SUM(OSRRefH22_6x_0)</f>
        <v>122.06</v>
      </c>
      <c r="I43" s="1"/>
      <c r="J43" s="5">
        <f t="shared" si="17"/>
        <v>0</v>
      </c>
      <c r="K43" s="1"/>
      <c r="L43" s="1">
        <f t="shared" si="18"/>
        <v>-122.06</v>
      </c>
      <c r="M43" s="1"/>
      <c r="N43" s="5">
        <f t="shared" si="19"/>
        <v>-1</v>
      </c>
      <c r="O43" s="13"/>
      <c r="P43" s="1">
        <f>SUM(OSRRefP22_6x_0)</f>
        <v>283.5</v>
      </c>
      <c r="Q43" s="1"/>
      <c r="R43" s="5">
        <f t="shared" si="20"/>
        <v>0</v>
      </c>
      <c r="S43" s="1"/>
      <c r="T43" s="1">
        <f>SUM(OSRRefT22_6x_0)</f>
        <v>545.27</v>
      </c>
      <c r="U43" s="1"/>
      <c r="V43" s="5">
        <f t="shared" si="21"/>
        <v>0</v>
      </c>
      <c r="W43" s="1"/>
      <c r="X43" s="1">
        <f t="shared" si="22"/>
        <v>-261.77</v>
      </c>
      <c r="Y43" s="1"/>
      <c r="Z43" s="5">
        <f t="shared" si="23"/>
        <v>-0.4800740917343701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16"/>
        <v>0</v>
      </c>
      <c r="G44" s="2"/>
      <c r="H44" s="6">
        <v>122.06</v>
      </c>
      <c r="I44" s="2"/>
      <c r="J44" s="7">
        <f t="shared" si="17"/>
        <v>0</v>
      </c>
      <c r="K44" s="2"/>
      <c r="L44" s="6">
        <f t="shared" si="18"/>
        <v>-122.06</v>
      </c>
      <c r="M44" s="2"/>
      <c r="N44" s="7">
        <f t="shared" si="19"/>
        <v>-1</v>
      </c>
      <c r="O44" s="11"/>
      <c r="P44" s="6">
        <v>283.5</v>
      </c>
      <c r="Q44" s="2"/>
      <c r="R44" s="7">
        <f t="shared" si="20"/>
        <v>0</v>
      </c>
      <c r="S44" s="2"/>
      <c r="T44" s="6">
        <v>545.27</v>
      </c>
      <c r="U44" s="2"/>
      <c r="V44" s="7">
        <f t="shared" si="21"/>
        <v>0</v>
      </c>
      <c r="W44" s="2"/>
      <c r="X44" s="6">
        <f t="shared" si="22"/>
        <v>-261.77</v>
      </c>
      <c r="Y44" s="2"/>
      <c r="Z44" s="7">
        <f t="shared" si="23"/>
        <v>-0.4800740917343701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SUM(OSRRefP22_7x_0)</f>
        <v>700</v>
      </c>
      <c r="Q45" s="1"/>
      <c r="R45" s="5">
        <f t="shared" si="20"/>
        <v>0</v>
      </c>
      <c r="S45" s="1"/>
      <c r="T45" s="1">
        <f>SUM(OSRRefT22_7x_0)</f>
        <v>700</v>
      </c>
      <c r="U45" s="1"/>
      <c r="V45" s="5">
        <f t="shared" si="21"/>
        <v>0</v>
      </c>
      <c r="W45" s="1"/>
      <c r="X45" s="1">
        <f t="shared" si="22"/>
        <v>0</v>
      </c>
      <c r="Y45" s="1"/>
      <c r="Z45" s="5">
        <f t="shared" si="23"/>
        <v>0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700</v>
      </c>
      <c r="Q46" s="2"/>
      <c r="R46" s="7">
        <f t="shared" si="20"/>
        <v>0</v>
      </c>
      <c r="S46" s="2"/>
      <c r="T46" s="6">
        <v>700</v>
      </c>
      <c r="U46" s="2"/>
      <c r="V46" s="7">
        <f t="shared" si="21"/>
        <v>0</v>
      </c>
      <c r="W46" s="2"/>
      <c r="X46" s="6">
        <f t="shared" si="22"/>
        <v>0</v>
      </c>
      <c r="Y46" s="2"/>
      <c r="Z46" s="7">
        <f t="shared" si="23"/>
        <v>0</v>
      </c>
    </row>
    <row r="47" spans="1:26" s="27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SUM(OSRRefD22_8x_0)</f>
        <v>65.47</v>
      </c>
      <c r="E47" s="1"/>
      <c r="F47" s="5">
        <f t="shared" si="16"/>
        <v>0</v>
      </c>
      <c r="G47" s="1"/>
      <c r="H47" s="1">
        <f>SUM(OSRRefH22_8x_0)</f>
        <v>61.68</v>
      </c>
      <c r="I47" s="1"/>
      <c r="J47" s="5">
        <f t="shared" si="17"/>
        <v>0</v>
      </c>
      <c r="K47" s="1"/>
      <c r="L47" s="1">
        <f t="shared" si="18"/>
        <v>3.7899999999999991</v>
      </c>
      <c r="M47" s="1"/>
      <c r="N47" s="5">
        <f t="shared" si="19"/>
        <v>6.1446173800259393E-2</v>
      </c>
      <c r="O47" s="13"/>
      <c r="P47" s="1">
        <f>SUM(OSRRefP22_8x_0)</f>
        <v>392.82</v>
      </c>
      <c r="Q47" s="1"/>
      <c r="R47" s="5">
        <f t="shared" si="20"/>
        <v>0</v>
      </c>
      <c r="S47" s="1"/>
      <c r="T47" s="1">
        <f>SUM(OSRRefT22_8x_0)</f>
        <v>370.08</v>
      </c>
      <c r="U47" s="1"/>
      <c r="V47" s="5">
        <f t="shared" si="21"/>
        <v>0</v>
      </c>
      <c r="W47" s="1"/>
      <c r="X47" s="1">
        <f t="shared" si="22"/>
        <v>22.740000000000009</v>
      </c>
      <c r="Y47" s="1"/>
      <c r="Z47" s="5">
        <f t="shared" si="23"/>
        <v>6.1446173800259428E-2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65.47</v>
      </c>
      <c r="E48" s="2"/>
      <c r="F48" s="7">
        <f t="shared" si="16"/>
        <v>0</v>
      </c>
      <c r="G48" s="2"/>
      <c r="H48" s="6">
        <v>61.68</v>
      </c>
      <c r="I48" s="2"/>
      <c r="J48" s="7">
        <f t="shared" si="17"/>
        <v>0</v>
      </c>
      <c r="K48" s="2"/>
      <c r="L48" s="6">
        <f t="shared" si="18"/>
        <v>3.7899999999999991</v>
      </c>
      <c r="M48" s="2"/>
      <c r="N48" s="7">
        <f t="shared" si="19"/>
        <v>6.1446173800259393E-2</v>
      </c>
      <c r="O48" s="11"/>
      <c r="P48" s="6">
        <v>392.82</v>
      </c>
      <c r="Q48" s="2"/>
      <c r="R48" s="7">
        <f t="shared" si="20"/>
        <v>0</v>
      </c>
      <c r="S48" s="2"/>
      <c r="T48" s="6">
        <v>370.08</v>
      </c>
      <c r="U48" s="2"/>
      <c r="V48" s="7">
        <f t="shared" si="21"/>
        <v>0</v>
      </c>
      <c r="W48" s="2"/>
      <c r="X48" s="6">
        <f t="shared" si="22"/>
        <v>22.740000000000009</v>
      </c>
      <c r="Y48" s="2"/>
      <c r="Z48" s="7">
        <f t="shared" si="23"/>
        <v>6.1446173800259428E-2</v>
      </c>
    </row>
    <row r="49" spans="1:26" s="27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SUM(OSRRefD22_9x_0)</f>
        <v>145.94999999999999</v>
      </c>
      <c r="E49" s="1"/>
      <c r="F49" s="5">
        <f t="shared" si="16"/>
        <v>0</v>
      </c>
      <c r="G49" s="1"/>
      <c r="H49" s="1">
        <f>SUM(OSRRefH22_9x_0)</f>
        <v>228.4</v>
      </c>
      <c r="I49" s="1"/>
      <c r="J49" s="5">
        <f t="shared" si="17"/>
        <v>0</v>
      </c>
      <c r="K49" s="1"/>
      <c r="L49" s="1">
        <f t="shared" si="18"/>
        <v>-82.450000000000017</v>
      </c>
      <c r="M49" s="1"/>
      <c r="N49" s="5">
        <f t="shared" si="19"/>
        <v>-0.36098949211908937</v>
      </c>
      <c r="O49" s="13"/>
      <c r="P49" s="1">
        <f>SUM(OSRRefP22_9x_0)</f>
        <v>54834.04</v>
      </c>
      <c r="Q49" s="1"/>
      <c r="R49" s="5">
        <f t="shared" si="20"/>
        <v>0</v>
      </c>
      <c r="S49" s="1"/>
      <c r="T49" s="1">
        <f>SUM(OSRRefT22_9x_0)</f>
        <v>18121.190000000002</v>
      </c>
      <c r="U49" s="1"/>
      <c r="V49" s="5">
        <f t="shared" si="21"/>
        <v>0</v>
      </c>
      <c r="W49" s="1"/>
      <c r="X49" s="1">
        <f t="shared" si="22"/>
        <v>36712.85</v>
      </c>
      <c r="Y49" s="1"/>
      <c r="Z49" s="5">
        <f t="shared" si="23"/>
        <v>2.0259624229976065</v>
      </c>
    </row>
    <row r="50" spans="1:26" s="24" customFormat="1" hidden="1" outlineLevel="2" x14ac:dyDescent="0.25">
      <c r="A50" s="26"/>
      <c r="B50" s="11" t="str">
        <f>CONCATENATE("          ", "6332", " - ", "CONSULTANT FEES")</f>
        <v xml:space="preserve">          6332 - CONSULTANT FEES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/>
      <c r="Q50" s="2"/>
      <c r="R50" s="7">
        <f t="shared" si="20"/>
        <v>0</v>
      </c>
      <c r="S50" s="2"/>
      <c r="T50" s="6">
        <v>14450</v>
      </c>
      <c r="U50" s="2"/>
      <c r="V50" s="7">
        <f t="shared" si="21"/>
        <v>0</v>
      </c>
      <c r="W50" s="2"/>
      <c r="X50" s="6">
        <f t="shared" si="22"/>
        <v>-14450</v>
      </c>
      <c r="Y50" s="2"/>
      <c r="Z50" s="7">
        <f t="shared" si="23"/>
        <v>-1</v>
      </c>
    </row>
    <row r="51" spans="1:26" s="24" customFormat="1" hidden="1" outlineLevel="2" x14ac:dyDescent="0.25">
      <c r="A51" s="26"/>
      <c r="B51" s="11" t="str">
        <f>CONCATENATE("          ", "6334", " - ", "LEGAL COUNCIL EXPENSE")</f>
        <v xml:space="preserve">          6334 - LEGAL COUNCIL EXPENSE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>
        <v>38010</v>
      </c>
      <c r="Q51" s="2"/>
      <c r="R51" s="7">
        <f t="shared" si="20"/>
        <v>0</v>
      </c>
      <c r="S51" s="2"/>
      <c r="T51" s="6">
        <v>407.79</v>
      </c>
      <c r="U51" s="2"/>
      <c r="V51" s="7">
        <f t="shared" si="21"/>
        <v>0</v>
      </c>
      <c r="W51" s="2"/>
      <c r="X51" s="6">
        <f t="shared" si="22"/>
        <v>37602.21</v>
      </c>
      <c r="Y51" s="2"/>
      <c r="Z51" s="7">
        <f t="shared" si="23"/>
        <v>92.209740307511211</v>
      </c>
    </row>
    <row r="52" spans="1:26" s="24" customFormat="1" hidden="1" outlineLevel="2" x14ac:dyDescent="0.25">
      <c r="A52" s="26"/>
      <c r="B52" s="11" t="str">
        <f>CONCATENATE("          ", "6336", " - ", "PROFESSIONAL SERVICES")</f>
        <v xml:space="preserve">          6336 - PROFESSIONAL SERVICES</v>
      </c>
      <c r="C52" s="11"/>
      <c r="D52" s="6">
        <v>145.94999999999999</v>
      </c>
      <c r="E52" s="2"/>
      <c r="F52" s="7">
        <f t="shared" si="16"/>
        <v>0</v>
      </c>
      <c r="G52" s="2"/>
      <c r="H52" s="6">
        <v>228.4</v>
      </c>
      <c r="I52" s="2"/>
      <c r="J52" s="7">
        <f t="shared" si="17"/>
        <v>0</v>
      </c>
      <c r="K52" s="2"/>
      <c r="L52" s="6">
        <f t="shared" si="18"/>
        <v>-82.450000000000017</v>
      </c>
      <c r="M52" s="2"/>
      <c r="N52" s="7">
        <f t="shared" si="19"/>
        <v>-0.36098949211908937</v>
      </c>
      <c r="O52" s="11"/>
      <c r="P52" s="6">
        <v>16824.04</v>
      </c>
      <c r="Q52" s="2"/>
      <c r="R52" s="7">
        <f t="shared" si="20"/>
        <v>0</v>
      </c>
      <c r="S52" s="2"/>
      <c r="T52" s="6">
        <v>3263.4</v>
      </c>
      <c r="U52" s="2"/>
      <c r="V52" s="7">
        <f t="shared" si="21"/>
        <v>0</v>
      </c>
      <c r="W52" s="2"/>
      <c r="X52" s="6">
        <f t="shared" si="22"/>
        <v>13560.640000000001</v>
      </c>
      <c r="Y52" s="2"/>
      <c r="Z52" s="7">
        <f t="shared" si="23"/>
        <v>4.1553716982288416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14704.07</v>
      </c>
      <c r="E53" s="1"/>
      <c r="F53" s="5">
        <f t="shared" ref="F53:F55" si="24">IF(D$12=0,0,D53/D$12)</f>
        <v>0</v>
      </c>
      <c r="G53" s="1"/>
      <c r="H53" s="1">
        <f>SUM(OSRRefH22_10x_0)</f>
        <v>14563.97</v>
      </c>
      <c r="I53" s="1"/>
      <c r="J53" s="5">
        <f t="shared" ref="J53:J55" si="25">IF(H$12=0,0,H53/H$12)</f>
        <v>0</v>
      </c>
      <c r="K53" s="1"/>
      <c r="L53" s="1">
        <f t="shared" ref="L53:L55" si="26">+D53-H53</f>
        <v>140.10000000000036</v>
      </c>
      <c r="M53" s="1"/>
      <c r="N53" s="5">
        <f t="shared" ref="N53:N55" si="27">IF(H53=0,0,L53/H53)</f>
        <v>9.619629812475607E-3</v>
      </c>
      <c r="O53" s="13"/>
      <c r="P53" s="1">
        <f>SUM(OSRRefP22_10x_0)</f>
        <v>72769.53</v>
      </c>
      <c r="Q53" s="1"/>
      <c r="R53" s="5">
        <f t="shared" ref="R53:R55" si="28">IF(P$12=0,0,P53/P$12)</f>
        <v>0</v>
      </c>
      <c r="S53" s="1"/>
      <c r="T53" s="1">
        <f>SUM(OSRRefT22_10x_0)</f>
        <v>72799.849999999991</v>
      </c>
      <c r="U53" s="1"/>
      <c r="V53" s="5">
        <f t="shared" ref="V53:V55" si="29">IF(T$12=0,0,T53/T$12)</f>
        <v>0</v>
      </c>
      <c r="W53" s="1"/>
      <c r="X53" s="1">
        <f t="shared" ref="X53:X55" si="30">+P53-T53</f>
        <v>-30.319999999992433</v>
      </c>
      <c r="Y53" s="1"/>
      <c r="Z53" s="5">
        <f t="shared" ref="Z53:Z55" si="31">IF(T53=0,0,X53/T53)</f>
        <v>-4.1648437462429437E-4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14704.07</v>
      </c>
      <c r="E54" s="2"/>
      <c r="F54" s="7">
        <f t="shared" si="24"/>
        <v>0</v>
      </c>
      <c r="G54" s="2"/>
      <c r="H54" s="6">
        <v>14389.47</v>
      </c>
      <c r="I54" s="2"/>
      <c r="J54" s="7">
        <f t="shared" si="25"/>
        <v>0</v>
      </c>
      <c r="K54" s="2"/>
      <c r="L54" s="6">
        <f t="shared" si="26"/>
        <v>314.60000000000036</v>
      </c>
      <c r="M54" s="2"/>
      <c r="N54" s="7">
        <f t="shared" si="27"/>
        <v>2.1863209694311214E-2</v>
      </c>
      <c r="O54" s="11"/>
      <c r="P54" s="6">
        <v>72486.61</v>
      </c>
      <c r="Q54" s="2"/>
      <c r="R54" s="7">
        <f t="shared" si="28"/>
        <v>0</v>
      </c>
      <c r="S54" s="2"/>
      <c r="T54" s="6">
        <v>72470.59</v>
      </c>
      <c r="U54" s="2"/>
      <c r="V54" s="7">
        <f t="shared" si="29"/>
        <v>0</v>
      </c>
      <c r="W54" s="2"/>
      <c r="X54" s="6">
        <f t="shared" si="30"/>
        <v>16.020000000004075</v>
      </c>
      <c r="Y54" s="2"/>
      <c r="Z54" s="7">
        <f t="shared" si="31"/>
        <v>2.2105518942241363E-4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4"/>
        <v>0</v>
      </c>
      <c r="G55" s="2"/>
      <c r="H55" s="6">
        <v>174.5</v>
      </c>
      <c r="I55" s="2"/>
      <c r="J55" s="7">
        <f t="shared" si="25"/>
        <v>0</v>
      </c>
      <c r="K55" s="2"/>
      <c r="L55" s="6">
        <f t="shared" si="26"/>
        <v>-174.5</v>
      </c>
      <c r="M55" s="2"/>
      <c r="N55" s="7">
        <f t="shared" si="27"/>
        <v>-1</v>
      </c>
      <c r="O55" s="11"/>
      <c r="P55" s="6">
        <v>282.92</v>
      </c>
      <c r="Q55" s="2"/>
      <c r="R55" s="7">
        <f t="shared" si="28"/>
        <v>0</v>
      </c>
      <c r="S55" s="2"/>
      <c r="T55" s="6">
        <v>329.26</v>
      </c>
      <c r="U55" s="2"/>
      <c r="V55" s="7">
        <f t="shared" si="29"/>
        <v>0</v>
      </c>
      <c r="W55" s="2"/>
      <c r="X55" s="6">
        <f t="shared" si="30"/>
        <v>-46.339999999999975</v>
      </c>
      <c r="Y55" s="2"/>
      <c r="Z55" s="7">
        <f t="shared" si="31"/>
        <v>-0.1407398408552511</v>
      </c>
    </row>
    <row r="56" spans="1:26" s="27" customFormat="1" outlineLevel="1" collapsed="1" x14ac:dyDescent="0.25">
      <c r="A56" s="25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SUM(OSRRefD22_11x_0)</f>
        <v>0</v>
      </c>
      <c r="E56" s="1"/>
      <c r="F56" s="5">
        <f t="shared" ref="F56:F61" si="32">IF(D$12=0,0,D56/D$12)</f>
        <v>0</v>
      </c>
      <c r="G56" s="1"/>
      <c r="H56" s="1">
        <f>SUM(OSRRefH22_11x_0)</f>
        <v>0</v>
      </c>
      <c r="I56" s="1"/>
      <c r="J56" s="5">
        <f t="shared" ref="J56:J61" si="33">IF(H$12=0,0,H56/H$12)</f>
        <v>0</v>
      </c>
      <c r="K56" s="1"/>
      <c r="L56" s="1">
        <f t="shared" ref="L56:L61" si="34">+D56-H56</f>
        <v>0</v>
      </c>
      <c r="M56" s="1"/>
      <c r="N56" s="5">
        <f t="shared" ref="N56:N61" si="35">IF(H56=0,0,L56/H56)</f>
        <v>0</v>
      </c>
      <c r="O56" s="13"/>
      <c r="P56" s="1">
        <f>SUM(OSRRefP22_11x_0)</f>
        <v>587</v>
      </c>
      <c r="Q56" s="1"/>
      <c r="R56" s="5">
        <f t="shared" ref="R56:R61" si="36">IF(P$12=0,0,P56/P$12)</f>
        <v>0</v>
      </c>
      <c r="S56" s="1"/>
      <c r="T56" s="1">
        <f>SUM(OSRRefT22_11x_0)</f>
        <v>587</v>
      </c>
      <c r="U56" s="1"/>
      <c r="V56" s="5">
        <f t="shared" ref="V56:V61" si="37">IF(T$12=0,0,T56/T$12)</f>
        <v>0</v>
      </c>
      <c r="W56" s="1"/>
      <c r="X56" s="1">
        <f t="shared" ref="X56:X61" si="38">+P56-T56</f>
        <v>0</v>
      </c>
      <c r="Y56" s="1"/>
      <c r="Z56" s="5">
        <f t="shared" ref="Z56:Z61" si="39">IF(T56=0,0,X56/T56)</f>
        <v>0</v>
      </c>
    </row>
    <row r="57" spans="1:26" s="24" customFormat="1" hidden="1" outlineLevel="2" x14ac:dyDescent="0.25">
      <c r="A57" s="26"/>
      <c r="B57" s="11" t="str">
        <f>CONCATENATE("          ", "6258", " - ", "MEMBERSHIP DUES")</f>
        <v xml:space="preserve">          6258 - MEMBERSHIP DUES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587</v>
      </c>
      <c r="Q57" s="2"/>
      <c r="R57" s="7">
        <f t="shared" si="36"/>
        <v>0</v>
      </c>
      <c r="S57" s="2"/>
      <c r="T57" s="6">
        <v>587</v>
      </c>
      <c r="U57" s="2"/>
      <c r="V57" s="7">
        <f t="shared" si="37"/>
        <v>0</v>
      </c>
      <c r="W57" s="2"/>
      <c r="X57" s="6">
        <f t="shared" si="38"/>
        <v>0</v>
      </c>
      <c r="Y57" s="2"/>
      <c r="Z57" s="7">
        <f t="shared" si="39"/>
        <v>0</v>
      </c>
    </row>
    <row r="58" spans="1:26" s="27" customFormat="1" outlineLevel="1" collapsed="1" x14ac:dyDescent="0.25">
      <c r="A58" s="25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SUM(OSRRefD22_12x_0)</f>
        <v>366.80000000000007</v>
      </c>
      <c r="E58" s="1"/>
      <c r="F58" s="5">
        <f t="shared" si="32"/>
        <v>0</v>
      </c>
      <c r="G58" s="1"/>
      <c r="H58" s="1">
        <f>SUM(OSRRefH22_12x_0)</f>
        <v>127.49</v>
      </c>
      <c r="I58" s="1"/>
      <c r="J58" s="5">
        <f t="shared" si="33"/>
        <v>0</v>
      </c>
      <c r="K58" s="1"/>
      <c r="L58" s="1">
        <f t="shared" si="34"/>
        <v>239.31000000000006</v>
      </c>
      <c r="M58" s="1"/>
      <c r="N58" s="5">
        <f t="shared" si="35"/>
        <v>1.8770883990901253</v>
      </c>
      <c r="O58" s="13"/>
      <c r="P58" s="1">
        <f>SUM(OSRRefP22_12x_0)</f>
        <v>12390.460000000001</v>
      </c>
      <c r="Q58" s="1"/>
      <c r="R58" s="5">
        <f t="shared" si="36"/>
        <v>0</v>
      </c>
      <c r="S58" s="1"/>
      <c r="T58" s="1">
        <f>SUM(OSRRefT22_12x_0)</f>
        <v>10209.86</v>
      </c>
      <c r="U58" s="1"/>
      <c r="V58" s="5">
        <f t="shared" si="37"/>
        <v>0</v>
      </c>
      <c r="W58" s="1"/>
      <c r="X58" s="1">
        <f t="shared" si="38"/>
        <v>2180.6000000000004</v>
      </c>
      <c r="Y58" s="1"/>
      <c r="Z58" s="5">
        <f t="shared" si="39"/>
        <v>0.21357785513219577</v>
      </c>
    </row>
    <row r="59" spans="1:26" s="24" customFormat="1" hidden="1" outlineLevel="2" x14ac:dyDescent="0.25">
      <c r="A59" s="26"/>
      <c r="B59" s="11" t="str">
        <f>CONCATENATE("          ", "6241", " - ", "OFFICE EXPENSE")</f>
        <v xml:space="preserve">          6241 - OFFICE EXPENSE</v>
      </c>
      <c r="C59" s="11"/>
      <c r="D59" s="6">
        <v>253.08</v>
      </c>
      <c r="E59" s="2"/>
      <c r="F59" s="7">
        <f t="shared" si="32"/>
        <v>0</v>
      </c>
      <c r="G59" s="2"/>
      <c r="H59" s="6">
        <v>102.49</v>
      </c>
      <c r="I59" s="2"/>
      <c r="J59" s="7">
        <f t="shared" si="33"/>
        <v>0</v>
      </c>
      <c r="K59" s="2"/>
      <c r="L59" s="6">
        <f t="shared" si="34"/>
        <v>150.59000000000003</v>
      </c>
      <c r="M59" s="2"/>
      <c r="N59" s="7">
        <f t="shared" si="35"/>
        <v>1.4693140794223831</v>
      </c>
      <c r="O59" s="11"/>
      <c r="P59" s="6">
        <v>8835.0400000000009</v>
      </c>
      <c r="Q59" s="2"/>
      <c r="R59" s="7">
        <f t="shared" si="36"/>
        <v>0</v>
      </c>
      <c r="S59" s="2"/>
      <c r="T59" s="6">
        <v>7180.72</v>
      </c>
      <c r="U59" s="2"/>
      <c r="V59" s="7">
        <f t="shared" si="37"/>
        <v>0</v>
      </c>
      <c r="W59" s="2"/>
      <c r="X59" s="6">
        <f t="shared" si="38"/>
        <v>1654.3200000000006</v>
      </c>
      <c r="Y59" s="2"/>
      <c r="Z59" s="7">
        <f t="shared" si="39"/>
        <v>0.23038358270479847</v>
      </c>
    </row>
    <row r="60" spans="1:26" s="24" customFormat="1" hidden="1" outlineLevel="2" x14ac:dyDescent="0.25">
      <c r="A60" s="26"/>
      <c r="B60" s="11" t="str">
        <f>CONCATENATE("          ", "6244", " - ", "SAFETY SUPPLY EXPENSE")</f>
        <v xml:space="preserve">          6244 - SAFETY SUPPLY EXPENSE</v>
      </c>
      <c r="C60" s="11"/>
      <c r="D60" s="6">
        <v>50</v>
      </c>
      <c r="E60" s="2"/>
      <c r="F60" s="7">
        <f t="shared" si="32"/>
        <v>0</v>
      </c>
      <c r="G60" s="2"/>
      <c r="H60" s="6">
        <v>25</v>
      </c>
      <c r="I60" s="2"/>
      <c r="J60" s="7">
        <f t="shared" si="33"/>
        <v>0</v>
      </c>
      <c r="K60" s="2"/>
      <c r="L60" s="6">
        <f t="shared" si="34"/>
        <v>25</v>
      </c>
      <c r="M60" s="2"/>
      <c r="N60" s="7">
        <f t="shared" si="35"/>
        <v>1</v>
      </c>
      <c r="O60" s="11"/>
      <c r="P60" s="6">
        <v>1557.33</v>
      </c>
      <c r="Q60" s="2"/>
      <c r="R60" s="7">
        <f t="shared" si="36"/>
        <v>0</v>
      </c>
      <c r="S60" s="2"/>
      <c r="T60" s="6">
        <v>2253.21</v>
      </c>
      <c r="U60" s="2"/>
      <c r="V60" s="7">
        <f t="shared" si="37"/>
        <v>0</v>
      </c>
      <c r="W60" s="2"/>
      <c r="X60" s="6">
        <f t="shared" si="38"/>
        <v>-695.88000000000011</v>
      </c>
      <c r="Y60" s="2"/>
      <c r="Z60" s="7">
        <f t="shared" si="39"/>
        <v>-0.30883938913816295</v>
      </c>
    </row>
    <row r="61" spans="1:26" s="24" customFormat="1" hidden="1" outlineLevel="2" x14ac:dyDescent="0.25">
      <c r="A61" s="26"/>
      <c r="B61" s="11" t="str">
        <f>CONCATENATE("          ", "6245", " - ", "PRINTING")</f>
        <v xml:space="preserve">          6245 - PRINTING</v>
      </c>
      <c r="C61" s="11"/>
      <c r="D61" s="6">
        <v>63.72</v>
      </c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63.72</v>
      </c>
      <c r="M61" s="2"/>
      <c r="N61" s="7">
        <f t="shared" si="35"/>
        <v>0</v>
      </c>
      <c r="O61" s="11"/>
      <c r="P61" s="6">
        <v>1998.09</v>
      </c>
      <c r="Q61" s="2"/>
      <c r="R61" s="7">
        <f t="shared" si="36"/>
        <v>0</v>
      </c>
      <c r="S61" s="2"/>
      <c r="T61" s="6">
        <v>775.93</v>
      </c>
      <c r="U61" s="2"/>
      <c r="V61" s="7">
        <f t="shared" si="37"/>
        <v>0</v>
      </c>
      <c r="W61" s="2"/>
      <c r="X61" s="6">
        <f t="shared" si="38"/>
        <v>1222.1599999999999</v>
      </c>
      <c r="Y61" s="2"/>
      <c r="Z61" s="7">
        <f t="shared" si="39"/>
        <v>1.5750905365174692</v>
      </c>
    </row>
    <row r="62" spans="1:26" s="27" customFormat="1" outlineLevel="1" collapsed="1" x14ac:dyDescent="0.25">
      <c r="A62" s="25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SUM(OSRRefD22_13x_0)</f>
        <v>300.2</v>
      </c>
      <c r="E62" s="1"/>
      <c r="F62" s="5">
        <f t="shared" ref="F62:F67" si="40">IF(D$12=0,0,D62/D$12)</f>
        <v>0</v>
      </c>
      <c r="G62" s="1"/>
      <c r="H62" s="1">
        <f>SUM(OSRRefH22_13x_0)</f>
        <v>313.7</v>
      </c>
      <c r="I62" s="1"/>
      <c r="J62" s="5">
        <f t="shared" ref="J62:J67" si="41">IF(H$12=0,0,H62/H$12)</f>
        <v>0</v>
      </c>
      <c r="K62" s="1"/>
      <c r="L62" s="1">
        <f t="shared" ref="L62:L67" si="42">+D62-H62</f>
        <v>-13.5</v>
      </c>
      <c r="M62" s="1"/>
      <c r="N62" s="5">
        <f t="shared" ref="N62:N67" si="43">IF(H62=0,0,L62/H62)</f>
        <v>-4.3034746573159068E-2</v>
      </c>
      <c r="O62" s="13"/>
      <c r="P62" s="1">
        <f>SUM(OSRRefP22_13x_0)</f>
        <v>1963.6</v>
      </c>
      <c r="Q62" s="1"/>
      <c r="R62" s="5">
        <f t="shared" ref="R62:R67" si="44">IF(P$12=0,0,P62/P$12)</f>
        <v>0</v>
      </c>
      <c r="S62" s="1"/>
      <c r="T62" s="1">
        <f>SUM(OSRRefT22_13x_0)</f>
        <v>2085.4</v>
      </c>
      <c r="U62" s="1"/>
      <c r="V62" s="5">
        <f t="shared" ref="V62:V67" si="45">IF(T$12=0,0,T62/T$12)</f>
        <v>0</v>
      </c>
      <c r="W62" s="1"/>
      <c r="X62" s="1">
        <f t="shared" ref="X62:X67" si="46">+P62-T62</f>
        <v>-121.80000000000018</v>
      </c>
      <c r="Y62" s="1"/>
      <c r="Z62" s="5">
        <f t="shared" ref="Z62:Z67" si="47">IF(T62=0,0,X62/T62)</f>
        <v>-5.840606118730228E-2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6">
        <v>300.2</v>
      </c>
      <c r="E63" s="2"/>
      <c r="F63" s="7">
        <f t="shared" si="40"/>
        <v>0</v>
      </c>
      <c r="G63" s="2"/>
      <c r="H63" s="6">
        <v>313.7</v>
      </c>
      <c r="I63" s="2"/>
      <c r="J63" s="7">
        <f t="shared" si="41"/>
        <v>0</v>
      </c>
      <c r="K63" s="2"/>
      <c r="L63" s="6">
        <f t="shared" si="42"/>
        <v>-13.5</v>
      </c>
      <c r="M63" s="2"/>
      <c r="N63" s="7">
        <f t="shared" si="43"/>
        <v>-4.3034746573159068E-2</v>
      </c>
      <c r="O63" s="11"/>
      <c r="P63" s="6">
        <v>1963.6</v>
      </c>
      <c r="Q63" s="2"/>
      <c r="R63" s="7">
        <f t="shared" si="44"/>
        <v>0</v>
      </c>
      <c r="S63" s="2"/>
      <c r="T63" s="6">
        <v>2085.4</v>
      </c>
      <c r="U63" s="2"/>
      <c r="V63" s="7">
        <f t="shared" si="45"/>
        <v>0</v>
      </c>
      <c r="W63" s="2"/>
      <c r="X63" s="6">
        <f t="shared" si="46"/>
        <v>-121.80000000000018</v>
      </c>
      <c r="Y63" s="2"/>
      <c r="Z63" s="7">
        <f t="shared" si="47"/>
        <v>-5.840606118730228E-2</v>
      </c>
    </row>
    <row r="64" spans="1:26" s="27" customFormat="1" outlineLevel="1" collapsed="1" x14ac:dyDescent="0.25">
      <c r="A64" s="25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SUM(OSRRefD22_14x_0)</f>
        <v>164.22</v>
      </c>
      <c r="E64" s="1"/>
      <c r="F64" s="5">
        <f t="shared" si="40"/>
        <v>0</v>
      </c>
      <c r="G64" s="1"/>
      <c r="H64" s="1">
        <f>SUM(OSRRefH22_14x_0)</f>
        <v>258.33</v>
      </c>
      <c r="I64" s="1"/>
      <c r="J64" s="5">
        <f t="shared" si="41"/>
        <v>0</v>
      </c>
      <c r="K64" s="1"/>
      <c r="L64" s="1">
        <f t="shared" si="42"/>
        <v>-94.109999999999985</v>
      </c>
      <c r="M64" s="1"/>
      <c r="N64" s="5">
        <f t="shared" si="43"/>
        <v>-0.36430147485774006</v>
      </c>
      <c r="O64" s="13"/>
      <c r="P64" s="1">
        <f>SUM(OSRRefP22_14x_0)</f>
        <v>5479.2</v>
      </c>
      <c r="Q64" s="1"/>
      <c r="R64" s="5">
        <f t="shared" si="44"/>
        <v>0</v>
      </c>
      <c r="S64" s="1"/>
      <c r="T64" s="1">
        <f>SUM(OSRRefT22_14x_0)</f>
        <v>8203.93</v>
      </c>
      <c r="U64" s="1"/>
      <c r="V64" s="5">
        <f t="shared" si="45"/>
        <v>0</v>
      </c>
      <c r="W64" s="1"/>
      <c r="X64" s="1">
        <f t="shared" si="46"/>
        <v>-2724.7300000000005</v>
      </c>
      <c r="Y64" s="1"/>
      <c r="Z64" s="5">
        <f t="shared" si="47"/>
        <v>-0.33212496937443403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6">
        <v>164.22</v>
      </c>
      <c r="E65" s="2"/>
      <c r="F65" s="7">
        <f t="shared" si="40"/>
        <v>0</v>
      </c>
      <c r="G65" s="2"/>
      <c r="H65" s="6">
        <v>258.33</v>
      </c>
      <c r="I65" s="2"/>
      <c r="J65" s="7">
        <f t="shared" si="41"/>
        <v>0</v>
      </c>
      <c r="K65" s="2"/>
      <c r="L65" s="6">
        <f t="shared" si="42"/>
        <v>-94.109999999999985</v>
      </c>
      <c r="M65" s="2"/>
      <c r="N65" s="7">
        <f t="shared" si="43"/>
        <v>-0.36430147485774006</v>
      </c>
      <c r="O65" s="11"/>
      <c r="P65" s="6">
        <v>5479.2</v>
      </c>
      <c r="Q65" s="2"/>
      <c r="R65" s="7">
        <f t="shared" si="44"/>
        <v>0</v>
      </c>
      <c r="S65" s="2"/>
      <c r="T65" s="6">
        <v>8203.93</v>
      </c>
      <c r="U65" s="2"/>
      <c r="V65" s="7">
        <f t="shared" si="45"/>
        <v>0</v>
      </c>
      <c r="W65" s="2"/>
      <c r="X65" s="6">
        <f t="shared" si="46"/>
        <v>-2724.7300000000005</v>
      </c>
      <c r="Y65" s="2"/>
      <c r="Z65" s="7">
        <f t="shared" si="47"/>
        <v>-0.33212496937443403</v>
      </c>
    </row>
    <row r="66" spans="1:26" s="27" customFormat="1" outlineLevel="1" collapsed="1" x14ac:dyDescent="0.25">
      <c r="A66" s="25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SUM(OSRRefD22_15x_0)</f>
        <v>0</v>
      </c>
      <c r="E66" s="1"/>
      <c r="F66" s="5">
        <f t="shared" si="40"/>
        <v>0</v>
      </c>
      <c r="G66" s="1"/>
      <c r="H66" s="1">
        <f>SUM(OSRRefH22_15x_0)</f>
        <v>94</v>
      </c>
      <c r="I66" s="1"/>
      <c r="J66" s="5">
        <f t="shared" si="41"/>
        <v>0</v>
      </c>
      <c r="K66" s="1"/>
      <c r="L66" s="1">
        <f t="shared" si="42"/>
        <v>-94</v>
      </c>
      <c r="M66" s="1"/>
      <c r="N66" s="5">
        <f t="shared" si="43"/>
        <v>-1</v>
      </c>
      <c r="O66" s="13"/>
      <c r="P66" s="1">
        <f>SUM(OSRRefP22_15x_0)</f>
        <v>3487.01</v>
      </c>
      <c r="Q66" s="1"/>
      <c r="R66" s="5">
        <f t="shared" si="44"/>
        <v>0</v>
      </c>
      <c r="S66" s="1"/>
      <c r="T66" s="1">
        <f>SUM(OSRRefT22_15x_0)</f>
        <v>4678.8999999999996</v>
      </c>
      <c r="U66" s="1"/>
      <c r="V66" s="5">
        <f t="shared" si="45"/>
        <v>0</v>
      </c>
      <c r="W66" s="1"/>
      <c r="X66" s="1">
        <f t="shared" si="46"/>
        <v>-1191.8899999999994</v>
      </c>
      <c r="Y66" s="1"/>
      <c r="Z66" s="5">
        <f t="shared" si="47"/>
        <v>-0.25473722456132841</v>
      </c>
    </row>
    <row r="67" spans="1:26" s="24" customFormat="1" hidden="1" outlineLevel="2" x14ac:dyDescent="0.25">
      <c r="A67" s="26"/>
      <c r="B67" s="11" t="str">
        <f>CONCATENATE("          ", "6292", " - ", "TRAVEL/CONFERENCE")</f>
        <v xml:space="preserve">          6292 - TRAVEL/CONFERENCE</v>
      </c>
      <c r="C67" s="11"/>
      <c r="D67" s="6"/>
      <c r="E67" s="2"/>
      <c r="F67" s="7">
        <f t="shared" si="40"/>
        <v>0</v>
      </c>
      <c r="G67" s="2"/>
      <c r="H67" s="6">
        <v>94</v>
      </c>
      <c r="I67" s="2"/>
      <c r="J67" s="7">
        <f t="shared" si="41"/>
        <v>0</v>
      </c>
      <c r="K67" s="2"/>
      <c r="L67" s="6">
        <f t="shared" si="42"/>
        <v>-94</v>
      </c>
      <c r="M67" s="2"/>
      <c r="N67" s="7">
        <f t="shared" si="43"/>
        <v>-1</v>
      </c>
      <c r="O67" s="11"/>
      <c r="P67" s="6">
        <v>3487.01</v>
      </c>
      <c r="Q67" s="2"/>
      <c r="R67" s="7">
        <f t="shared" si="44"/>
        <v>0</v>
      </c>
      <c r="S67" s="2"/>
      <c r="T67" s="6">
        <v>4678.8999999999996</v>
      </c>
      <c r="U67" s="2"/>
      <c r="V67" s="7">
        <f t="shared" si="45"/>
        <v>0</v>
      </c>
      <c r="W67" s="2"/>
      <c r="X67" s="6">
        <f t="shared" si="46"/>
        <v>-1191.8899999999994</v>
      </c>
      <c r="Y67" s="2"/>
      <c r="Z67" s="7">
        <f t="shared" si="47"/>
        <v>-0.25473722456132841</v>
      </c>
    </row>
    <row r="68" spans="1:26" s="61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8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3</v>
      </c>
      <c r="C71" s="29"/>
      <c r="D71" s="20">
        <f>+D16-D18+D69</f>
        <v>-62517.429999999993</v>
      </c>
      <c r="E71" s="14"/>
      <c r="F71" s="21">
        <f>IF(D$12=0,0,D71/D$12)</f>
        <v>0</v>
      </c>
      <c r="G71" s="14"/>
      <c r="H71" s="20">
        <f>+H16-H18+H69</f>
        <v>-59572.359999999993</v>
      </c>
      <c r="I71" s="14"/>
      <c r="J71" s="21">
        <f>IF(H$12=0,0,H71/H$12)</f>
        <v>0</v>
      </c>
      <c r="K71" s="15"/>
      <c r="L71" s="20">
        <f>+D71-H71</f>
        <v>-2945.0699999999997</v>
      </c>
      <c r="M71" s="15"/>
      <c r="N71" s="21">
        <f>IF(H71=0,0,L71/H71)</f>
        <v>4.9436852929781533E-2</v>
      </c>
      <c r="O71" s="28"/>
      <c r="P71" s="20">
        <f>+P16-P18+P69</f>
        <v>-402598.70999999996</v>
      </c>
      <c r="Q71" s="14"/>
      <c r="R71" s="21">
        <f>IF(P$12=0,0,P71/P$12)</f>
        <v>0</v>
      </c>
      <c r="S71" s="14"/>
      <c r="T71" s="20">
        <f>+T16-T18+T69</f>
        <v>-344205.17</v>
      </c>
      <c r="U71" s="14"/>
      <c r="V71" s="21">
        <f>IF(T$12=0,0,T71/T$12)</f>
        <v>0</v>
      </c>
      <c r="W71" s="15"/>
      <c r="X71" s="20">
        <f>+P71-T71</f>
        <v>-58393.539999999979</v>
      </c>
      <c r="Y71" s="15"/>
      <c r="Z71" s="21">
        <f>IF(T71=0,0,X71/T71)</f>
        <v>0.16964748089053974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4</v>
      </c>
      <c r="C75" s="29"/>
      <c r="D75" s="32">
        <f>+D71-D73</f>
        <v>-62517.429999999993</v>
      </c>
      <c r="E75" s="14"/>
      <c r="F75" s="30">
        <f>IF(D$12=0,0,D75/D$12)</f>
        <v>0</v>
      </c>
      <c r="G75" s="14"/>
      <c r="H75" s="32">
        <f>+H71-H73</f>
        <v>-59572.359999999993</v>
      </c>
      <c r="I75" s="14"/>
      <c r="J75" s="30">
        <f>IF(H$12=0,0,H75/H$12)</f>
        <v>0</v>
      </c>
      <c r="K75" s="15"/>
      <c r="L75" s="32">
        <f>D75-H75</f>
        <v>-2945.0699999999997</v>
      </c>
      <c r="M75" s="15"/>
      <c r="N75" s="30">
        <f>IF(H75=0,0,L75/H75)</f>
        <v>4.9436852929781533E-2</v>
      </c>
      <c r="O75" s="28"/>
      <c r="P75" s="32">
        <f>+P71-P73</f>
        <v>-402598.70999999996</v>
      </c>
      <c r="Q75" s="14"/>
      <c r="R75" s="30">
        <f>IF(P$12=0,0,P75/P$12)</f>
        <v>0</v>
      </c>
      <c r="S75" s="14"/>
      <c r="T75" s="32">
        <f>+T71-T73</f>
        <v>-344205.17</v>
      </c>
      <c r="U75" s="14"/>
      <c r="V75" s="30">
        <f>IF(T$12=0,0,T75/T$12)</f>
        <v>0</v>
      </c>
      <c r="W75" s="15"/>
      <c r="X75" s="32">
        <f>P75-T75</f>
        <v>-58393.539999999979</v>
      </c>
      <c r="Y75" s="15"/>
      <c r="Z75" s="30">
        <f>IF(T75=0,0,X75/T75)</f>
        <v>0.16964748089053974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5</v>
      </c>
      <c r="C78" s="29"/>
      <c r="D78" s="36">
        <f>SUM(D75:D77)</f>
        <v>-62517.429999999993</v>
      </c>
      <c r="E78" s="14"/>
      <c r="F78" s="31">
        <f>IF(D$12=0,0,D78/D$12)</f>
        <v>0</v>
      </c>
      <c r="G78" s="14"/>
      <c r="H78" s="36">
        <f>SUM(H75:H77)</f>
        <v>-59572.359999999993</v>
      </c>
      <c r="I78" s="14"/>
      <c r="J78" s="31">
        <f>IF(H$12=0,0,H78/H$12)</f>
        <v>0</v>
      </c>
      <c r="K78" s="15"/>
      <c r="L78" s="36">
        <f>+D78-H78</f>
        <v>-2945.0699999999997</v>
      </c>
      <c r="M78" s="15"/>
      <c r="N78" s="31">
        <f>IF(H78=0,0,L78/H78)</f>
        <v>4.9436852929781533E-2</v>
      </c>
      <c r="O78" s="28"/>
      <c r="P78" s="36">
        <f>SUM(P75:P77)</f>
        <v>-402598.70999999996</v>
      </c>
      <c r="Q78" s="14"/>
      <c r="R78" s="31">
        <f>IF(P$12=0,0,P78/P$12)</f>
        <v>0</v>
      </c>
      <c r="S78" s="14"/>
      <c r="T78" s="36">
        <f>SUM(T75:T77)</f>
        <v>-344205.17</v>
      </c>
      <c r="U78" s="14"/>
      <c r="V78" s="31">
        <f>IF(T$12=0,0,T78/T$12)</f>
        <v>0</v>
      </c>
      <c r="W78" s="15"/>
      <c r="X78" s="36">
        <f>+P78-T78</f>
        <v>-58393.539999999979</v>
      </c>
      <c r="Y78" s="15"/>
      <c r="Z78" s="31">
        <f>IF(T78=0,0,X78/T78)</f>
        <v>0.16964748089053974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2">
        <v>43847.453492361114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6" t="s">
        <v>313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4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","204", " - ", "Information Technology")</f>
        <v>Department 204 - Information Technology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54493.08</v>
      </c>
      <c r="E18" s="22"/>
      <c r="F18" s="33">
        <f t="shared" ref="F18:F29" si="0">IF(D$12=0,0,D18/D$12)</f>
        <v>0</v>
      </c>
      <c r="G18" s="22"/>
      <c r="H18" s="22">
        <f>SUM(OSRRefH22x_0)</f>
        <v>65895.69</v>
      </c>
      <c r="I18" s="22"/>
      <c r="J18" s="33">
        <f t="shared" ref="J18:J29" si="1">IF(H$12=0,0,H18/H$12)</f>
        <v>0</v>
      </c>
      <c r="K18" s="4"/>
      <c r="L18" s="22">
        <f t="shared" ref="L18:L29" si="2">+D18-H18</f>
        <v>-11402.61</v>
      </c>
      <c r="M18" s="4"/>
      <c r="N18" s="33">
        <f t="shared" ref="N18:N29" si="3">IF(H18=0,0,L18/H18)</f>
        <v>-0.17304030051130811</v>
      </c>
      <c r="O18" s="10"/>
      <c r="P18" s="22">
        <f>SUM(OSRRefP22x_0)</f>
        <v>360599.31000000006</v>
      </c>
      <c r="Q18" s="22"/>
      <c r="R18" s="33">
        <f t="shared" ref="R18:R29" si="4">IF(P$12=0,0,P18/P$12)</f>
        <v>0</v>
      </c>
      <c r="S18" s="22"/>
      <c r="T18" s="22">
        <f>SUM(OSRRefT22x_0)</f>
        <v>386578.28000000009</v>
      </c>
      <c r="U18" s="22"/>
      <c r="V18" s="33">
        <f t="shared" ref="V18:V29" si="5">IF(T$12=0,0,T18/T$12)</f>
        <v>0</v>
      </c>
      <c r="W18" s="4"/>
      <c r="X18" s="22">
        <f t="shared" ref="X18:X29" si="6">+P18-T18</f>
        <v>-25978.97000000003</v>
      </c>
      <c r="Y18" s="4"/>
      <c r="Z18" s="33">
        <f t="shared" ref="Z18:Z29" si="7">IF(T18=0,0,X18/T18)</f>
        <v>-6.7202352910256682E-2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12132.760000000002</v>
      </c>
      <c r="E19" s="1"/>
      <c r="F19" s="5">
        <f t="shared" si="0"/>
        <v>0</v>
      </c>
      <c r="G19" s="1"/>
      <c r="H19" s="1">
        <f>SUM(OSRRefH22_0x_0)</f>
        <v>15098.820000000002</v>
      </c>
      <c r="I19" s="1"/>
      <c r="J19" s="5">
        <f t="shared" si="1"/>
        <v>0</v>
      </c>
      <c r="K19" s="1"/>
      <c r="L19" s="1">
        <f t="shared" si="2"/>
        <v>-2966.0599999999995</v>
      </c>
      <c r="M19" s="1"/>
      <c r="N19" s="5">
        <f t="shared" si="3"/>
        <v>-0.19644316575732404</v>
      </c>
      <c r="O19" s="13"/>
      <c r="P19" s="1">
        <f>SUM(OSRRefP22_0x_0)</f>
        <v>78057.66</v>
      </c>
      <c r="Q19" s="1"/>
      <c r="R19" s="5">
        <f t="shared" si="4"/>
        <v>0</v>
      </c>
      <c r="S19" s="1"/>
      <c r="T19" s="1">
        <f>SUM(OSRRefT22_0x_0)</f>
        <v>88439.44</v>
      </c>
      <c r="U19" s="1"/>
      <c r="V19" s="5">
        <f t="shared" si="5"/>
        <v>0</v>
      </c>
      <c r="W19" s="1"/>
      <c r="X19" s="1">
        <f t="shared" si="6"/>
        <v>-10381.779999999999</v>
      </c>
      <c r="Y19" s="1"/>
      <c r="Z19" s="5">
        <f t="shared" si="7"/>
        <v>-0.11738857686118319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1753.63</v>
      </c>
      <c r="E20" s="2"/>
      <c r="F20" s="7">
        <f t="shared" si="0"/>
        <v>0</v>
      </c>
      <c r="G20" s="2"/>
      <c r="H20" s="6">
        <v>2220.9499999999998</v>
      </c>
      <c r="I20" s="2"/>
      <c r="J20" s="7">
        <f t="shared" si="1"/>
        <v>0</v>
      </c>
      <c r="K20" s="2"/>
      <c r="L20" s="6">
        <f t="shared" si="2"/>
        <v>-467.31999999999971</v>
      </c>
      <c r="M20" s="2"/>
      <c r="N20" s="7">
        <f t="shared" si="3"/>
        <v>-0.21041446227965499</v>
      </c>
      <c r="O20" s="11"/>
      <c r="P20" s="6">
        <v>13106.96</v>
      </c>
      <c r="Q20" s="2"/>
      <c r="R20" s="7">
        <f t="shared" si="4"/>
        <v>0</v>
      </c>
      <c r="S20" s="2"/>
      <c r="T20" s="6">
        <v>13431.59</v>
      </c>
      <c r="U20" s="2"/>
      <c r="V20" s="7">
        <f t="shared" si="5"/>
        <v>0</v>
      </c>
      <c r="W20" s="2"/>
      <c r="X20" s="6">
        <f t="shared" si="6"/>
        <v>-324.63000000000102</v>
      </c>
      <c r="Y20" s="2"/>
      <c r="Z20" s="7">
        <f t="shared" si="7"/>
        <v>-2.4169141553606163E-2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125.39</v>
      </c>
      <c r="E21" s="2"/>
      <c r="F21" s="7">
        <f t="shared" si="0"/>
        <v>0</v>
      </c>
      <c r="G21" s="2"/>
      <c r="H21" s="6">
        <v>137.83000000000001</v>
      </c>
      <c r="I21" s="2"/>
      <c r="J21" s="7">
        <f t="shared" si="1"/>
        <v>0</v>
      </c>
      <c r="K21" s="2"/>
      <c r="L21" s="6">
        <f t="shared" si="2"/>
        <v>-12.440000000000012</v>
      </c>
      <c r="M21" s="2"/>
      <c r="N21" s="7">
        <f t="shared" si="3"/>
        <v>-9.0256112602481398E-2</v>
      </c>
      <c r="O21" s="11"/>
      <c r="P21" s="6">
        <v>458.5</v>
      </c>
      <c r="Q21" s="2"/>
      <c r="R21" s="7">
        <f t="shared" si="4"/>
        <v>0</v>
      </c>
      <c r="S21" s="2"/>
      <c r="T21" s="6">
        <v>588.51</v>
      </c>
      <c r="U21" s="2"/>
      <c r="V21" s="7">
        <f t="shared" si="5"/>
        <v>0</v>
      </c>
      <c r="W21" s="2"/>
      <c r="X21" s="6">
        <f t="shared" si="6"/>
        <v>-130.01</v>
      </c>
      <c r="Y21" s="2"/>
      <c r="Z21" s="7">
        <f t="shared" si="7"/>
        <v>-0.22091383323987696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5268.48</v>
      </c>
      <c r="E22" s="2"/>
      <c r="F22" s="7">
        <f t="shared" si="0"/>
        <v>0</v>
      </c>
      <c r="G22" s="2"/>
      <c r="H22" s="6">
        <v>7522.35</v>
      </c>
      <c r="I22" s="2"/>
      <c r="J22" s="7">
        <f t="shared" si="1"/>
        <v>0</v>
      </c>
      <c r="K22" s="2"/>
      <c r="L22" s="6">
        <f t="shared" si="2"/>
        <v>-2253.8700000000008</v>
      </c>
      <c r="M22" s="2"/>
      <c r="N22" s="7">
        <f t="shared" si="3"/>
        <v>-0.2996231230931824</v>
      </c>
      <c r="O22" s="11"/>
      <c r="P22" s="6">
        <v>30975.779999999995</v>
      </c>
      <c r="Q22" s="2"/>
      <c r="R22" s="7">
        <f t="shared" si="4"/>
        <v>0</v>
      </c>
      <c r="S22" s="2"/>
      <c r="T22" s="6">
        <v>37560.620000000003</v>
      </c>
      <c r="U22" s="2"/>
      <c r="V22" s="7">
        <f t="shared" si="5"/>
        <v>0</v>
      </c>
      <c r="W22" s="2"/>
      <c r="X22" s="6">
        <f t="shared" si="6"/>
        <v>-6584.8400000000074</v>
      </c>
      <c r="Y22" s="2"/>
      <c r="Z22" s="7">
        <f t="shared" si="7"/>
        <v>-0.17531233509990002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95.89</v>
      </c>
      <c r="E23" s="2"/>
      <c r="F23" s="7">
        <f t="shared" si="0"/>
        <v>0</v>
      </c>
      <c r="G23" s="2"/>
      <c r="H23" s="6">
        <v>115.6</v>
      </c>
      <c r="I23" s="2"/>
      <c r="J23" s="7">
        <f t="shared" si="1"/>
        <v>0</v>
      </c>
      <c r="K23" s="2"/>
      <c r="L23" s="6">
        <f t="shared" si="2"/>
        <v>-19.709999999999994</v>
      </c>
      <c r="M23" s="2"/>
      <c r="N23" s="7">
        <f t="shared" si="3"/>
        <v>-0.17050173010380618</v>
      </c>
      <c r="O23" s="11"/>
      <c r="P23" s="6">
        <v>476.5</v>
      </c>
      <c r="Q23" s="2"/>
      <c r="R23" s="7">
        <f t="shared" si="4"/>
        <v>0</v>
      </c>
      <c r="S23" s="2"/>
      <c r="T23" s="6">
        <v>493.58</v>
      </c>
      <c r="U23" s="2"/>
      <c r="V23" s="7">
        <f t="shared" si="5"/>
        <v>0</v>
      </c>
      <c r="W23" s="2"/>
      <c r="X23" s="6">
        <f t="shared" si="6"/>
        <v>-17.079999999999984</v>
      </c>
      <c r="Y23" s="2"/>
      <c r="Z23" s="7">
        <f t="shared" si="7"/>
        <v>-3.4604319461890645E-2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1339.05</v>
      </c>
      <c r="E24" s="2"/>
      <c r="F24" s="7">
        <f t="shared" si="0"/>
        <v>0</v>
      </c>
      <c r="G24" s="2"/>
      <c r="H24" s="6">
        <v>1565.19</v>
      </c>
      <c r="I24" s="2"/>
      <c r="J24" s="7">
        <f t="shared" si="1"/>
        <v>0</v>
      </c>
      <c r="K24" s="2"/>
      <c r="L24" s="6">
        <f t="shared" si="2"/>
        <v>-226.1400000000001</v>
      </c>
      <c r="M24" s="2"/>
      <c r="N24" s="7">
        <f t="shared" si="3"/>
        <v>-0.14448086174841399</v>
      </c>
      <c r="O24" s="11"/>
      <c r="P24" s="6">
        <v>9775.06</v>
      </c>
      <c r="Q24" s="2"/>
      <c r="R24" s="7">
        <f t="shared" si="4"/>
        <v>0</v>
      </c>
      <c r="S24" s="2"/>
      <c r="T24" s="6">
        <v>11138.03</v>
      </c>
      <c r="U24" s="2"/>
      <c r="V24" s="7">
        <f t="shared" si="5"/>
        <v>0</v>
      </c>
      <c r="W24" s="2"/>
      <c r="X24" s="6">
        <f t="shared" si="6"/>
        <v>-1362.9700000000012</v>
      </c>
      <c r="Y24" s="2"/>
      <c r="Z24" s="7">
        <f t="shared" si="7"/>
        <v>-0.12237083218486583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>
        <v>134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134</v>
      </c>
      <c r="M25" s="2"/>
      <c r="N25" s="7">
        <f t="shared" si="3"/>
        <v>0</v>
      </c>
      <c r="O25" s="11"/>
      <c r="P25" s="6">
        <v>134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134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367.14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367.14</v>
      </c>
      <c r="M26" s="2"/>
      <c r="N26" s="7">
        <f t="shared" si="3"/>
        <v>0</v>
      </c>
      <c r="O26" s="11"/>
      <c r="P26" s="6">
        <v>2391.41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2391.41</v>
      </c>
      <c r="Y26" s="2"/>
      <c r="Z26" s="7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1408.62</v>
      </c>
      <c r="E27" s="2"/>
      <c r="F27" s="7">
        <f t="shared" si="0"/>
        <v>0</v>
      </c>
      <c r="G27" s="2"/>
      <c r="H27" s="6">
        <v>1603.3</v>
      </c>
      <c r="I27" s="2"/>
      <c r="J27" s="7">
        <f t="shared" si="1"/>
        <v>0</v>
      </c>
      <c r="K27" s="2"/>
      <c r="L27" s="6">
        <f t="shared" si="2"/>
        <v>-194.68000000000006</v>
      </c>
      <c r="M27" s="2"/>
      <c r="N27" s="7">
        <f t="shared" si="3"/>
        <v>-0.12142456184120257</v>
      </c>
      <c r="O27" s="11"/>
      <c r="P27" s="6">
        <v>10170.799999999999</v>
      </c>
      <c r="Q27" s="2"/>
      <c r="R27" s="7">
        <f t="shared" si="4"/>
        <v>0</v>
      </c>
      <c r="S27" s="2"/>
      <c r="T27" s="6">
        <v>13951.72</v>
      </c>
      <c r="U27" s="2"/>
      <c r="V27" s="7">
        <f t="shared" si="5"/>
        <v>0</v>
      </c>
      <c r="W27" s="2"/>
      <c r="X27" s="6">
        <f t="shared" si="6"/>
        <v>-3780.92</v>
      </c>
      <c r="Y27" s="2"/>
      <c r="Z27" s="7">
        <f t="shared" si="7"/>
        <v>-0.27100027810191146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941.7</v>
      </c>
      <c r="E28" s="2"/>
      <c r="F28" s="7">
        <f t="shared" si="0"/>
        <v>0</v>
      </c>
      <c r="G28" s="2"/>
      <c r="H28" s="6">
        <v>1196.6600000000001</v>
      </c>
      <c r="I28" s="2"/>
      <c r="J28" s="7">
        <f t="shared" si="1"/>
        <v>0</v>
      </c>
      <c r="K28" s="2"/>
      <c r="L28" s="6">
        <f t="shared" si="2"/>
        <v>-254.96000000000004</v>
      </c>
      <c r="M28" s="2"/>
      <c r="N28" s="7">
        <f t="shared" si="3"/>
        <v>-0.21305968278374812</v>
      </c>
      <c r="O28" s="11"/>
      <c r="P28" s="6">
        <v>6806.66</v>
      </c>
      <c r="Q28" s="2"/>
      <c r="R28" s="7">
        <f t="shared" si="4"/>
        <v>0</v>
      </c>
      <c r="S28" s="2"/>
      <c r="T28" s="6">
        <v>7642.74</v>
      </c>
      <c r="U28" s="2"/>
      <c r="V28" s="7">
        <f t="shared" si="5"/>
        <v>0</v>
      </c>
      <c r="W28" s="2"/>
      <c r="X28" s="6">
        <f t="shared" si="6"/>
        <v>-836.07999999999993</v>
      </c>
      <c r="Y28" s="2"/>
      <c r="Z28" s="7">
        <f t="shared" si="7"/>
        <v>-0.10939532157315308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698.86</v>
      </c>
      <c r="E29" s="2"/>
      <c r="F29" s="7">
        <f t="shared" si="0"/>
        <v>0</v>
      </c>
      <c r="G29" s="2"/>
      <c r="H29" s="6">
        <v>736.94</v>
      </c>
      <c r="I29" s="2"/>
      <c r="J29" s="7">
        <f t="shared" si="1"/>
        <v>0</v>
      </c>
      <c r="K29" s="2"/>
      <c r="L29" s="6">
        <f t="shared" si="2"/>
        <v>-38.080000000000041</v>
      </c>
      <c r="M29" s="2"/>
      <c r="N29" s="7">
        <f t="shared" si="3"/>
        <v>-5.1673134854940753E-2</v>
      </c>
      <c r="O29" s="11"/>
      <c r="P29" s="6">
        <v>3761.99</v>
      </c>
      <c r="Q29" s="2"/>
      <c r="R29" s="7">
        <f t="shared" si="4"/>
        <v>0</v>
      </c>
      <c r="S29" s="2"/>
      <c r="T29" s="6">
        <v>3632.65</v>
      </c>
      <c r="U29" s="2"/>
      <c r="V29" s="7">
        <f t="shared" si="5"/>
        <v>0</v>
      </c>
      <c r="W29" s="2"/>
      <c r="X29" s="6">
        <f t="shared" si="6"/>
        <v>129.33999999999969</v>
      </c>
      <c r="Y29" s="2"/>
      <c r="Z29" s="7">
        <f t="shared" si="7"/>
        <v>3.5604861464770814E-2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23163.16</v>
      </c>
      <c r="E30" s="1"/>
      <c r="F30" s="5">
        <f t="shared" ref="F30:F35" si="8">IF(D$12=0,0,D30/D$12)</f>
        <v>0</v>
      </c>
      <c r="G30" s="1"/>
      <c r="H30" s="1">
        <f>SUM(OSRRefH22_1x_0)</f>
        <v>29036.77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-5873.6100000000006</v>
      </c>
      <c r="M30" s="1"/>
      <c r="N30" s="5">
        <f t="shared" ref="N30:N35" si="11">IF(H30=0,0,L30/H30)</f>
        <v>-0.20228179649458258</v>
      </c>
      <c r="O30" s="13"/>
      <c r="P30" s="1">
        <f>SUM(OSRRefP22_1x_0)</f>
        <v>156153.51999999999</v>
      </c>
      <c r="Q30" s="1"/>
      <c r="R30" s="5">
        <f t="shared" ref="R30:R35" si="12">IF(P$12=0,0,P30/P$12)</f>
        <v>0</v>
      </c>
      <c r="S30" s="1"/>
      <c r="T30" s="1">
        <f>SUM(OSRRefT22_1x_0)</f>
        <v>152170.89000000001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3982.6299999999756</v>
      </c>
      <c r="Y30" s="1"/>
      <c r="Z30" s="5">
        <f t="shared" ref="Z30:Z35" si="15">IF(T30=0,0,X30/T30)</f>
        <v>2.6172088498660782E-2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12148.8</v>
      </c>
      <c r="E31" s="2"/>
      <c r="F31" s="7">
        <f t="shared" si="8"/>
        <v>0</v>
      </c>
      <c r="G31" s="2"/>
      <c r="H31" s="6">
        <v>17179.57</v>
      </c>
      <c r="I31" s="2"/>
      <c r="J31" s="7">
        <f t="shared" si="9"/>
        <v>0</v>
      </c>
      <c r="K31" s="2"/>
      <c r="L31" s="6">
        <f t="shared" si="10"/>
        <v>-5030.7700000000004</v>
      </c>
      <c r="M31" s="2"/>
      <c r="N31" s="7">
        <f t="shared" si="11"/>
        <v>-0.29283445394733398</v>
      </c>
      <c r="O31" s="11"/>
      <c r="P31" s="6">
        <v>74762.599999999991</v>
      </c>
      <c r="Q31" s="2"/>
      <c r="R31" s="7">
        <f t="shared" si="12"/>
        <v>0</v>
      </c>
      <c r="S31" s="2"/>
      <c r="T31" s="6">
        <v>82193.91</v>
      </c>
      <c r="U31" s="2"/>
      <c r="V31" s="7">
        <f t="shared" si="13"/>
        <v>0</v>
      </c>
      <c r="W31" s="2"/>
      <c r="X31" s="6">
        <f t="shared" si="14"/>
        <v>-7431.3100000000122</v>
      </c>
      <c r="Y31" s="2"/>
      <c r="Z31" s="7">
        <f t="shared" si="15"/>
        <v>-9.0411929545631931E-2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>
        <v>6799.61</v>
      </c>
      <c r="E32" s="2"/>
      <c r="F32" s="7">
        <f t="shared" si="8"/>
        <v>0</v>
      </c>
      <c r="G32" s="2"/>
      <c r="H32" s="6">
        <v>8607.94</v>
      </c>
      <c r="I32" s="2"/>
      <c r="J32" s="7">
        <f t="shared" si="9"/>
        <v>0</v>
      </c>
      <c r="K32" s="2"/>
      <c r="L32" s="6">
        <f t="shared" si="10"/>
        <v>-1808.3300000000008</v>
      </c>
      <c r="M32" s="2"/>
      <c r="N32" s="7">
        <f t="shared" si="11"/>
        <v>-0.21007697544360215</v>
      </c>
      <c r="O32" s="11"/>
      <c r="P32" s="6">
        <v>47153.66</v>
      </c>
      <c r="Q32" s="2"/>
      <c r="R32" s="7">
        <f t="shared" si="12"/>
        <v>0</v>
      </c>
      <c r="S32" s="2"/>
      <c r="T32" s="6">
        <v>42258.07</v>
      </c>
      <c r="U32" s="2"/>
      <c r="V32" s="7">
        <f t="shared" si="13"/>
        <v>0</v>
      </c>
      <c r="W32" s="2"/>
      <c r="X32" s="6">
        <f t="shared" si="14"/>
        <v>4895.5900000000038</v>
      </c>
      <c r="Y32" s="2"/>
      <c r="Z32" s="7">
        <f t="shared" si="15"/>
        <v>0.11584982466070987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>
        <v>2103.75</v>
      </c>
      <c r="E33" s="2"/>
      <c r="F33" s="7">
        <f t="shared" si="8"/>
        <v>0</v>
      </c>
      <c r="G33" s="2"/>
      <c r="H33" s="6">
        <v>2010.25</v>
      </c>
      <c r="I33" s="2"/>
      <c r="J33" s="7">
        <f t="shared" si="9"/>
        <v>0</v>
      </c>
      <c r="K33" s="2"/>
      <c r="L33" s="6">
        <f t="shared" si="10"/>
        <v>93.5</v>
      </c>
      <c r="M33" s="2"/>
      <c r="N33" s="7">
        <f t="shared" si="11"/>
        <v>4.6511627906976744E-2</v>
      </c>
      <c r="O33" s="11"/>
      <c r="P33" s="6">
        <v>15125.249999999998</v>
      </c>
      <c r="Q33" s="2"/>
      <c r="R33" s="7">
        <f t="shared" si="12"/>
        <v>0</v>
      </c>
      <c r="S33" s="2"/>
      <c r="T33" s="6">
        <v>13859.26</v>
      </c>
      <c r="U33" s="2"/>
      <c r="V33" s="7">
        <f t="shared" si="13"/>
        <v>0</v>
      </c>
      <c r="W33" s="2"/>
      <c r="X33" s="6">
        <f t="shared" si="14"/>
        <v>1265.989999999998</v>
      </c>
      <c r="Y33" s="2"/>
      <c r="Z33" s="7">
        <f t="shared" si="15"/>
        <v>9.1346146908276346E-2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2111</v>
      </c>
      <c r="E34" s="2"/>
      <c r="F34" s="7">
        <f t="shared" si="8"/>
        <v>0</v>
      </c>
      <c r="G34" s="2"/>
      <c r="H34" s="6">
        <v>1239.01</v>
      </c>
      <c r="I34" s="2"/>
      <c r="J34" s="7">
        <f t="shared" si="9"/>
        <v>0</v>
      </c>
      <c r="K34" s="2"/>
      <c r="L34" s="6">
        <f t="shared" si="10"/>
        <v>871.99</v>
      </c>
      <c r="M34" s="2"/>
      <c r="N34" s="7">
        <f t="shared" si="11"/>
        <v>0.70377963051145676</v>
      </c>
      <c r="O34" s="11"/>
      <c r="P34" s="6">
        <v>16592.009999999998</v>
      </c>
      <c r="Q34" s="2"/>
      <c r="R34" s="7">
        <f t="shared" si="12"/>
        <v>0</v>
      </c>
      <c r="S34" s="2"/>
      <c r="T34" s="6">
        <v>13859.65</v>
      </c>
      <c r="U34" s="2"/>
      <c r="V34" s="7">
        <f t="shared" si="13"/>
        <v>0</v>
      </c>
      <c r="W34" s="2"/>
      <c r="X34" s="6">
        <f t="shared" si="14"/>
        <v>2732.3599999999988</v>
      </c>
      <c r="Y34" s="2"/>
      <c r="Z34" s="7">
        <f t="shared" si="15"/>
        <v>0.19714494954778791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2520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2520</v>
      </c>
      <c r="Y35" s="2"/>
      <c r="Z35" s="7">
        <f t="shared" si="15"/>
        <v>0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0" si="16">IF(D$12=0,0,D36/D$12)</f>
        <v>0</v>
      </c>
      <c r="G36" s="1"/>
      <c r="H36" s="1">
        <f>SUM(OSRRefH22_2x_0)</f>
        <v>6</v>
      </c>
      <c r="I36" s="1"/>
      <c r="J36" s="5">
        <f t="shared" ref="J36:J40" si="17">IF(H$12=0,0,H36/H$12)</f>
        <v>0</v>
      </c>
      <c r="K36" s="1"/>
      <c r="L36" s="1">
        <f t="shared" ref="L36:L40" si="18">+D36-H36</f>
        <v>-6</v>
      </c>
      <c r="M36" s="1"/>
      <c r="N36" s="5">
        <f t="shared" ref="N36:N40" si="19">IF(H36=0,0,L36/H36)</f>
        <v>-1</v>
      </c>
      <c r="O36" s="13"/>
      <c r="P36" s="1">
        <f>SUM(OSRRefP22_2x_0)</f>
        <v>9.99</v>
      </c>
      <c r="Q36" s="1"/>
      <c r="R36" s="5">
        <f t="shared" ref="R36:R40" si="20">IF(P$12=0,0,P36/P$12)</f>
        <v>0</v>
      </c>
      <c r="S36" s="1"/>
      <c r="T36" s="1">
        <f>SUM(OSRRefT22_2x_0)</f>
        <v>12</v>
      </c>
      <c r="U36" s="1"/>
      <c r="V36" s="5">
        <f t="shared" ref="V36:V40" si="21">IF(T$12=0,0,T36/T$12)</f>
        <v>0</v>
      </c>
      <c r="W36" s="1"/>
      <c r="X36" s="1">
        <f t="shared" ref="X36:X40" si="22">+P36-T36</f>
        <v>-2.0099999999999998</v>
      </c>
      <c r="Y36" s="1"/>
      <c r="Z36" s="5">
        <f t="shared" ref="Z36:Z40" si="23">IF(T36=0,0,X36/T36)</f>
        <v>-0.16749999999999998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6</v>
      </c>
      <c r="I37" s="2"/>
      <c r="J37" s="7">
        <f t="shared" si="17"/>
        <v>0</v>
      </c>
      <c r="K37" s="2"/>
      <c r="L37" s="6">
        <f t="shared" si="18"/>
        <v>-6</v>
      </c>
      <c r="M37" s="2"/>
      <c r="N37" s="7">
        <f t="shared" si="19"/>
        <v>-1</v>
      </c>
      <c r="O37" s="11"/>
      <c r="P37" s="6">
        <v>9.99</v>
      </c>
      <c r="Q37" s="2"/>
      <c r="R37" s="7">
        <f t="shared" si="20"/>
        <v>0</v>
      </c>
      <c r="S37" s="2"/>
      <c r="T37" s="6">
        <v>12</v>
      </c>
      <c r="U37" s="2"/>
      <c r="V37" s="7">
        <f t="shared" si="21"/>
        <v>0</v>
      </c>
      <c r="W37" s="2"/>
      <c r="X37" s="6">
        <f t="shared" si="22"/>
        <v>-2.0099999999999998</v>
      </c>
      <c r="Y37" s="2"/>
      <c r="Z37" s="7">
        <f t="shared" si="23"/>
        <v>-0.16749999999999998</v>
      </c>
    </row>
    <row r="38" spans="1:26" s="27" customFormat="1" outlineLevel="1" collapsed="1" x14ac:dyDescent="0.25">
      <c r="A38" s="25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6175.97</v>
      </c>
      <c r="E38" s="1"/>
      <c r="F38" s="5">
        <f t="shared" si="16"/>
        <v>0</v>
      </c>
      <c r="G38" s="1"/>
      <c r="H38" s="1">
        <f>SUM(OSRRefH22_3x_0)</f>
        <v>7869.89</v>
      </c>
      <c r="I38" s="1"/>
      <c r="J38" s="5">
        <f t="shared" si="17"/>
        <v>0</v>
      </c>
      <c r="K38" s="1"/>
      <c r="L38" s="1">
        <f t="shared" si="18"/>
        <v>-1693.92</v>
      </c>
      <c r="M38" s="1"/>
      <c r="N38" s="5">
        <f t="shared" si="19"/>
        <v>-0.21524061962746621</v>
      </c>
      <c r="O38" s="13"/>
      <c r="P38" s="1">
        <f>SUM(OSRRefP22_3x_0)</f>
        <v>37055.82</v>
      </c>
      <c r="Q38" s="1"/>
      <c r="R38" s="5">
        <f t="shared" si="20"/>
        <v>0</v>
      </c>
      <c r="S38" s="1"/>
      <c r="T38" s="1">
        <f>SUM(OSRRefT22_3x_0)</f>
        <v>47219.340000000004</v>
      </c>
      <c r="U38" s="1"/>
      <c r="V38" s="5">
        <f t="shared" si="21"/>
        <v>0</v>
      </c>
      <c r="W38" s="1"/>
      <c r="X38" s="1">
        <f t="shared" si="22"/>
        <v>-10163.520000000004</v>
      </c>
      <c r="Y38" s="1"/>
      <c r="Z38" s="5">
        <f t="shared" si="23"/>
        <v>-0.21524061962746627</v>
      </c>
    </row>
    <row r="39" spans="1:26" s="24" customFormat="1" hidden="1" outlineLevel="2" x14ac:dyDescent="0.25">
      <c r="A39" s="26"/>
      <c r="B39" s="11" t="str">
        <f>CONCATENATE("          ", "6322", " - ", "EQUIPMENT DEPRECIATION EXPENSE")</f>
        <v xml:space="preserve">          6322 - EQUIPMENT DEPRECIATION EXPENSE</v>
      </c>
      <c r="C39" s="11"/>
      <c r="D39" s="6">
        <v>6175.97</v>
      </c>
      <c r="E39" s="2"/>
      <c r="F39" s="7">
        <f t="shared" si="16"/>
        <v>0</v>
      </c>
      <c r="G39" s="2"/>
      <c r="H39" s="6">
        <v>7547.85</v>
      </c>
      <c r="I39" s="2"/>
      <c r="J39" s="7">
        <f t="shared" si="17"/>
        <v>0</v>
      </c>
      <c r="K39" s="2"/>
      <c r="L39" s="6">
        <f t="shared" si="18"/>
        <v>-1371.88</v>
      </c>
      <c r="M39" s="2"/>
      <c r="N39" s="7">
        <f t="shared" si="19"/>
        <v>-0.18175771908556743</v>
      </c>
      <c r="O39" s="11"/>
      <c r="P39" s="6">
        <v>37055.82</v>
      </c>
      <c r="Q39" s="2"/>
      <c r="R39" s="7">
        <f t="shared" si="20"/>
        <v>0</v>
      </c>
      <c r="S39" s="2"/>
      <c r="T39" s="6">
        <v>45287.100000000006</v>
      </c>
      <c r="U39" s="2"/>
      <c r="V39" s="7">
        <f t="shared" si="21"/>
        <v>0</v>
      </c>
      <c r="W39" s="2"/>
      <c r="X39" s="6">
        <f t="shared" si="22"/>
        <v>-8231.2800000000061</v>
      </c>
      <c r="Y39" s="2"/>
      <c r="Z39" s="7">
        <f t="shared" si="23"/>
        <v>-0.18175771908556754</v>
      </c>
    </row>
    <row r="40" spans="1:26" s="24" customFormat="1" hidden="1" outlineLevel="2" x14ac:dyDescent="0.25">
      <c r="A40" s="26"/>
      <c r="B40" s="11" t="str">
        <f>CONCATENATE("          ", "6324", " - ", "FURNITURE + FIXT DEPRECIATION")</f>
        <v xml:space="preserve">          6324 - FURNITURE + FIXT DEPRECIATION</v>
      </c>
      <c r="C40" s="11"/>
      <c r="D40" s="6"/>
      <c r="E40" s="2"/>
      <c r="F40" s="7">
        <f t="shared" si="16"/>
        <v>0</v>
      </c>
      <c r="G40" s="2"/>
      <c r="H40" s="6">
        <v>322.04000000000002</v>
      </c>
      <c r="I40" s="2"/>
      <c r="J40" s="7">
        <f t="shared" si="17"/>
        <v>0</v>
      </c>
      <c r="K40" s="2"/>
      <c r="L40" s="6">
        <f t="shared" si="18"/>
        <v>-322.04000000000002</v>
      </c>
      <c r="M40" s="2"/>
      <c r="N40" s="7">
        <f t="shared" si="19"/>
        <v>-1</v>
      </c>
      <c r="O40" s="11"/>
      <c r="P40" s="6"/>
      <c r="Q40" s="2"/>
      <c r="R40" s="7">
        <f t="shared" si="20"/>
        <v>0</v>
      </c>
      <c r="S40" s="2"/>
      <c r="T40" s="6">
        <v>1932.24</v>
      </c>
      <c r="U40" s="2"/>
      <c r="V40" s="7">
        <f t="shared" si="21"/>
        <v>0</v>
      </c>
      <c r="W40" s="2"/>
      <c r="X40" s="6">
        <f t="shared" si="22"/>
        <v>-1932.24</v>
      </c>
      <c r="Y40" s="2"/>
      <c r="Z40" s="7">
        <f t="shared" si="23"/>
        <v>-1</v>
      </c>
    </row>
    <row r="41" spans="1:26" s="27" customFormat="1" outlineLevel="1" collapsed="1" x14ac:dyDescent="0.25">
      <c r="A41" s="25"/>
      <c r="B41" s="13" t="str">
        <f>CONCATENATE("     ","Employees' Appreciation                           ")</f>
        <v xml:space="preserve">     Employees' Appreciation                           </v>
      </c>
      <c r="C41" s="13"/>
      <c r="D41" s="1">
        <f>SUM(OSRRefD22_4x_0)</f>
        <v>0</v>
      </c>
      <c r="E41" s="1"/>
      <c r="F41" s="5">
        <f t="shared" ref="F41:F49" si="24">IF(D$12=0,0,D41/D$12)</f>
        <v>0</v>
      </c>
      <c r="G41" s="1"/>
      <c r="H41" s="1">
        <f>SUM(OSRRefH22_4x_0)</f>
        <v>0</v>
      </c>
      <c r="I41" s="1"/>
      <c r="J41" s="5">
        <f t="shared" ref="J41:J49" si="25">IF(H$12=0,0,H41/H$12)</f>
        <v>0</v>
      </c>
      <c r="K41" s="1"/>
      <c r="L41" s="1">
        <f t="shared" ref="L41:L49" si="26">+D41-H41</f>
        <v>0</v>
      </c>
      <c r="M41" s="1"/>
      <c r="N41" s="5">
        <f t="shared" ref="N41:N49" si="27">IF(H41=0,0,L41/H41)</f>
        <v>0</v>
      </c>
      <c r="O41" s="13"/>
      <c r="P41" s="1">
        <f>SUM(OSRRefP22_4x_0)</f>
        <v>0</v>
      </c>
      <c r="Q41" s="1"/>
      <c r="R41" s="5">
        <f t="shared" ref="R41:R49" si="28">IF(P$12=0,0,P41/P$12)</f>
        <v>0</v>
      </c>
      <c r="S41" s="1"/>
      <c r="T41" s="1">
        <f>SUM(OSRRefT22_4x_0)</f>
        <v>486.19</v>
      </c>
      <c r="U41" s="1"/>
      <c r="V41" s="5">
        <f t="shared" ref="V41:V49" si="29">IF(T$12=0,0,T41/T$12)</f>
        <v>0</v>
      </c>
      <c r="W41" s="1"/>
      <c r="X41" s="1">
        <f t="shared" ref="X41:X49" si="30">+P41-T41</f>
        <v>-486.19</v>
      </c>
      <c r="Y41" s="1"/>
      <c r="Z41" s="5">
        <f t="shared" ref="Z41:Z49" si="31">IF(T41=0,0,X41/T41)</f>
        <v>-1</v>
      </c>
    </row>
    <row r="42" spans="1:26" s="24" customFormat="1" hidden="1" outlineLevel="2" x14ac:dyDescent="0.25">
      <c r="A42" s="26"/>
      <c r="B42" s="11" t="str">
        <f>CONCATENATE("          ", "6277", " - ", "EMPLOYEE APPRECIATION")</f>
        <v xml:space="preserve">          6277 - EMPLOYEE APPRECIATION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/>
      <c r="Q42" s="2"/>
      <c r="R42" s="7">
        <f t="shared" si="28"/>
        <v>0</v>
      </c>
      <c r="S42" s="2"/>
      <c r="T42" s="6">
        <v>486.19</v>
      </c>
      <c r="U42" s="2"/>
      <c r="V42" s="7">
        <f t="shared" si="29"/>
        <v>0</v>
      </c>
      <c r="W42" s="2"/>
      <c r="X42" s="6">
        <f t="shared" si="30"/>
        <v>-486.19</v>
      </c>
      <c r="Y42" s="2"/>
      <c r="Z42" s="7">
        <f t="shared" si="31"/>
        <v>-1</v>
      </c>
    </row>
    <row r="43" spans="1:26" s="27" customFormat="1" outlineLevel="1" collapsed="1" x14ac:dyDescent="0.25">
      <c r="A43" s="25"/>
      <c r="B43" s="13" t="str">
        <f>CONCATENATE("     ","Insurance                                         ")</f>
        <v xml:space="preserve">     Insurance                                         </v>
      </c>
      <c r="C43" s="13"/>
      <c r="D43" s="1">
        <f>SUM(OSRRefD22_5x_0)</f>
        <v>56.34</v>
      </c>
      <c r="E43" s="1"/>
      <c r="F43" s="5">
        <f t="shared" si="24"/>
        <v>0</v>
      </c>
      <c r="G43" s="1"/>
      <c r="H43" s="1">
        <f>SUM(OSRRefH22_5x_0)</f>
        <v>53.08</v>
      </c>
      <c r="I43" s="1"/>
      <c r="J43" s="5">
        <f t="shared" si="25"/>
        <v>0</v>
      </c>
      <c r="K43" s="1"/>
      <c r="L43" s="1">
        <f t="shared" si="26"/>
        <v>3.2600000000000051</v>
      </c>
      <c r="M43" s="1"/>
      <c r="N43" s="5">
        <f t="shared" si="27"/>
        <v>6.1416729464958651E-2</v>
      </c>
      <c r="O43" s="13"/>
      <c r="P43" s="1">
        <f>SUM(OSRRefP22_5x_0)</f>
        <v>338.04</v>
      </c>
      <c r="Q43" s="1"/>
      <c r="R43" s="5">
        <f t="shared" si="28"/>
        <v>0</v>
      </c>
      <c r="S43" s="1"/>
      <c r="T43" s="1">
        <f>SUM(OSRRefT22_5x_0)</f>
        <v>318.48</v>
      </c>
      <c r="U43" s="1"/>
      <c r="V43" s="5">
        <f t="shared" si="29"/>
        <v>0</v>
      </c>
      <c r="W43" s="1"/>
      <c r="X43" s="1">
        <f t="shared" si="30"/>
        <v>19.560000000000002</v>
      </c>
      <c r="Y43" s="1"/>
      <c r="Z43" s="5">
        <f t="shared" si="31"/>
        <v>6.1416729464958554E-2</v>
      </c>
    </row>
    <row r="44" spans="1:26" s="24" customFormat="1" hidden="1" outlineLevel="2" x14ac:dyDescent="0.25">
      <c r="A44" s="26"/>
      <c r="B44" s="11" t="str">
        <f>CONCATENATE("          ", "6314", " - ", "LIABILITY INSURANCE")</f>
        <v xml:space="preserve">          6314 - LIABILITY INSURANCE</v>
      </c>
      <c r="C44" s="11"/>
      <c r="D44" s="6">
        <v>56.34</v>
      </c>
      <c r="E44" s="2"/>
      <c r="F44" s="7">
        <f t="shared" si="24"/>
        <v>0</v>
      </c>
      <c r="G44" s="2"/>
      <c r="H44" s="6">
        <v>53.08</v>
      </c>
      <c r="I44" s="2"/>
      <c r="J44" s="7">
        <f t="shared" si="25"/>
        <v>0</v>
      </c>
      <c r="K44" s="2"/>
      <c r="L44" s="6">
        <f t="shared" si="26"/>
        <v>3.2600000000000051</v>
      </c>
      <c r="M44" s="2"/>
      <c r="N44" s="7">
        <f t="shared" si="27"/>
        <v>6.1416729464958651E-2</v>
      </c>
      <c r="O44" s="11"/>
      <c r="P44" s="6">
        <v>338.04</v>
      </c>
      <c r="Q44" s="2"/>
      <c r="R44" s="7">
        <f t="shared" si="28"/>
        <v>0</v>
      </c>
      <c r="S44" s="2"/>
      <c r="T44" s="6">
        <v>318.48</v>
      </c>
      <c r="U44" s="2"/>
      <c r="V44" s="7">
        <f t="shared" si="29"/>
        <v>0</v>
      </c>
      <c r="W44" s="2"/>
      <c r="X44" s="6">
        <f t="shared" si="30"/>
        <v>19.560000000000002</v>
      </c>
      <c r="Y44" s="2"/>
      <c r="Z44" s="7">
        <f t="shared" si="31"/>
        <v>6.1416729464958554E-2</v>
      </c>
    </row>
    <row r="45" spans="1:26" s="27" customFormat="1" outlineLevel="1" collapsed="1" x14ac:dyDescent="0.25">
      <c r="A45" s="25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SUM(OSRRefD22_6x_0)</f>
        <v>9691.9900000000016</v>
      </c>
      <c r="E45" s="1"/>
      <c r="F45" s="5">
        <f t="shared" si="24"/>
        <v>0</v>
      </c>
      <c r="G45" s="1"/>
      <c r="H45" s="1">
        <f>SUM(OSRRefH22_6x_0)</f>
        <v>9031.82</v>
      </c>
      <c r="I45" s="1"/>
      <c r="J45" s="5">
        <f t="shared" si="25"/>
        <v>0</v>
      </c>
      <c r="K45" s="1"/>
      <c r="L45" s="1">
        <f t="shared" si="26"/>
        <v>660.17000000000189</v>
      </c>
      <c r="M45" s="1"/>
      <c r="N45" s="5">
        <f t="shared" si="27"/>
        <v>7.3093795049060092E-2</v>
      </c>
      <c r="O45" s="13"/>
      <c r="P45" s="1">
        <f>SUM(OSRRefP22_6x_0)</f>
        <v>57354.25</v>
      </c>
      <c r="Q45" s="1"/>
      <c r="R45" s="5">
        <f t="shared" si="28"/>
        <v>0</v>
      </c>
      <c r="S45" s="1"/>
      <c r="T45" s="1">
        <f>SUM(OSRRefT22_6x_0)</f>
        <v>53944.41</v>
      </c>
      <c r="U45" s="1"/>
      <c r="V45" s="5">
        <f t="shared" si="29"/>
        <v>0</v>
      </c>
      <c r="W45" s="1"/>
      <c r="X45" s="1">
        <f t="shared" si="30"/>
        <v>3409.8399999999965</v>
      </c>
      <c r="Y45" s="1"/>
      <c r="Z45" s="5">
        <f t="shared" si="31"/>
        <v>6.3210256632707559E-2</v>
      </c>
    </row>
    <row r="46" spans="1:26" s="24" customFormat="1" hidden="1" outlineLevel="2" x14ac:dyDescent="0.25">
      <c r="A46" s="26"/>
      <c r="B46" s="11" t="str">
        <f>CONCATENATE("          ", "6371", " - ", "COMPUTER SOFTWARE MAINTENANCE")</f>
        <v xml:space="preserve">          6371 - COMPUTER SOFTWARE MAINTENANCE</v>
      </c>
      <c r="C46" s="11"/>
      <c r="D46" s="6">
        <v>90.95</v>
      </c>
      <c r="E46" s="2"/>
      <c r="F46" s="7">
        <f t="shared" si="24"/>
        <v>0</v>
      </c>
      <c r="G46" s="2"/>
      <c r="H46" s="6">
        <v>150.9</v>
      </c>
      <c r="I46" s="2"/>
      <c r="J46" s="7">
        <f t="shared" si="25"/>
        <v>0</v>
      </c>
      <c r="K46" s="2"/>
      <c r="L46" s="6">
        <f t="shared" si="26"/>
        <v>-59.95</v>
      </c>
      <c r="M46" s="2"/>
      <c r="N46" s="7">
        <f t="shared" si="27"/>
        <v>-0.39728296885354542</v>
      </c>
      <c r="O46" s="11"/>
      <c r="P46" s="6">
        <v>545.70000000000005</v>
      </c>
      <c r="Q46" s="2"/>
      <c r="R46" s="7">
        <f t="shared" si="28"/>
        <v>0</v>
      </c>
      <c r="S46" s="2"/>
      <c r="T46" s="6">
        <v>1360.97</v>
      </c>
      <c r="U46" s="2"/>
      <c r="V46" s="7">
        <f t="shared" si="29"/>
        <v>0</v>
      </c>
      <c r="W46" s="2"/>
      <c r="X46" s="6">
        <f t="shared" si="30"/>
        <v>-815.27</v>
      </c>
      <c r="Y46" s="2"/>
      <c r="Z46" s="7">
        <f t="shared" si="31"/>
        <v>-0.59903598168953021</v>
      </c>
    </row>
    <row r="47" spans="1:26" s="24" customFormat="1" hidden="1" outlineLevel="2" x14ac:dyDescent="0.25">
      <c r="A47" s="26"/>
      <c r="B47" s="11" t="str">
        <f>CONCATENATE("          ", "6372", " - ", "COMPUTER HARDWARE MAINTENANCE")</f>
        <v xml:space="preserve">          6372 - COMPUTER HARDWARE MAINTENANCE</v>
      </c>
      <c r="C47" s="11"/>
      <c r="D47" s="6"/>
      <c r="E47" s="2"/>
      <c r="F47" s="7">
        <f t="shared" si="24"/>
        <v>0</v>
      </c>
      <c r="G47" s="2"/>
      <c r="H47" s="6">
        <v>321.92</v>
      </c>
      <c r="I47" s="2"/>
      <c r="J47" s="7">
        <f t="shared" si="25"/>
        <v>0</v>
      </c>
      <c r="K47" s="2"/>
      <c r="L47" s="6">
        <f t="shared" si="26"/>
        <v>-321.92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321.92</v>
      </c>
      <c r="U47" s="2"/>
      <c r="V47" s="7">
        <f t="shared" si="29"/>
        <v>0</v>
      </c>
      <c r="W47" s="2"/>
      <c r="X47" s="6">
        <f t="shared" si="30"/>
        <v>-321.92</v>
      </c>
      <c r="Y47" s="2"/>
      <c r="Z47" s="7">
        <f t="shared" si="31"/>
        <v>-1</v>
      </c>
    </row>
    <row r="48" spans="1:26" s="24" customFormat="1" hidden="1" outlineLevel="2" x14ac:dyDescent="0.25">
      <c r="A48" s="26"/>
      <c r="B48" s="11" t="str">
        <f>CONCATENATE("          ", "6373", " - ", "MAINTENANCE CONTRACTS")</f>
        <v xml:space="preserve">          6373 - MAINTENANCE CONTRACTS</v>
      </c>
      <c r="C48" s="11"/>
      <c r="D48" s="6">
        <v>9506</v>
      </c>
      <c r="E48" s="2"/>
      <c r="F48" s="7">
        <f t="shared" si="24"/>
        <v>0</v>
      </c>
      <c r="G48" s="2"/>
      <c r="H48" s="6">
        <v>8559</v>
      </c>
      <c r="I48" s="2"/>
      <c r="J48" s="7">
        <f t="shared" si="25"/>
        <v>0</v>
      </c>
      <c r="K48" s="2"/>
      <c r="L48" s="6">
        <f t="shared" si="26"/>
        <v>947</v>
      </c>
      <c r="M48" s="2"/>
      <c r="N48" s="7">
        <f t="shared" si="27"/>
        <v>0.11064376679518635</v>
      </c>
      <c r="O48" s="11"/>
      <c r="P48" s="6">
        <v>56650.15</v>
      </c>
      <c r="Q48" s="2"/>
      <c r="R48" s="7">
        <f t="shared" si="28"/>
        <v>0</v>
      </c>
      <c r="S48" s="2"/>
      <c r="T48" s="6">
        <v>51463.15</v>
      </c>
      <c r="U48" s="2"/>
      <c r="V48" s="7">
        <f t="shared" si="29"/>
        <v>0</v>
      </c>
      <c r="W48" s="2"/>
      <c r="X48" s="6">
        <f t="shared" si="30"/>
        <v>5187</v>
      </c>
      <c r="Y48" s="2"/>
      <c r="Z48" s="7">
        <f t="shared" si="31"/>
        <v>0.10079056567660549</v>
      </c>
    </row>
    <row r="49" spans="1:26" s="24" customFormat="1" hidden="1" outlineLevel="2" x14ac:dyDescent="0.25">
      <c r="A49" s="26"/>
      <c r="B49" s="11" t="str">
        <f>CONCATENATE("          ", "6375", " - ", "OUTSIDE REPAIRS &amp; MAINTENANCE")</f>
        <v xml:space="preserve">          6375 - OUTSIDE REPAIRS &amp; MAINTENANCE</v>
      </c>
      <c r="C49" s="11"/>
      <c r="D49" s="6">
        <v>95.04</v>
      </c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95.04</v>
      </c>
      <c r="M49" s="2"/>
      <c r="N49" s="7">
        <f t="shared" si="27"/>
        <v>0</v>
      </c>
      <c r="O49" s="11"/>
      <c r="P49" s="6">
        <v>158.4</v>
      </c>
      <c r="Q49" s="2"/>
      <c r="R49" s="7">
        <f t="shared" si="28"/>
        <v>0</v>
      </c>
      <c r="S49" s="2"/>
      <c r="T49" s="6">
        <v>798.37</v>
      </c>
      <c r="U49" s="2"/>
      <c r="V49" s="7">
        <f t="shared" si="29"/>
        <v>0</v>
      </c>
      <c r="W49" s="2"/>
      <c r="X49" s="6">
        <f t="shared" si="30"/>
        <v>-639.97</v>
      </c>
      <c r="Y49" s="2"/>
      <c r="Z49" s="7">
        <f t="shared" si="31"/>
        <v>-0.80159575134336214</v>
      </c>
    </row>
    <row r="50" spans="1:26" s="27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2278.9699999999998</v>
      </c>
      <c r="E50" s="1"/>
      <c r="F50" s="5">
        <f t="shared" ref="F50:F52" si="32">IF(D$12=0,0,D50/D$12)</f>
        <v>0</v>
      </c>
      <c r="G50" s="1"/>
      <c r="H50" s="1">
        <f>SUM(OSRRefH22_7x_0)</f>
        <v>3718.67</v>
      </c>
      <c r="I50" s="1"/>
      <c r="J50" s="5">
        <f t="shared" ref="J50:J52" si="33">IF(H$12=0,0,H50/H$12)</f>
        <v>0</v>
      </c>
      <c r="K50" s="1"/>
      <c r="L50" s="1">
        <f t="shared" ref="L50:L52" si="34">+D50-H50</f>
        <v>-1439.7000000000003</v>
      </c>
      <c r="M50" s="1"/>
      <c r="N50" s="5">
        <f t="shared" ref="N50:N52" si="35">IF(H50=0,0,L50/H50)</f>
        <v>-0.38715454719025894</v>
      </c>
      <c r="O50" s="13"/>
      <c r="P50" s="1">
        <f>SUM(OSRRefP22_7x_0)</f>
        <v>21031.64</v>
      </c>
      <c r="Q50" s="1"/>
      <c r="R50" s="5">
        <f t="shared" ref="R50:R52" si="36">IF(P$12=0,0,P50/P$12)</f>
        <v>0</v>
      </c>
      <c r="S50" s="1"/>
      <c r="T50" s="1">
        <f>SUM(OSRRefT22_7x_0)</f>
        <v>31489.47</v>
      </c>
      <c r="U50" s="1"/>
      <c r="V50" s="5">
        <f t="shared" ref="V50:V52" si="37">IF(T$12=0,0,T50/T$12)</f>
        <v>0</v>
      </c>
      <c r="W50" s="1"/>
      <c r="X50" s="1">
        <f t="shared" ref="X50:X52" si="38">+P50-T50</f>
        <v>-10457.830000000002</v>
      </c>
      <c r="Y50" s="1"/>
      <c r="Z50" s="5">
        <f t="shared" ref="Z50:Z52" si="39">IF(T50=0,0,X50/T50)</f>
        <v>-0.33210562133945098</v>
      </c>
    </row>
    <row r="51" spans="1:26" s="24" customFormat="1" hidden="1" outlineLevel="2" x14ac:dyDescent="0.25">
      <c r="A51" s="26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32"/>
        <v>0</v>
      </c>
      <c r="G51" s="2"/>
      <c r="H51" s="6"/>
      <c r="I51" s="2"/>
      <c r="J51" s="7">
        <f t="shared" si="33"/>
        <v>0</v>
      </c>
      <c r="K51" s="2"/>
      <c r="L51" s="6">
        <f t="shared" si="34"/>
        <v>0</v>
      </c>
      <c r="M51" s="2"/>
      <c r="N51" s="7">
        <f t="shared" si="35"/>
        <v>0</v>
      </c>
      <c r="O51" s="11"/>
      <c r="P51" s="6"/>
      <c r="Q51" s="2"/>
      <c r="R51" s="7">
        <f t="shared" si="36"/>
        <v>0</v>
      </c>
      <c r="S51" s="2"/>
      <c r="T51" s="6">
        <v>1245.83</v>
      </c>
      <c r="U51" s="2"/>
      <c r="V51" s="7">
        <f t="shared" si="37"/>
        <v>0</v>
      </c>
      <c r="W51" s="2"/>
      <c r="X51" s="6">
        <f t="shared" si="38"/>
        <v>-1245.83</v>
      </c>
      <c r="Y51" s="2"/>
      <c r="Z51" s="7">
        <f t="shared" si="39"/>
        <v>-1</v>
      </c>
    </row>
    <row r="52" spans="1:26" s="24" customFormat="1" hidden="1" outlineLevel="2" x14ac:dyDescent="0.25">
      <c r="A52" s="26"/>
      <c r="B52" s="11" t="str">
        <f>CONCATENATE("          ", "6241", " - ", "OFFICE EXPENSE")</f>
        <v xml:space="preserve">          6241 - OFFICE EXPENSE</v>
      </c>
      <c r="C52" s="11"/>
      <c r="D52" s="6">
        <v>2278.9699999999998</v>
      </c>
      <c r="E52" s="2"/>
      <c r="F52" s="7">
        <f t="shared" si="32"/>
        <v>0</v>
      </c>
      <c r="G52" s="2"/>
      <c r="H52" s="6">
        <v>3718.67</v>
      </c>
      <c r="I52" s="2"/>
      <c r="J52" s="7">
        <f t="shared" si="33"/>
        <v>0</v>
      </c>
      <c r="K52" s="2"/>
      <c r="L52" s="6">
        <f t="shared" si="34"/>
        <v>-1439.7000000000003</v>
      </c>
      <c r="M52" s="2"/>
      <c r="N52" s="7">
        <f t="shared" si="35"/>
        <v>-0.38715454719025894</v>
      </c>
      <c r="O52" s="11"/>
      <c r="P52" s="6">
        <v>21031.64</v>
      </c>
      <c r="Q52" s="2"/>
      <c r="R52" s="7">
        <f t="shared" si="36"/>
        <v>0</v>
      </c>
      <c r="S52" s="2"/>
      <c r="T52" s="6">
        <v>30243.64</v>
      </c>
      <c r="U52" s="2"/>
      <c r="V52" s="7">
        <f t="shared" si="37"/>
        <v>0</v>
      </c>
      <c r="W52" s="2"/>
      <c r="X52" s="6">
        <f t="shared" si="38"/>
        <v>-9212</v>
      </c>
      <c r="Y52" s="2"/>
      <c r="Z52" s="7">
        <f t="shared" si="39"/>
        <v>-0.30459296566154076</v>
      </c>
    </row>
    <row r="53" spans="1:26" s="27" customFormat="1" outlineLevel="1" collapsed="1" x14ac:dyDescent="0.25">
      <c r="A53" s="25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944.89</v>
      </c>
      <c r="E53" s="1"/>
      <c r="F53" s="5">
        <f t="shared" ref="F53:F55" si="40">IF(D$12=0,0,D53/D$12)</f>
        <v>0</v>
      </c>
      <c r="G53" s="1"/>
      <c r="H53" s="1">
        <f>SUM(OSRRefH22_8x_0)</f>
        <v>824.64</v>
      </c>
      <c r="I53" s="1"/>
      <c r="J53" s="5">
        <f t="shared" ref="J53:J55" si="41">IF(H$12=0,0,H53/H$12)</f>
        <v>0</v>
      </c>
      <c r="K53" s="1"/>
      <c r="L53" s="1">
        <f t="shared" ref="L53:L55" si="42">+D53-H53</f>
        <v>120.25</v>
      </c>
      <c r="M53" s="1"/>
      <c r="N53" s="5">
        <f t="shared" ref="N53:N55" si="43">IF(H53=0,0,L53/H53)</f>
        <v>0.14582120682964689</v>
      </c>
      <c r="O53" s="13"/>
      <c r="P53" s="1">
        <f>SUM(OSRRefP22_8x_0)</f>
        <v>8732.1200000000008</v>
      </c>
      <c r="Q53" s="1"/>
      <c r="R53" s="5">
        <f t="shared" ref="R53:R55" si="44">IF(P$12=0,0,P53/P$12)</f>
        <v>0</v>
      </c>
      <c r="S53" s="1"/>
      <c r="T53" s="1">
        <f>SUM(OSRRefT22_8x_0)</f>
        <v>6717.5</v>
      </c>
      <c r="U53" s="1"/>
      <c r="V53" s="5">
        <f t="shared" ref="V53:V55" si="45">IF(T$12=0,0,T53/T$12)</f>
        <v>0</v>
      </c>
      <c r="W53" s="1"/>
      <c r="X53" s="1">
        <f t="shared" ref="X53:X55" si="46">+P53-T53</f>
        <v>2014.6200000000008</v>
      </c>
      <c r="Y53" s="1"/>
      <c r="Z53" s="5">
        <f t="shared" ref="Z53:Z55" si="47">IF(T53=0,0,X53/T53)</f>
        <v>0.29990621510978799</v>
      </c>
    </row>
    <row r="54" spans="1:26" s="24" customFormat="1" hidden="1" outlineLevel="2" x14ac:dyDescent="0.25">
      <c r="A54" s="26"/>
      <c r="B54" s="11" t="str">
        <f>CONCATENATE("          ", "6303", " - ", "DATA PHONE LINES")</f>
        <v xml:space="preserve">          6303 - DATA PHONE LINES</v>
      </c>
      <c r="C54" s="11"/>
      <c r="D54" s="6">
        <v>143.97999999999999</v>
      </c>
      <c r="E54" s="2"/>
      <c r="F54" s="7">
        <f t="shared" si="40"/>
        <v>0</v>
      </c>
      <c r="G54" s="2"/>
      <c r="H54" s="6">
        <v>78.98</v>
      </c>
      <c r="I54" s="2"/>
      <c r="J54" s="7">
        <f t="shared" si="41"/>
        <v>0</v>
      </c>
      <c r="K54" s="2"/>
      <c r="L54" s="6">
        <f t="shared" si="42"/>
        <v>64.999999999999986</v>
      </c>
      <c r="M54" s="2"/>
      <c r="N54" s="7">
        <f t="shared" si="43"/>
        <v>0.82299316282603163</v>
      </c>
      <c r="O54" s="11"/>
      <c r="P54" s="6">
        <v>1026.07</v>
      </c>
      <c r="Q54" s="2"/>
      <c r="R54" s="7">
        <f t="shared" si="44"/>
        <v>0</v>
      </c>
      <c r="S54" s="2"/>
      <c r="T54" s="6">
        <v>948.69</v>
      </c>
      <c r="U54" s="2"/>
      <c r="V54" s="7">
        <f t="shared" si="45"/>
        <v>0</v>
      </c>
      <c r="W54" s="2"/>
      <c r="X54" s="6">
        <f t="shared" si="46"/>
        <v>77.379999999999882</v>
      </c>
      <c r="Y54" s="2"/>
      <c r="Z54" s="7">
        <f t="shared" si="47"/>
        <v>8.1565105566623317E-2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6">
        <v>800.91</v>
      </c>
      <c r="E55" s="2"/>
      <c r="F55" s="7">
        <f t="shared" si="40"/>
        <v>0</v>
      </c>
      <c r="G55" s="2"/>
      <c r="H55" s="6">
        <v>745.66</v>
      </c>
      <c r="I55" s="2"/>
      <c r="J55" s="7">
        <f t="shared" si="41"/>
        <v>0</v>
      </c>
      <c r="K55" s="2"/>
      <c r="L55" s="6">
        <f t="shared" si="42"/>
        <v>55.25</v>
      </c>
      <c r="M55" s="2"/>
      <c r="N55" s="7">
        <f t="shared" si="43"/>
        <v>7.4095432234530481E-2</v>
      </c>
      <c r="O55" s="11"/>
      <c r="P55" s="6">
        <v>7706.05</v>
      </c>
      <c r="Q55" s="2"/>
      <c r="R55" s="7">
        <f t="shared" si="44"/>
        <v>0</v>
      </c>
      <c r="S55" s="2"/>
      <c r="T55" s="6">
        <v>5768.81</v>
      </c>
      <c r="U55" s="2"/>
      <c r="V55" s="7">
        <f t="shared" si="45"/>
        <v>0</v>
      </c>
      <c r="W55" s="2"/>
      <c r="X55" s="6">
        <f t="shared" si="46"/>
        <v>1937.2399999999998</v>
      </c>
      <c r="Y55" s="2"/>
      <c r="Z55" s="7">
        <f t="shared" si="47"/>
        <v>0.33581275861052795</v>
      </c>
    </row>
    <row r="56" spans="1:26" s="27" customFormat="1" outlineLevel="1" collapsed="1" x14ac:dyDescent="0.25">
      <c r="A56" s="25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49</v>
      </c>
      <c r="E56" s="1"/>
      <c r="F56" s="5">
        <f t="shared" ref="F56:F60" si="48">IF(D$12=0,0,D56/D$12)</f>
        <v>0</v>
      </c>
      <c r="G56" s="1"/>
      <c r="H56" s="1">
        <f>SUM(OSRRefH22_9x_0)</f>
        <v>256</v>
      </c>
      <c r="I56" s="1"/>
      <c r="J56" s="5">
        <f t="shared" ref="J56:J60" si="49">IF(H$12=0,0,H56/H$12)</f>
        <v>0</v>
      </c>
      <c r="K56" s="1"/>
      <c r="L56" s="1">
        <f t="shared" ref="L56:L60" si="50">+D56-H56</f>
        <v>-207</v>
      </c>
      <c r="M56" s="1"/>
      <c r="N56" s="5">
        <f t="shared" ref="N56:N60" si="51">IF(H56=0,0,L56/H56)</f>
        <v>-0.80859375</v>
      </c>
      <c r="O56" s="13"/>
      <c r="P56" s="1">
        <f>SUM(OSRRefP22_9x_0)</f>
        <v>483.06</v>
      </c>
      <c r="Q56" s="1"/>
      <c r="R56" s="5">
        <f t="shared" ref="R56:R60" si="52">IF(P$12=0,0,P56/P$12)</f>
        <v>0</v>
      </c>
      <c r="S56" s="1"/>
      <c r="T56" s="1">
        <f>SUM(OSRRefT22_9x_0)</f>
        <v>5625.78</v>
      </c>
      <c r="U56" s="1"/>
      <c r="V56" s="5">
        <f t="shared" ref="V56:V60" si="53">IF(T$12=0,0,T56/T$12)</f>
        <v>0</v>
      </c>
      <c r="W56" s="1"/>
      <c r="X56" s="1">
        <f t="shared" ref="X56:X60" si="54">+P56-T56</f>
        <v>-5142.7199999999993</v>
      </c>
      <c r="Y56" s="1"/>
      <c r="Z56" s="5">
        <f t="shared" ref="Z56:Z60" si="55">IF(T56=0,0,X56/T56)</f>
        <v>-0.91413457333916359</v>
      </c>
    </row>
    <row r="57" spans="1:26" s="24" customFormat="1" hidden="1" outlineLevel="2" x14ac:dyDescent="0.25">
      <c r="A57" s="26"/>
      <c r="B57" s="11" t="str">
        <f>CONCATENATE("          ", "6376", " - ", "TRAINING")</f>
        <v xml:space="preserve">          6376 - TRAINING</v>
      </c>
      <c r="C57" s="11"/>
      <c r="D57" s="6">
        <v>49</v>
      </c>
      <c r="E57" s="2"/>
      <c r="F57" s="7">
        <f t="shared" si="48"/>
        <v>0</v>
      </c>
      <c r="G57" s="2"/>
      <c r="H57" s="6">
        <v>256</v>
      </c>
      <c r="I57" s="2"/>
      <c r="J57" s="7">
        <f t="shared" si="49"/>
        <v>0</v>
      </c>
      <c r="K57" s="2"/>
      <c r="L57" s="6">
        <f t="shared" si="50"/>
        <v>-207</v>
      </c>
      <c r="M57" s="2"/>
      <c r="N57" s="7">
        <f t="shared" si="51"/>
        <v>-0.80859375</v>
      </c>
      <c r="O57" s="11"/>
      <c r="P57" s="6">
        <v>483.06</v>
      </c>
      <c r="Q57" s="2"/>
      <c r="R57" s="7">
        <f t="shared" si="52"/>
        <v>0</v>
      </c>
      <c r="S57" s="2"/>
      <c r="T57" s="6">
        <v>5625.78</v>
      </c>
      <c r="U57" s="2"/>
      <c r="V57" s="7">
        <f t="shared" si="53"/>
        <v>0</v>
      </c>
      <c r="W57" s="2"/>
      <c r="X57" s="6">
        <f t="shared" si="54"/>
        <v>-5142.7199999999993</v>
      </c>
      <c r="Y57" s="2"/>
      <c r="Z57" s="7">
        <f t="shared" si="55"/>
        <v>-0.91413457333916359</v>
      </c>
    </row>
    <row r="58" spans="1:26" s="27" customFormat="1" outlineLevel="1" collapsed="1" x14ac:dyDescent="0.25">
      <c r="A58" s="25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0</v>
      </c>
      <c r="E58" s="1"/>
      <c r="F58" s="5">
        <f t="shared" si="48"/>
        <v>0</v>
      </c>
      <c r="G58" s="1"/>
      <c r="H58" s="1">
        <f>SUM(OSRRefH22_10x_0)</f>
        <v>0</v>
      </c>
      <c r="I58" s="1"/>
      <c r="J58" s="5">
        <f t="shared" si="49"/>
        <v>0</v>
      </c>
      <c r="K58" s="1"/>
      <c r="L58" s="1">
        <f t="shared" si="50"/>
        <v>0</v>
      </c>
      <c r="M58" s="1"/>
      <c r="N58" s="5">
        <f t="shared" si="51"/>
        <v>0</v>
      </c>
      <c r="O58" s="13"/>
      <c r="P58" s="1">
        <f>SUM(OSRRefP22_10x_0)</f>
        <v>1383.21</v>
      </c>
      <c r="Q58" s="1"/>
      <c r="R58" s="5">
        <f t="shared" si="52"/>
        <v>0</v>
      </c>
      <c r="S58" s="1"/>
      <c r="T58" s="1">
        <f>SUM(OSRRefT22_10x_0)</f>
        <v>154.78</v>
      </c>
      <c r="U58" s="1"/>
      <c r="V58" s="5">
        <f t="shared" si="53"/>
        <v>0</v>
      </c>
      <c r="W58" s="1"/>
      <c r="X58" s="1">
        <f t="shared" si="54"/>
        <v>1228.43</v>
      </c>
      <c r="Y58" s="1"/>
      <c r="Z58" s="5">
        <f t="shared" si="55"/>
        <v>7.9366197183098599</v>
      </c>
    </row>
    <row r="59" spans="1:26" s="24" customFormat="1" hidden="1" outlineLevel="2" x14ac:dyDescent="0.25">
      <c r="A59" s="26"/>
      <c r="B59" s="11" t="str">
        <f>CONCATENATE("          ", "6292", " - ", "TRAVEL/CONFERENCE")</f>
        <v xml:space="preserve">          6292 - TRAVEL/CONFERENCE</v>
      </c>
      <c r="C59" s="11"/>
      <c r="D59" s="6"/>
      <c r="E59" s="2"/>
      <c r="F59" s="7">
        <f t="shared" si="48"/>
        <v>0</v>
      </c>
      <c r="G59" s="2"/>
      <c r="H59" s="6"/>
      <c r="I59" s="2"/>
      <c r="J59" s="7">
        <f t="shared" si="49"/>
        <v>0</v>
      </c>
      <c r="K59" s="2"/>
      <c r="L59" s="6">
        <f t="shared" si="50"/>
        <v>0</v>
      </c>
      <c r="M59" s="2"/>
      <c r="N59" s="7">
        <f t="shared" si="51"/>
        <v>0</v>
      </c>
      <c r="O59" s="11"/>
      <c r="P59" s="6">
        <v>1359.31</v>
      </c>
      <c r="Q59" s="2"/>
      <c r="R59" s="7">
        <f t="shared" si="52"/>
        <v>0</v>
      </c>
      <c r="S59" s="2"/>
      <c r="T59" s="6">
        <v>154.78</v>
      </c>
      <c r="U59" s="2"/>
      <c r="V59" s="7">
        <f t="shared" si="53"/>
        <v>0</v>
      </c>
      <c r="W59" s="2"/>
      <c r="X59" s="6">
        <f t="shared" si="54"/>
        <v>1204.53</v>
      </c>
      <c r="Y59" s="2"/>
      <c r="Z59" s="7">
        <f t="shared" si="55"/>
        <v>7.7822070034888222</v>
      </c>
    </row>
    <row r="60" spans="1:26" s="24" customFormat="1" hidden="1" outlineLevel="2" x14ac:dyDescent="0.25">
      <c r="A60" s="26"/>
      <c r="B60" s="11" t="str">
        <f>CONCATENATE("          ", "6294", " - ", "TRAVEL OPERATIONAL")</f>
        <v xml:space="preserve">          6294 - TRAVEL OPERATIONAL</v>
      </c>
      <c r="C60" s="11"/>
      <c r="D60" s="6"/>
      <c r="E60" s="2"/>
      <c r="F60" s="7">
        <f t="shared" si="48"/>
        <v>0</v>
      </c>
      <c r="G60" s="2"/>
      <c r="H60" s="6"/>
      <c r="I60" s="2"/>
      <c r="J60" s="7">
        <f t="shared" si="49"/>
        <v>0</v>
      </c>
      <c r="K60" s="2"/>
      <c r="L60" s="6">
        <f t="shared" si="50"/>
        <v>0</v>
      </c>
      <c r="M60" s="2"/>
      <c r="N60" s="7">
        <f t="shared" si="51"/>
        <v>0</v>
      </c>
      <c r="O60" s="11"/>
      <c r="P60" s="6">
        <v>23.9</v>
      </c>
      <c r="Q60" s="2"/>
      <c r="R60" s="7">
        <f t="shared" si="52"/>
        <v>0</v>
      </c>
      <c r="S60" s="2"/>
      <c r="T60" s="6"/>
      <c r="U60" s="2"/>
      <c r="V60" s="7">
        <f t="shared" si="53"/>
        <v>0</v>
      </c>
      <c r="W60" s="2"/>
      <c r="X60" s="6">
        <f t="shared" si="54"/>
        <v>23.9</v>
      </c>
      <c r="Y60" s="2"/>
      <c r="Z60" s="7">
        <f t="shared" si="55"/>
        <v>0</v>
      </c>
    </row>
    <row r="61" spans="1:26" s="61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8" t="s">
        <v>0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9" t="s">
        <v>3</v>
      </c>
      <c r="C64" s="29"/>
      <c r="D64" s="20">
        <f>+D16-D18+D62</f>
        <v>-54493.08</v>
      </c>
      <c r="E64" s="14"/>
      <c r="F64" s="21">
        <f>IF(D$12=0,0,D64/D$12)</f>
        <v>0</v>
      </c>
      <c r="G64" s="14"/>
      <c r="H64" s="20">
        <f>+H16-H18+H62</f>
        <v>-65895.69</v>
      </c>
      <c r="I64" s="14"/>
      <c r="J64" s="21">
        <f>IF(H$12=0,0,H64/H$12)</f>
        <v>0</v>
      </c>
      <c r="K64" s="15"/>
      <c r="L64" s="20">
        <f>+D64-H64</f>
        <v>11402.61</v>
      </c>
      <c r="M64" s="15"/>
      <c r="N64" s="21">
        <f>IF(H64=0,0,L64/H64)</f>
        <v>-0.17304030051130811</v>
      </c>
      <c r="O64" s="28"/>
      <c r="P64" s="20">
        <f>+P16-P18+P62</f>
        <v>-360599.31000000006</v>
      </c>
      <c r="Q64" s="14"/>
      <c r="R64" s="21">
        <f>IF(P$12=0,0,P64/P$12)</f>
        <v>0</v>
      </c>
      <c r="S64" s="14"/>
      <c r="T64" s="20">
        <f>+T16-T18+T62</f>
        <v>-386578.28000000009</v>
      </c>
      <c r="U64" s="14"/>
      <c r="V64" s="21">
        <f>IF(T$12=0,0,T64/T$12)</f>
        <v>0</v>
      </c>
      <c r="W64" s="15"/>
      <c r="X64" s="20">
        <f>+P64-T64</f>
        <v>25978.97000000003</v>
      </c>
      <c r="Y64" s="15"/>
      <c r="Z64" s="21">
        <f>IF(T64=0,0,X64/T64)</f>
        <v>-6.7202352910256682E-2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/>
      <c r="E66" s="4"/>
      <c r="F66" s="12">
        <f>IF(D$12=0,0,D66/D$12)</f>
        <v>0</v>
      </c>
      <c r="G66" s="4"/>
      <c r="H66" s="4"/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/>
      <c r="Q66" s="4"/>
      <c r="R66" s="12">
        <f>IF(P$12=0,0,P66/P$12)</f>
        <v>0</v>
      </c>
      <c r="S66" s="4"/>
      <c r="T66" s="4"/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4</v>
      </c>
      <c r="C68" s="29"/>
      <c r="D68" s="32">
        <f>+D64-D66</f>
        <v>-54493.08</v>
      </c>
      <c r="E68" s="14"/>
      <c r="F68" s="30">
        <f>IF(D$12=0,0,D68/D$12)</f>
        <v>0</v>
      </c>
      <c r="G68" s="14"/>
      <c r="H68" s="32">
        <f>+H64-H66</f>
        <v>-65895.69</v>
      </c>
      <c r="I68" s="14"/>
      <c r="J68" s="30">
        <f>IF(H$12=0,0,H68/H$12)</f>
        <v>0</v>
      </c>
      <c r="K68" s="15"/>
      <c r="L68" s="32">
        <f>D68-H68</f>
        <v>11402.61</v>
      </c>
      <c r="M68" s="15"/>
      <c r="N68" s="30">
        <f>IF(H68=0,0,L68/H68)</f>
        <v>-0.17304030051130811</v>
      </c>
      <c r="O68" s="28"/>
      <c r="P68" s="32">
        <f>+P64-P66</f>
        <v>-360599.31000000006</v>
      </c>
      <c r="Q68" s="14"/>
      <c r="R68" s="30">
        <f>IF(P$12=0,0,P68/P$12)</f>
        <v>0</v>
      </c>
      <c r="S68" s="14"/>
      <c r="T68" s="32">
        <f>+T64-T66</f>
        <v>-386578.28000000009</v>
      </c>
      <c r="U68" s="14"/>
      <c r="V68" s="30">
        <f>IF(T$12=0,0,T68/T$12)</f>
        <v>0</v>
      </c>
      <c r="W68" s="15"/>
      <c r="X68" s="32">
        <f>P68-T68</f>
        <v>25978.97000000003</v>
      </c>
      <c r="Y68" s="15"/>
      <c r="Z68" s="30">
        <f>IF(T68=0,0,X68/T68)</f>
        <v>-6.7202352910256682E-2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5</v>
      </c>
      <c r="C71" s="29"/>
      <c r="D71" s="36">
        <f>SUM(D68:D70)</f>
        <v>-54493.08</v>
      </c>
      <c r="E71" s="14"/>
      <c r="F71" s="31">
        <f>IF(D$12=0,0,D71/D$12)</f>
        <v>0</v>
      </c>
      <c r="G71" s="14"/>
      <c r="H71" s="36">
        <f>SUM(H68:H70)</f>
        <v>-65895.69</v>
      </c>
      <c r="I71" s="14"/>
      <c r="J71" s="31">
        <f>IF(H$12=0,0,H71/H$12)</f>
        <v>0</v>
      </c>
      <c r="K71" s="15"/>
      <c r="L71" s="36">
        <f>+D71-H71</f>
        <v>11402.61</v>
      </c>
      <c r="M71" s="15"/>
      <c r="N71" s="31">
        <f>IF(H71=0,0,L71/H71)</f>
        <v>-0.17304030051130811</v>
      </c>
      <c r="O71" s="28"/>
      <c r="P71" s="36">
        <f>SUM(P68:P70)</f>
        <v>-360599.31000000006</v>
      </c>
      <c r="Q71" s="14"/>
      <c r="R71" s="31">
        <f>IF(P$12=0,0,P71/P$12)</f>
        <v>0</v>
      </c>
      <c r="S71" s="14"/>
      <c r="T71" s="36">
        <f>SUM(T68:T70)</f>
        <v>-386578.28000000009</v>
      </c>
      <c r="U71" s="14"/>
      <c r="V71" s="31">
        <f>IF(T$12=0,0,T71/T$12)</f>
        <v>0</v>
      </c>
      <c r="W71" s="15"/>
      <c r="X71" s="36">
        <f>+P71-T71</f>
        <v>25978.97000000003</v>
      </c>
      <c r="Y71" s="15"/>
      <c r="Z71" s="31">
        <f>IF(T71=0,0,X71/T71)</f>
        <v>-6.7202352910256682E-2</v>
      </c>
    </row>
    <row r="72" spans="1:26" ht="15.75" thickTop="1" x14ac:dyDescent="0.25">
      <c r="A72" s="9"/>
      <c r="C72" s="9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62">
        <v>43847.453508333332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6" t="s">
        <v>313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54"/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","205", " - ", "Maintenance")</f>
        <v>Department 205 - Maintenance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7290.1100000000006</v>
      </c>
      <c r="E18" s="22"/>
      <c r="F18" s="33">
        <f t="shared" ref="F18:F27" si="0">IF(D$12=0,0,D18/D$12)</f>
        <v>0</v>
      </c>
      <c r="G18" s="22"/>
      <c r="H18" s="22">
        <f>SUM(OSRRefH22x_0)</f>
        <v>9433.0800000000017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-2142.9700000000012</v>
      </c>
      <c r="M18" s="4"/>
      <c r="N18" s="33">
        <f t="shared" ref="N18:N27" si="3">IF(H18=0,0,L18/H18)</f>
        <v>-0.22717606550564617</v>
      </c>
      <c r="O18" s="10"/>
      <c r="P18" s="22">
        <f>SUM(OSRRefP22x_0)</f>
        <v>49882.68</v>
      </c>
      <c r="Q18" s="22"/>
      <c r="R18" s="33">
        <f t="shared" ref="R18:R27" si="4">IF(P$12=0,0,P18/P$12)</f>
        <v>0</v>
      </c>
      <c r="S18" s="22"/>
      <c r="T18" s="22">
        <f>SUM(OSRRefT22x_0)</f>
        <v>47171.539999999994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2711.1400000000067</v>
      </c>
      <c r="Y18" s="4"/>
      <c r="Z18" s="33">
        <f t="shared" ref="Z18:Z27" si="7">IF(T18=0,0,X18/T18)</f>
        <v>5.7474061690587316E-2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2554.9299999999998</v>
      </c>
      <c r="E19" s="1"/>
      <c r="F19" s="5">
        <f t="shared" si="0"/>
        <v>0</v>
      </c>
      <c r="G19" s="1"/>
      <c r="H19" s="1">
        <f>SUM(OSRRefH22_0x_0)</f>
        <v>2198.7200000000007</v>
      </c>
      <c r="I19" s="1"/>
      <c r="J19" s="5">
        <f t="shared" si="1"/>
        <v>0</v>
      </c>
      <c r="K19" s="1"/>
      <c r="L19" s="1">
        <f t="shared" si="2"/>
        <v>356.20999999999913</v>
      </c>
      <c r="M19" s="1"/>
      <c r="N19" s="5">
        <f t="shared" si="3"/>
        <v>0.16200789550283756</v>
      </c>
      <c r="O19" s="13"/>
      <c r="P19" s="1">
        <f>SUM(OSRRefP22_0x_0)</f>
        <v>16261.649999999998</v>
      </c>
      <c r="Q19" s="1"/>
      <c r="R19" s="5">
        <f t="shared" si="4"/>
        <v>0</v>
      </c>
      <c r="S19" s="1"/>
      <c r="T19" s="1">
        <f>SUM(OSRRefT22_0x_0)</f>
        <v>14982.37</v>
      </c>
      <c r="U19" s="1"/>
      <c r="V19" s="5">
        <f t="shared" si="5"/>
        <v>0</v>
      </c>
      <c r="W19" s="1"/>
      <c r="X19" s="1">
        <f t="shared" si="6"/>
        <v>1279.279999999997</v>
      </c>
      <c r="Y19" s="1"/>
      <c r="Z19" s="5">
        <f t="shared" si="7"/>
        <v>8.5385689980957413E-2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323.13</v>
      </c>
      <c r="E20" s="2"/>
      <c r="F20" s="7">
        <f t="shared" si="0"/>
        <v>0</v>
      </c>
      <c r="G20" s="2"/>
      <c r="H20" s="6">
        <v>302.49</v>
      </c>
      <c r="I20" s="2"/>
      <c r="J20" s="7">
        <f t="shared" si="1"/>
        <v>0</v>
      </c>
      <c r="K20" s="2"/>
      <c r="L20" s="6">
        <f t="shared" si="2"/>
        <v>20.639999999999986</v>
      </c>
      <c r="M20" s="2"/>
      <c r="N20" s="7">
        <f t="shared" si="3"/>
        <v>6.8233660616879854E-2</v>
      </c>
      <c r="O20" s="11"/>
      <c r="P20" s="6">
        <v>2123.8000000000002</v>
      </c>
      <c r="Q20" s="2"/>
      <c r="R20" s="7">
        <f t="shared" si="4"/>
        <v>0</v>
      </c>
      <c r="S20" s="2"/>
      <c r="T20" s="6">
        <v>1995.58</v>
      </c>
      <c r="U20" s="2"/>
      <c r="V20" s="7">
        <f t="shared" si="5"/>
        <v>0</v>
      </c>
      <c r="W20" s="2"/>
      <c r="X20" s="6">
        <f t="shared" si="6"/>
        <v>128.22000000000025</v>
      </c>
      <c r="Y20" s="2"/>
      <c r="Z20" s="7">
        <f t="shared" si="7"/>
        <v>6.4251996913178247E-2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426.76</v>
      </c>
      <c r="E21" s="2"/>
      <c r="F21" s="7">
        <f t="shared" si="0"/>
        <v>0</v>
      </c>
      <c r="G21" s="2"/>
      <c r="H21" s="6">
        <v>259.94</v>
      </c>
      <c r="I21" s="2"/>
      <c r="J21" s="7">
        <f t="shared" si="1"/>
        <v>0</v>
      </c>
      <c r="K21" s="2"/>
      <c r="L21" s="6">
        <f t="shared" si="2"/>
        <v>166.82</v>
      </c>
      <c r="M21" s="2"/>
      <c r="N21" s="7">
        <f t="shared" si="3"/>
        <v>0.64176348388089555</v>
      </c>
      <c r="O21" s="11"/>
      <c r="P21" s="6">
        <v>1520.82</v>
      </c>
      <c r="Q21" s="2"/>
      <c r="R21" s="7">
        <f t="shared" si="4"/>
        <v>0</v>
      </c>
      <c r="S21" s="2"/>
      <c r="T21" s="6">
        <v>1221.4000000000001</v>
      </c>
      <c r="U21" s="2"/>
      <c r="V21" s="7">
        <f t="shared" si="5"/>
        <v>0</v>
      </c>
      <c r="W21" s="2"/>
      <c r="X21" s="6">
        <f t="shared" si="6"/>
        <v>299.41999999999985</v>
      </c>
      <c r="Y21" s="2"/>
      <c r="Z21" s="7">
        <f t="shared" si="7"/>
        <v>0.24514491567054186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695.14</v>
      </c>
      <c r="E22" s="2"/>
      <c r="F22" s="7">
        <f t="shared" si="0"/>
        <v>0</v>
      </c>
      <c r="G22" s="2"/>
      <c r="H22" s="6">
        <v>695.14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4170.84</v>
      </c>
      <c r="Q22" s="2"/>
      <c r="R22" s="7">
        <f t="shared" si="4"/>
        <v>0</v>
      </c>
      <c r="S22" s="2"/>
      <c r="T22" s="6">
        <v>3744.41</v>
      </c>
      <c r="U22" s="2"/>
      <c r="V22" s="7">
        <f t="shared" si="5"/>
        <v>0</v>
      </c>
      <c r="W22" s="2"/>
      <c r="X22" s="6">
        <f t="shared" si="6"/>
        <v>426.43000000000029</v>
      </c>
      <c r="Y22" s="2"/>
      <c r="Z22" s="7">
        <f t="shared" si="7"/>
        <v>0.11388443039090279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16.39</v>
      </c>
      <c r="E23" s="2"/>
      <c r="F23" s="7">
        <f t="shared" si="0"/>
        <v>0</v>
      </c>
      <c r="G23" s="2"/>
      <c r="H23" s="6">
        <v>15.47</v>
      </c>
      <c r="I23" s="2"/>
      <c r="J23" s="7">
        <f t="shared" si="1"/>
        <v>0</v>
      </c>
      <c r="K23" s="2"/>
      <c r="L23" s="6">
        <f t="shared" si="2"/>
        <v>0.91999999999999993</v>
      </c>
      <c r="M23" s="2"/>
      <c r="N23" s="7">
        <f t="shared" si="3"/>
        <v>5.9469941822882989E-2</v>
      </c>
      <c r="O23" s="11"/>
      <c r="P23" s="6">
        <v>71.44</v>
      </c>
      <c r="Q23" s="2"/>
      <c r="R23" s="7">
        <f t="shared" si="4"/>
        <v>0</v>
      </c>
      <c r="S23" s="2"/>
      <c r="T23" s="6">
        <v>72.680000000000007</v>
      </c>
      <c r="U23" s="2"/>
      <c r="V23" s="7">
        <f t="shared" si="5"/>
        <v>0</v>
      </c>
      <c r="W23" s="2"/>
      <c r="X23" s="6">
        <f t="shared" si="6"/>
        <v>-1.2400000000000091</v>
      </c>
      <c r="Y23" s="2"/>
      <c r="Z23" s="7">
        <f t="shared" si="7"/>
        <v>-1.7061089708310526E-2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383.64</v>
      </c>
      <c r="I24" s="2"/>
      <c r="J24" s="7">
        <f t="shared" si="1"/>
        <v>0</v>
      </c>
      <c r="K24" s="2"/>
      <c r="L24" s="6">
        <f t="shared" si="2"/>
        <v>45.620000000000005</v>
      </c>
      <c r="M24" s="2"/>
      <c r="N24" s="7">
        <f t="shared" si="3"/>
        <v>0.11891356480033366</v>
      </c>
      <c r="O24" s="11"/>
      <c r="P24" s="6">
        <v>2575.56</v>
      </c>
      <c r="Q24" s="2"/>
      <c r="R24" s="7">
        <f t="shared" si="4"/>
        <v>0</v>
      </c>
      <c r="S24" s="2"/>
      <c r="T24" s="6">
        <v>2488.08</v>
      </c>
      <c r="U24" s="2"/>
      <c r="V24" s="7">
        <f t="shared" si="5"/>
        <v>0</v>
      </c>
      <c r="W24" s="2"/>
      <c r="X24" s="6">
        <f t="shared" si="6"/>
        <v>87.480000000000018</v>
      </c>
      <c r="Y24" s="2"/>
      <c r="Z24" s="7">
        <f t="shared" si="7"/>
        <v>3.5159641169094251E-2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387.96</v>
      </c>
      <c r="E25" s="2"/>
      <c r="F25" s="7">
        <f t="shared" si="0"/>
        <v>0</v>
      </c>
      <c r="G25" s="2"/>
      <c r="H25" s="6">
        <v>205.91</v>
      </c>
      <c r="I25" s="2"/>
      <c r="J25" s="7">
        <f t="shared" si="1"/>
        <v>0</v>
      </c>
      <c r="K25" s="2"/>
      <c r="L25" s="6">
        <f t="shared" si="2"/>
        <v>182.04999999999998</v>
      </c>
      <c r="M25" s="2"/>
      <c r="N25" s="7">
        <f t="shared" si="3"/>
        <v>0.88412413190228734</v>
      </c>
      <c r="O25" s="11"/>
      <c r="P25" s="6">
        <v>2836.97</v>
      </c>
      <c r="Q25" s="2"/>
      <c r="R25" s="7">
        <f t="shared" si="4"/>
        <v>0</v>
      </c>
      <c r="S25" s="2"/>
      <c r="T25" s="6">
        <v>2601.62</v>
      </c>
      <c r="U25" s="2"/>
      <c r="V25" s="7">
        <f t="shared" si="5"/>
        <v>0</v>
      </c>
      <c r="W25" s="2"/>
      <c r="X25" s="6">
        <f t="shared" si="6"/>
        <v>235.34999999999991</v>
      </c>
      <c r="Y25" s="2"/>
      <c r="Z25" s="7">
        <f t="shared" si="7"/>
        <v>9.0462865445376309E-2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193.72</v>
      </c>
      <c r="E26" s="2"/>
      <c r="F26" s="7">
        <f t="shared" si="0"/>
        <v>0</v>
      </c>
      <c r="G26" s="2"/>
      <c r="H26" s="6">
        <v>188.08</v>
      </c>
      <c r="I26" s="2"/>
      <c r="J26" s="7">
        <f t="shared" si="1"/>
        <v>0</v>
      </c>
      <c r="K26" s="2"/>
      <c r="L26" s="6">
        <f t="shared" si="2"/>
        <v>5.6399999999999864</v>
      </c>
      <c r="M26" s="2"/>
      <c r="N26" s="7">
        <f t="shared" si="3"/>
        <v>2.9987239472564792E-2</v>
      </c>
      <c r="O26" s="11"/>
      <c r="P26" s="6">
        <v>2104.2199999999998</v>
      </c>
      <c r="Q26" s="2"/>
      <c r="R26" s="7">
        <f t="shared" si="4"/>
        <v>0</v>
      </c>
      <c r="S26" s="2"/>
      <c r="T26" s="6">
        <v>2003.67</v>
      </c>
      <c r="U26" s="2"/>
      <c r="V26" s="7">
        <f t="shared" si="5"/>
        <v>0</v>
      </c>
      <c r="W26" s="2"/>
      <c r="X26" s="6">
        <f t="shared" si="6"/>
        <v>100.54999999999973</v>
      </c>
      <c r="Y26" s="2"/>
      <c r="Z26" s="7">
        <f t="shared" si="7"/>
        <v>5.0182914352163641E-2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82.57</v>
      </c>
      <c r="E27" s="2"/>
      <c r="F27" s="7">
        <f t="shared" si="0"/>
        <v>0</v>
      </c>
      <c r="G27" s="2"/>
      <c r="H27" s="6">
        <v>148.05000000000001</v>
      </c>
      <c r="I27" s="2"/>
      <c r="J27" s="7">
        <f t="shared" si="1"/>
        <v>0</v>
      </c>
      <c r="K27" s="2"/>
      <c r="L27" s="6">
        <f t="shared" si="2"/>
        <v>-65.480000000000018</v>
      </c>
      <c r="M27" s="2"/>
      <c r="N27" s="7">
        <f t="shared" si="3"/>
        <v>-0.44228301249577856</v>
      </c>
      <c r="O27" s="11"/>
      <c r="P27" s="6">
        <v>858</v>
      </c>
      <c r="Q27" s="2"/>
      <c r="R27" s="7">
        <f t="shared" si="4"/>
        <v>0</v>
      </c>
      <c r="S27" s="2"/>
      <c r="T27" s="6">
        <v>854.93</v>
      </c>
      <c r="U27" s="2"/>
      <c r="V27" s="7">
        <f t="shared" si="5"/>
        <v>0</v>
      </c>
      <c r="W27" s="2"/>
      <c r="X27" s="6">
        <f t="shared" si="6"/>
        <v>3.07000000000005</v>
      </c>
      <c r="Y27" s="2"/>
      <c r="Z27" s="7">
        <f t="shared" si="7"/>
        <v>3.5909372697180472E-3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3018.57</v>
      </c>
      <c r="E28" s="1"/>
      <c r="F28" s="5">
        <f t="shared" ref="F28:F36" si="8">IF(D$12=0,0,D28/D$12)</f>
        <v>0</v>
      </c>
      <c r="G28" s="1"/>
      <c r="H28" s="1">
        <f>SUM(OSRRefH22_1x_0)</f>
        <v>4077.42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-1058.8499999999999</v>
      </c>
      <c r="M28" s="1"/>
      <c r="N28" s="5">
        <f t="shared" ref="N28:N36" si="11">IF(H28=0,0,L28/H28)</f>
        <v>-0.25968627220153917</v>
      </c>
      <c r="O28" s="13"/>
      <c r="P28" s="1">
        <f>SUM(OSRRefP22_1x_0)</f>
        <v>24817.9</v>
      </c>
      <c r="Q28" s="1"/>
      <c r="R28" s="5">
        <f t="shared" ref="R28:R36" si="12">IF(P$12=0,0,P28/P$12)</f>
        <v>0</v>
      </c>
      <c r="S28" s="1"/>
      <c r="T28" s="1">
        <f>SUM(OSRRefT22_1x_0)</f>
        <v>24018.53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799.37000000000262</v>
      </c>
      <c r="Y28" s="1"/>
      <c r="Z28" s="5">
        <f t="shared" ref="Z28:Z36" si="15">IF(T28=0,0,X28/T28)</f>
        <v>3.3281387328866617E-2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3018.57</v>
      </c>
      <c r="E29" s="2"/>
      <c r="F29" s="7">
        <f t="shared" si="8"/>
        <v>0</v>
      </c>
      <c r="G29" s="2"/>
      <c r="H29" s="6">
        <v>4077.42</v>
      </c>
      <c r="I29" s="2"/>
      <c r="J29" s="7">
        <f t="shared" si="9"/>
        <v>0</v>
      </c>
      <c r="K29" s="2"/>
      <c r="L29" s="6">
        <f t="shared" si="10"/>
        <v>-1058.8499999999999</v>
      </c>
      <c r="M29" s="2"/>
      <c r="N29" s="7">
        <f t="shared" si="11"/>
        <v>-0.25968627220153917</v>
      </c>
      <c r="O29" s="11"/>
      <c r="P29" s="6">
        <v>24817.9</v>
      </c>
      <c r="Q29" s="2"/>
      <c r="R29" s="7">
        <f t="shared" si="12"/>
        <v>0</v>
      </c>
      <c r="S29" s="2"/>
      <c r="T29" s="6">
        <v>24018.53</v>
      </c>
      <c r="U29" s="2"/>
      <c r="V29" s="7">
        <f t="shared" si="13"/>
        <v>0</v>
      </c>
      <c r="W29" s="2"/>
      <c r="X29" s="6">
        <f t="shared" si="14"/>
        <v>799.37000000000262</v>
      </c>
      <c r="Y29" s="2"/>
      <c r="Z29" s="7">
        <f t="shared" si="15"/>
        <v>3.3281387328866617E-2</v>
      </c>
    </row>
    <row r="30" spans="1:26" s="27" customFormat="1" outlineLevel="1" collapsed="1" x14ac:dyDescent="0.25">
      <c r="A30" s="25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-109.13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-109.13</v>
      </c>
      <c r="M30" s="1"/>
      <c r="N30" s="5">
        <f t="shared" si="11"/>
        <v>0</v>
      </c>
      <c r="O30" s="13"/>
      <c r="P30" s="1">
        <f>SUM(OSRRefP22_2x_0)</f>
        <v>-618.78</v>
      </c>
      <c r="Q30" s="1"/>
      <c r="R30" s="5">
        <f t="shared" si="12"/>
        <v>0</v>
      </c>
      <c r="S30" s="1"/>
      <c r="T30" s="1">
        <f>SUM(OSRRefT22_2x_0)</f>
        <v>-1685.3</v>
      </c>
      <c r="U30" s="1"/>
      <c r="V30" s="5">
        <f t="shared" si="13"/>
        <v>0</v>
      </c>
      <c r="W30" s="1"/>
      <c r="X30" s="1">
        <f t="shared" si="14"/>
        <v>1066.52</v>
      </c>
      <c r="Y30" s="1"/>
      <c r="Z30" s="5">
        <f t="shared" si="15"/>
        <v>-0.63283688364089485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>
        <v>-109.13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-109.13</v>
      </c>
      <c r="M31" s="2"/>
      <c r="N31" s="7">
        <f t="shared" si="11"/>
        <v>0</v>
      </c>
      <c r="O31" s="11"/>
      <c r="P31" s="6">
        <v>-618.78</v>
      </c>
      <c r="Q31" s="2"/>
      <c r="R31" s="7">
        <f t="shared" si="12"/>
        <v>0</v>
      </c>
      <c r="S31" s="2"/>
      <c r="T31" s="6">
        <v>-1685.3</v>
      </c>
      <c r="U31" s="2"/>
      <c r="V31" s="7">
        <f t="shared" si="13"/>
        <v>0</v>
      </c>
      <c r="W31" s="2"/>
      <c r="X31" s="6">
        <f t="shared" si="14"/>
        <v>1066.52</v>
      </c>
      <c r="Y31" s="2"/>
      <c r="Z31" s="7">
        <f t="shared" si="15"/>
        <v>-0.63283688364089485</v>
      </c>
    </row>
    <row r="32" spans="1:26" s="27" customFormat="1" outlineLevel="1" collapsed="1" x14ac:dyDescent="0.25">
      <c r="A32" s="25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3"/>
      <c r="P32" s="1">
        <f>SUM(OSRRefP22_3x_0)</f>
        <v>147.36000000000001</v>
      </c>
      <c r="Q32" s="1"/>
      <c r="R32" s="5">
        <f t="shared" si="12"/>
        <v>0</v>
      </c>
      <c r="S32" s="1"/>
      <c r="T32" s="1">
        <f>SUM(OSRRefT22_3x_0)</f>
        <v>138.84</v>
      </c>
      <c r="U32" s="1"/>
      <c r="V32" s="5">
        <f t="shared" si="13"/>
        <v>0</v>
      </c>
      <c r="W32" s="1"/>
      <c r="X32" s="1">
        <f t="shared" si="14"/>
        <v>8.5200000000000102</v>
      </c>
      <c r="Y32" s="1"/>
      <c r="Z32" s="5">
        <f t="shared" si="15"/>
        <v>6.1365600691443457E-2</v>
      </c>
    </row>
    <row r="33" spans="1:26" s="24" customFormat="1" hidden="1" outlineLevel="2" x14ac:dyDescent="0.25">
      <c r="A33" s="26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23.14</v>
      </c>
      <c r="I33" s="2"/>
      <c r="J33" s="7">
        <f t="shared" si="9"/>
        <v>0</v>
      </c>
      <c r="K33" s="2"/>
      <c r="L33" s="6">
        <f t="shared" si="10"/>
        <v>1.4199999999999982</v>
      </c>
      <c r="M33" s="2"/>
      <c r="N33" s="7">
        <f t="shared" si="11"/>
        <v>6.1365600691443305E-2</v>
      </c>
      <c r="O33" s="11"/>
      <c r="P33" s="6">
        <v>147.36000000000001</v>
      </c>
      <c r="Q33" s="2"/>
      <c r="R33" s="7">
        <f t="shared" si="12"/>
        <v>0</v>
      </c>
      <c r="S33" s="2"/>
      <c r="T33" s="6">
        <v>138.84</v>
      </c>
      <c r="U33" s="2"/>
      <c r="V33" s="7">
        <f t="shared" si="13"/>
        <v>0</v>
      </c>
      <c r="W33" s="2"/>
      <c r="X33" s="6">
        <f t="shared" si="14"/>
        <v>8.5200000000000102</v>
      </c>
      <c r="Y33" s="2"/>
      <c r="Z33" s="7">
        <f t="shared" si="15"/>
        <v>6.1365600691443457E-2</v>
      </c>
    </row>
    <row r="34" spans="1:26" s="27" customFormat="1" outlineLevel="1" collapsed="1" x14ac:dyDescent="0.25">
      <c r="A34" s="25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1405.95</v>
      </c>
      <c r="E34" s="1"/>
      <c r="F34" s="5">
        <f t="shared" si="8"/>
        <v>0</v>
      </c>
      <c r="G34" s="1"/>
      <c r="H34" s="1">
        <f>SUM(OSRRefH22_4x_0)</f>
        <v>2903.35</v>
      </c>
      <c r="I34" s="1"/>
      <c r="J34" s="5">
        <f t="shared" si="9"/>
        <v>0</v>
      </c>
      <c r="K34" s="1"/>
      <c r="L34" s="1">
        <f t="shared" si="10"/>
        <v>-1497.3999999999999</v>
      </c>
      <c r="M34" s="1"/>
      <c r="N34" s="5">
        <f t="shared" si="11"/>
        <v>-0.51574904851292469</v>
      </c>
      <c r="O34" s="13"/>
      <c r="P34" s="1">
        <f>SUM(OSRRefP22_4x_0)</f>
        <v>7524.86</v>
      </c>
      <c r="Q34" s="1"/>
      <c r="R34" s="5">
        <f t="shared" si="12"/>
        <v>0</v>
      </c>
      <c r="S34" s="1"/>
      <c r="T34" s="1">
        <f>SUM(OSRRefT22_4x_0)</f>
        <v>8288.4599999999991</v>
      </c>
      <c r="U34" s="1"/>
      <c r="V34" s="5">
        <f t="shared" si="13"/>
        <v>0</v>
      </c>
      <c r="W34" s="1"/>
      <c r="X34" s="1">
        <f t="shared" si="14"/>
        <v>-763.59999999999945</v>
      </c>
      <c r="Y34" s="1"/>
      <c r="Z34" s="5">
        <f t="shared" si="15"/>
        <v>-9.2128091346281402E-2</v>
      </c>
    </row>
    <row r="35" spans="1:26" s="24" customFormat="1" hidden="1" outlineLevel="2" x14ac:dyDescent="0.25">
      <c r="A35" s="26"/>
      <c r="B35" s="11" t="str">
        <f>CONCATENATE("          ", "6373", " - ", "MAINTENANCE CONTRACTS")</f>
        <v xml:space="preserve">          6373 - MAINTENANCE CONTRACTS</v>
      </c>
      <c r="C35" s="11"/>
      <c r="D35" s="6">
        <v>1405.95</v>
      </c>
      <c r="E35" s="2"/>
      <c r="F35" s="7">
        <f t="shared" si="8"/>
        <v>0</v>
      </c>
      <c r="G35" s="2"/>
      <c r="H35" s="6">
        <v>2678</v>
      </c>
      <c r="I35" s="2"/>
      <c r="J35" s="7">
        <f t="shared" si="9"/>
        <v>0</v>
      </c>
      <c r="K35" s="2"/>
      <c r="L35" s="6">
        <f t="shared" si="10"/>
        <v>-1272.05</v>
      </c>
      <c r="M35" s="2"/>
      <c r="N35" s="7">
        <f t="shared" si="11"/>
        <v>-0.47499999999999998</v>
      </c>
      <c r="O35" s="11"/>
      <c r="P35" s="6">
        <v>7029.75</v>
      </c>
      <c r="Q35" s="2"/>
      <c r="R35" s="7">
        <f t="shared" si="12"/>
        <v>0</v>
      </c>
      <c r="S35" s="2"/>
      <c r="T35" s="6">
        <v>8034</v>
      </c>
      <c r="U35" s="2"/>
      <c r="V35" s="7">
        <f t="shared" si="13"/>
        <v>0</v>
      </c>
      <c r="W35" s="2"/>
      <c r="X35" s="6">
        <f t="shared" si="14"/>
        <v>-1004.25</v>
      </c>
      <c r="Y35" s="2"/>
      <c r="Z35" s="7">
        <f t="shared" si="15"/>
        <v>-0.125</v>
      </c>
    </row>
    <row r="36" spans="1:26" s="24" customFormat="1" hidden="1" outlineLevel="2" x14ac:dyDescent="0.25">
      <c r="A36" s="26"/>
      <c r="B36" s="11" t="str">
        <f>CONCATENATE("          ", "6375", " - ", "OUTSIDE REPAIRS &amp; MAINTENANCE")</f>
        <v xml:space="preserve">          6375 - OUTSIDE REPAIRS &amp; MAINTENANCE</v>
      </c>
      <c r="C36" s="11"/>
      <c r="D36" s="6"/>
      <c r="E36" s="2"/>
      <c r="F36" s="7">
        <f t="shared" si="8"/>
        <v>0</v>
      </c>
      <c r="G36" s="2"/>
      <c r="H36" s="6">
        <v>225.35</v>
      </c>
      <c r="I36" s="2"/>
      <c r="J36" s="7">
        <f t="shared" si="9"/>
        <v>0</v>
      </c>
      <c r="K36" s="2"/>
      <c r="L36" s="6">
        <f t="shared" si="10"/>
        <v>-225.35</v>
      </c>
      <c r="M36" s="2"/>
      <c r="N36" s="7">
        <f t="shared" si="11"/>
        <v>-1</v>
      </c>
      <c r="O36" s="11"/>
      <c r="P36" s="6">
        <v>495.11</v>
      </c>
      <c r="Q36" s="2"/>
      <c r="R36" s="7">
        <f t="shared" si="12"/>
        <v>0</v>
      </c>
      <c r="S36" s="2"/>
      <c r="T36" s="6">
        <v>254.46</v>
      </c>
      <c r="U36" s="2"/>
      <c r="V36" s="7">
        <f t="shared" si="13"/>
        <v>0</v>
      </c>
      <c r="W36" s="2"/>
      <c r="X36" s="6">
        <f t="shared" si="14"/>
        <v>240.65</v>
      </c>
      <c r="Y36" s="2"/>
      <c r="Z36" s="7">
        <f t="shared" si="15"/>
        <v>0.94572820875579655</v>
      </c>
    </row>
    <row r="37" spans="1:26" s="27" customFormat="1" outlineLevel="1" collapsed="1" x14ac:dyDescent="0.25">
      <c r="A37" s="25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8.84</v>
      </c>
      <c r="E37" s="1"/>
      <c r="F37" s="5">
        <f t="shared" ref="F37:F41" si="16">IF(D$12=0,0,D37/D$12)</f>
        <v>0</v>
      </c>
      <c r="G37" s="1"/>
      <c r="H37" s="1">
        <f>SUM(OSRRefH22_5x_0)</f>
        <v>7.08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1.7599999999999998</v>
      </c>
      <c r="M37" s="1"/>
      <c r="N37" s="5">
        <f t="shared" ref="N37:N41" si="19">IF(H37=0,0,L37/H37)</f>
        <v>0.24858757062146888</v>
      </c>
      <c r="O37" s="13"/>
      <c r="P37" s="1">
        <f>SUM(OSRRefP22_5x_0)</f>
        <v>48.62</v>
      </c>
      <c r="Q37" s="1"/>
      <c r="R37" s="5">
        <f t="shared" ref="R37:R41" si="20">IF(P$12=0,0,P37/P$12)</f>
        <v>0</v>
      </c>
      <c r="S37" s="1"/>
      <c r="T37" s="1">
        <f>SUM(OSRRefT22_5x_0)</f>
        <v>46.02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2.5999999999999943</v>
      </c>
      <c r="Y37" s="1"/>
      <c r="Z37" s="5">
        <f t="shared" ref="Z37:Z41" si="23">IF(T37=0,0,X37/T37)</f>
        <v>5.6497175141242813E-2</v>
      </c>
    </row>
    <row r="38" spans="1:26" s="24" customFormat="1" hidden="1" outlineLevel="2" x14ac:dyDescent="0.25">
      <c r="A38" s="26"/>
      <c r="B38" s="11" t="str">
        <f>CONCATENATE("          ", "6286", " - ", "LAUNDRY EXPENSE")</f>
        <v xml:space="preserve">          6286 - LAUNDRY EXPENSE</v>
      </c>
      <c r="C38" s="11"/>
      <c r="D38" s="6">
        <v>8.84</v>
      </c>
      <c r="E38" s="2"/>
      <c r="F38" s="7">
        <f t="shared" si="16"/>
        <v>0</v>
      </c>
      <c r="G38" s="2"/>
      <c r="H38" s="6">
        <v>7.08</v>
      </c>
      <c r="I38" s="2"/>
      <c r="J38" s="7">
        <f t="shared" si="17"/>
        <v>0</v>
      </c>
      <c r="K38" s="2"/>
      <c r="L38" s="6">
        <f t="shared" si="18"/>
        <v>1.7599999999999998</v>
      </c>
      <c r="M38" s="2"/>
      <c r="N38" s="7">
        <f t="shared" si="19"/>
        <v>0.24858757062146888</v>
      </c>
      <c r="O38" s="11"/>
      <c r="P38" s="6">
        <v>48.62</v>
      </c>
      <c r="Q38" s="2"/>
      <c r="R38" s="7">
        <f t="shared" si="20"/>
        <v>0</v>
      </c>
      <c r="S38" s="2"/>
      <c r="T38" s="6">
        <v>46.02</v>
      </c>
      <c r="U38" s="2"/>
      <c r="V38" s="7">
        <f t="shared" si="21"/>
        <v>0</v>
      </c>
      <c r="W38" s="2"/>
      <c r="X38" s="6">
        <f t="shared" si="22"/>
        <v>2.5999999999999943</v>
      </c>
      <c r="Y38" s="2"/>
      <c r="Z38" s="7">
        <f t="shared" si="23"/>
        <v>5.6497175141242813E-2</v>
      </c>
    </row>
    <row r="39" spans="1:26" s="27" customFormat="1" outlineLevel="1" collapsed="1" x14ac:dyDescent="0.25">
      <c r="A39" s="25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313.08999999999997</v>
      </c>
      <c r="E39" s="1"/>
      <c r="F39" s="5">
        <f t="shared" si="16"/>
        <v>0</v>
      </c>
      <c r="G39" s="1"/>
      <c r="H39" s="1">
        <f>SUM(OSRRefH22_6x_0)</f>
        <v>166.64</v>
      </c>
      <c r="I39" s="1"/>
      <c r="J39" s="5">
        <f t="shared" si="17"/>
        <v>0</v>
      </c>
      <c r="K39" s="1"/>
      <c r="L39" s="1">
        <f t="shared" si="18"/>
        <v>146.44999999999999</v>
      </c>
      <c r="M39" s="1"/>
      <c r="N39" s="5">
        <f t="shared" si="19"/>
        <v>0.87884061449831974</v>
      </c>
      <c r="O39" s="13"/>
      <c r="P39" s="1">
        <f>SUM(OSRRefP22_6x_0)</f>
        <v>1058.01</v>
      </c>
      <c r="Q39" s="1"/>
      <c r="R39" s="5">
        <f t="shared" si="20"/>
        <v>0</v>
      </c>
      <c r="S39" s="1"/>
      <c r="T39" s="1">
        <f>SUM(OSRRefT22_6x_0)</f>
        <v>983.53</v>
      </c>
      <c r="U39" s="1"/>
      <c r="V39" s="5">
        <f t="shared" si="21"/>
        <v>0</v>
      </c>
      <c r="W39" s="1"/>
      <c r="X39" s="1">
        <f t="shared" si="22"/>
        <v>74.480000000000018</v>
      </c>
      <c r="Y39" s="1"/>
      <c r="Z39" s="5">
        <f t="shared" si="23"/>
        <v>7.572722743586878E-2</v>
      </c>
    </row>
    <row r="40" spans="1:26" s="24" customFormat="1" hidden="1" outlineLevel="2" x14ac:dyDescent="0.25">
      <c r="A40" s="26"/>
      <c r="B40" s="11" t="str">
        <f>CONCATENATE("          ", "6234", " - ", "EXPENDABLE SUPPLIES &amp; EQUIPMEN")</f>
        <v xml:space="preserve">          6234 - EXPENDABLE SUPPLIES &amp; EQUIPMEN</v>
      </c>
      <c r="C40" s="11"/>
      <c r="D40" s="6">
        <v>313.08999999999997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313.08999999999997</v>
      </c>
      <c r="M40" s="2"/>
      <c r="N40" s="7">
        <f t="shared" si="19"/>
        <v>0</v>
      </c>
      <c r="O40" s="11"/>
      <c r="P40" s="6">
        <v>1006.59</v>
      </c>
      <c r="Q40" s="2"/>
      <c r="R40" s="7">
        <f t="shared" si="20"/>
        <v>0</v>
      </c>
      <c r="S40" s="2"/>
      <c r="T40" s="6">
        <v>804.9</v>
      </c>
      <c r="U40" s="2"/>
      <c r="V40" s="7">
        <f t="shared" si="21"/>
        <v>0</v>
      </c>
      <c r="W40" s="2"/>
      <c r="X40" s="6">
        <f t="shared" si="22"/>
        <v>201.69000000000005</v>
      </c>
      <c r="Y40" s="2"/>
      <c r="Z40" s="7">
        <f t="shared" si="23"/>
        <v>0.25057771151695868</v>
      </c>
    </row>
    <row r="41" spans="1:26" s="24" customFormat="1" hidden="1" outlineLevel="2" x14ac:dyDescent="0.25">
      <c r="A41" s="26"/>
      <c r="B41" s="11" t="str">
        <f>CONCATENATE("          ", "6241", " - ", "OFFICE EXPENSE")</f>
        <v xml:space="preserve">          6241 - OFFICE EXPENSE</v>
      </c>
      <c r="C41" s="11"/>
      <c r="D41" s="6"/>
      <c r="E41" s="2"/>
      <c r="F41" s="7">
        <f t="shared" si="16"/>
        <v>0</v>
      </c>
      <c r="G41" s="2"/>
      <c r="H41" s="6">
        <v>166.64</v>
      </c>
      <c r="I41" s="2"/>
      <c r="J41" s="7">
        <f t="shared" si="17"/>
        <v>0</v>
      </c>
      <c r="K41" s="2"/>
      <c r="L41" s="6">
        <f t="shared" si="18"/>
        <v>-166.64</v>
      </c>
      <c r="M41" s="2"/>
      <c r="N41" s="7">
        <f t="shared" si="19"/>
        <v>-1</v>
      </c>
      <c r="O41" s="11"/>
      <c r="P41" s="6">
        <v>51.42</v>
      </c>
      <c r="Q41" s="2"/>
      <c r="R41" s="7">
        <f t="shared" si="20"/>
        <v>0</v>
      </c>
      <c r="S41" s="2"/>
      <c r="T41" s="6">
        <v>178.63</v>
      </c>
      <c r="U41" s="2"/>
      <c r="V41" s="7">
        <f t="shared" si="21"/>
        <v>0</v>
      </c>
      <c r="W41" s="2"/>
      <c r="X41" s="6">
        <f t="shared" si="22"/>
        <v>-127.21</v>
      </c>
      <c r="Y41" s="2"/>
      <c r="Z41" s="7">
        <f t="shared" si="23"/>
        <v>-0.71214241728712979</v>
      </c>
    </row>
    <row r="42" spans="1:26" s="27" customFormat="1" outlineLevel="1" collapsed="1" x14ac:dyDescent="0.25">
      <c r="A42" s="25"/>
      <c r="B42" s="13" t="str">
        <f>CONCATENATE("     ","Telephone/Data Lines                              ")</f>
        <v xml:space="preserve">     Telephone/Data Lines                              </v>
      </c>
      <c r="C42" s="13"/>
      <c r="D42" s="1">
        <f>SUM(OSRRefD22_7x_0)</f>
        <v>73.3</v>
      </c>
      <c r="E42" s="1"/>
      <c r="F42" s="5">
        <f t="shared" ref="F42:F45" si="24">IF(D$12=0,0,D42/D$12)</f>
        <v>0</v>
      </c>
      <c r="G42" s="1"/>
      <c r="H42" s="1">
        <f>SUM(OSRRefH22_7x_0)</f>
        <v>56.73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16.57</v>
      </c>
      <c r="M42" s="1"/>
      <c r="N42" s="5">
        <f t="shared" ref="N42:N45" si="27">IF(H42=0,0,L42/H42)</f>
        <v>0.29208531641107</v>
      </c>
      <c r="O42" s="13"/>
      <c r="P42" s="1">
        <f>SUM(OSRRefP22_7x_0)</f>
        <v>386.2</v>
      </c>
      <c r="Q42" s="1"/>
      <c r="R42" s="5">
        <f t="shared" ref="R42:R45" si="28">IF(P$12=0,0,P42/P$12)</f>
        <v>0</v>
      </c>
      <c r="S42" s="1"/>
      <c r="T42" s="1">
        <f>SUM(OSRRefT22_7x_0)</f>
        <v>345.51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40.69</v>
      </c>
      <c r="Y42" s="1"/>
      <c r="Z42" s="5">
        <f t="shared" ref="Z42:Z45" si="31">IF(T42=0,0,X42/T42)</f>
        <v>0.11776793725217793</v>
      </c>
    </row>
    <row r="43" spans="1:26" s="24" customFormat="1" hidden="1" outlineLevel="2" x14ac:dyDescent="0.25">
      <c r="A43" s="26"/>
      <c r="B43" s="11" t="str">
        <f>CONCATENATE("          ", "6309", " - ", "TELEPHONE")</f>
        <v xml:space="preserve">          6309 - TELEPHONE</v>
      </c>
      <c r="C43" s="11"/>
      <c r="D43" s="6">
        <v>73.3</v>
      </c>
      <c r="E43" s="2"/>
      <c r="F43" s="7">
        <f t="shared" si="24"/>
        <v>0</v>
      </c>
      <c r="G43" s="2"/>
      <c r="H43" s="6">
        <v>56.73</v>
      </c>
      <c r="I43" s="2"/>
      <c r="J43" s="7">
        <f t="shared" si="25"/>
        <v>0</v>
      </c>
      <c r="K43" s="2"/>
      <c r="L43" s="6">
        <f t="shared" si="26"/>
        <v>16.57</v>
      </c>
      <c r="M43" s="2"/>
      <c r="N43" s="7">
        <f t="shared" si="27"/>
        <v>0.29208531641107</v>
      </c>
      <c r="O43" s="11"/>
      <c r="P43" s="6">
        <v>386.2</v>
      </c>
      <c r="Q43" s="2"/>
      <c r="R43" s="7">
        <f t="shared" si="28"/>
        <v>0</v>
      </c>
      <c r="S43" s="2"/>
      <c r="T43" s="6">
        <v>345.51</v>
      </c>
      <c r="U43" s="2"/>
      <c r="V43" s="7">
        <f t="shared" si="29"/>
        <v>0</v>
      </c>
      <c r="W43" s="2"/>
      <c r="X43" s="6">
        <f t="shared" si="30"/>
        <v>40.69</v>
      </c>
      <c r="Y43" s="2"/>
      <c r="Z43" s="7">
        <f t="shared" si="31"/>
        <v>0.11776793725217793</v>
      </c>
    </row>
    <row r="44" spans="1:26" s="27" customFormat="1" outlineLevel="1" collapsed="1" x14ac:dyDescent="0.25">
      <c r="A44" s="25"/>
      <c r="B44" s="13" t="str">
        <f>CONCATENATE("     ","Travel                                            ")</f>
        <v xml:space="preserve">     Travel                                            </v>
      </c>
      <c r="C44" s="13"/>
      <c r="D44" s="1">
        <f>SUM(OSRRefD22_8x_0)</f>
        <v>0</v>
      </c>
      <c r="E44" s="1"/>
      <c r="F44" s="5">
        <f t="shared" si="24"/>
        <v>0</v>
      </c>
      <c r="G44" s="1"/>
      <c r="H44" s="1">
        <f>SUM(OSRRefH22_8x_0)</f>
        <v>0</v>
      </c>
      <c r="I44" s="1"/>
      <c r="J44" s="5">
        <f t="shared" si="25"/>
        <v>0</v>
      </c>
      <c r="K44" s="1"/>
      <c r="L44" s="1">
        <f t="shared" si="26"/>
        <v>0</v>
      </c>
      <c r="M44" s="1"/>
      <c r="N44" s="5">
        <f t="shared" si="27"/>
        <v>0</v>
      </c>
      <c r="O44" s="13"/>
      <c r="P44" s="1">
        <f>SUM(OSRRefP22_8x_0)</f>
        <v>256.86</v>
      </c>
      <c r="Q44" s="1"/>
      <c r="R44" s="5">
        <f t="shared" si="28"/>
        <v>0</v>
      </c>
      <c r="S44" s="1"/>
      <c r="T44" s="1">
        <f>SUM(OSRRefT22_8x_0)</f>
        <v>53.58</v>
      </c>
      <c r="U44" s="1"/>
      <c r="V44" s="5">
        <f t="shared" si="29"/>
        <v>0</v>
      </c>
      <c r="W44" s="1"/>
      <c r="X44" s="1">
        <f t="shared" si="30"/>
        <v>203.28000000000003</v>
      </c>
      <c r="Y44" s="1"/>
      <c r="Z44" s="5">
        <f t="shared" si="31"/>
        <v>3.7939529675251968</v>
      </c>
    </row>
    <row r="45" spans="1:26" s="24" customFormat="1" hidden="1" outlineLevel="2" x14ac:dyDescent="0.25">
      <c r="A45" s="26"/>
      <c r="B45" s="11" t="str">
        <f>CONCATENATE("          ", "6292", " - ", "TRAVEL/CONFERENCE")</f>
        <v xml:space="preserve">          6292 - TRAVEL/CONFERENCE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>
        <v>256.86</v>
      </c>
      <c r="Q45" s="2"/>
      <c r="R45" s="7">
        <f t="shared" si="28"/>
        <v>0</v>
      </c>
      <c r="S45" s="2"/>
      <c r="T45" s="6">
        <v>53.58</v>
      </c>
      <c r="U45" s="2"/>
      <c r="V45" s="7">
        <f t="shared" si="29"/>
        <v>0</v>
      </c>
      <c r="W45" s="2"/>
      <c r="X45" s="6">
        <f t="shared" si="30"/>
        <v>203.28000000000003</v>
      </c>
      <c r="Y45" s="2"/>
      <c r="Z45" s="7">
        <f t="shared" si="31"/>
        <v>3.7939529675251968</v>
      </c>
    </row>
    <row r="46" spans="1:26" s="61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8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9" t="s">
        <v>3</v>
      </c>
      <c r="C49" s="29"/>
      <c r="D49" s="20">
        <f>+D16-D18+D47</f>
        <v>-7290.1100000000006</v>
      </c>
      <c r="E49" s="14"/>
      <c r="F49" s="21">
        <f>IF(D$12=0,0,D49/D$12)</f>
        <v>0</v>
      </c>
      <c r="G49" s="14"/>
      <c r="H49" s="20">
        <f>+H16-H18+H47</f>
        <v>-9433.0800000000017</v>
      </c>
      <c r="I49" s="14"/>
      <c r="J49" s="21">
        <f>IF(H$12=0,0,H49/H$12)</f>
        <v>0</v>
      </c>
      <c r="K49" s="15"/>
      <c r="L49" s="20">
        <f>+D49-H49</f>
        <v>2142.9700000000012</v>
      </c>
      <c r="M49" s="15"/>
      <c r="N49" s="21">
        <f>IF(H49=0,0,L49/H49)</f>
        <v>-0.22717606550564617</v>
      </c>
      <c r="O49" s="28"/>
      <c r="P49" s="20">
        <f>+P16-P18+P47</f>
        <v>-49882.68</v>
      </c>
      <c r="Q49" s="14"/>
      <c r="R49" s="21">
        <f>IF(P$12=0,0,P49/P$12)</f>
        <v>0</v>
      </c>
      <c r="S49" s="14"/>
      <c r="T49" s="20">
        <f>+T16-T18+T47</f>
        <v>-47171.539999999994</v>
      </c>
      <c r="U49" s="14"/>
      <c r="V49" s="21">
        <f>IF(T$12=0,0,T49/T$12)</f>
        <v>0</v>
      </c>
      <c r="W49" s="15"/>
      <c r="X49" s="20">
        <f>+P49-T49</f>
        <v>-2711.1400000000067</v>
      </c>
      <c r="Y49" s="15"/>
      <c r="Z49" s="21">
        <f>IF(T49=0,0,X49/T49)</f>
        <v>5.7474061690587316E-2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4</v>
      </c>
      <c r="C53" s="29"/>
      <c r="D53" s="32">
        <f>+D49-D51</f>
        <v>-7290.1100000000006</v>
      </c>
      <c r="E53" s="14"/>
      <c r="F53" s="30">
        <f>IF(D$12=0,0,D53/D$12)</f>
        <v>0</v>
      </c>
      <c r="G53" s="14"/>
      <c r="H53" s="32">
        <f>+H49-H51</f>
        <v>-9433.0800000000017</v>
      </c>
      <c r="I53" s="14"/>
      <c r="J53" s="30">
        <f>IF(H$12=0,0,H53/H$12)</f>
        <v>0</v>
      </c>
      <c r="K53" s="15"/>
      <c r="L53" s="32">
        <f>D53-H53</f>
        <v>2142.9700000000012</v>
      </c>
      <c r="M53" s="15"/>
      <c r="N53" s="30">
        <f>IF(H53=0,0,L53/H53)</f>
        <v>-0.22717606550564617</v>
      </c>
      <c r="O53" s="28"/>
      <c r="P53" s="32">
        <f>+P49-P51</f>
        <v>-49882.68</v>
      </c>
      <c r="Q53" s="14"/>
      <c r="R53" s="30">
        <f>IF(P$12=0,0,P53/P$12)</f>
        <v>0</v>
      </c>
      <c r="S53" s="14"/>
      <c r="T53" s="32">
        <f>+T49-T51</f>
        <v>-47171.539999999994</v>
      </c>
      <c r="U53" s="14"/>
      <c r="V53" s="30">
        <f>IF(T$12=0,0,T53/T$12)</f>
        <v>0</v>
      </c>
      <c r="W53" s="15"/>
      <c r="X53" s="32">
        <f>P53-T53</f>
        <v>-2711.1400000000067</v>
      </c>
      <c r="Y53" s="15"/>
      <c r="Z53" s="30">
        <f>IF(T53=0,0,X53/T53)</f>
        <v>5.7474061690587316E-2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9" t="s">
        <v>5</v>
      </c>
      <c r="C56" s="29"/>
      <c r="D56" s="36">
        <f>SUM(D53:D55)</f>
        <v>-7290.1100000000006</v>
      </c>
      <c r="E56" s="14"/>
      <c r="F56" s="31">
        <f>IF(D$12=0,0,D56/D$12)</f>
        <v>0</v>
      </c>
      <c r="G56" s="14"/>
      <c r="H56" s="36">
        <f>SUM(H53:H55)</f>
        <v>-9433.0800000000017</v>
      </c>
      <c r="I56" s="14"/>
      <c r="J56" s="31">
        <f>IF(H$12=0,0,H56/H$12)</f>
        <v>0</v>
      </c>
      <c r="K56" s="15"/>
      <c r="L56" s="36">
        <f>+D56-H56</f>
        <v>2142.9700000000012</v>
      </c>
      <c r="M56" s="15"/>
      <c r="N56" s="31">
        <f>IF(H56=0,0,L56/H56)</f>
        <v>-0.22717606550564617</v>
      </c>
      <c r="O56" s="28"/>
      <c r="P56" s="36">
        <f>SUM(P53:P55)</f>
        <v>-49882.68</v>
      </c>
      <c r="Q56" s="14"/>
      <c r="R56" s="31">
        <f>IF(P$12=0,0,P56/P$12)</f>
        <v>0</v>
      </c>
      <c r="S56" s="14"/>
      <c r="T56" s="36">
        <f>SUM(T53:T55)</f>
        <v>-47171.539999999994</v>
      </c>
      <c r="U56" s="14"/>
      <c r="V56" s="31">
        <f>IF(T$12=0,0,T56/T$12)</f>
        <v>0</v>
      </c>
      <c r="W56" s="15"/>
      <c r="X56" s="36">
        <f>+P56-T56</f>
        <v>-2711.1400000000067</v>
      </c>
      <c r="Y56" s="15"/>
      <c r="Z56" s="31">
        <f>IF(T56=0,0,X56/T56)</f>
        <v>5.7474061690587316E-2</v>
      </c>
    </row>
    <row r="57" spans="1:26" ht="15.75" thickTop="1" x14ac:dyDescent="0.25">
      <c r="A57" s="9"/>
      <c r="C57" s="9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A58" s="9"/>
      <c r="B58" s="62">
        <v>43847.453524039352</v>
      </c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A59" s="9"/>
      <c r="B59" s="56" t="s">
        <v>313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4"/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","206", " - ", "Graphics")</f>
        <v>Department 206 - Graphics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7117.0700000000006</v>
      </c>
      <c r="E18" s="22"/>
      <c r="F18" s="33">
        <f t="shared" ref="F18:F27" si="0">IF(D$12=0,0,D18/D$12)</f>
        <v>0</v>
      </c>
      <c r="G18" s="22"/>
      <c r="H18" s="22">
        <f>SUM(OSRRefH22x_0)</f>
        <v>7214.8299999999981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-97.75999999999749</v>
      </c>
      <c r="M18" s="4"/>
      <c r="N18" s="33">
        <f t="shared" ref="N18:N27" si="3">IF(H18=0,0,L18/H18)</f>
        <v>-1.3549868811877412E-2</v>
      </c>
      <c r="O18" s="10"/>
      <c r="P18" s="22">
        <f>SUM(OSRRefP22x_0)</f>
        <v>43721.52</v>
      </c>
      <c r="Q18" s="22"/>
      <c r="R18" s="33">
        <f t="shared" ref="R18:R27" si="4">IF(P$12=0,0,P18/P$12)</f>
        <v>0</v>
      </c>
      <c r="S18" s="22"/>
      <c r="T18" s="22">
        <f>SUM(OSRRefT22x_0)</f>
        <v>44079.940000000024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-358.42000000002736</v>
      </c>
      <c r="Y18" s="4"/>
      <c r="Z18" s="33">
        <f t="shared" ref="Z18:Z27" si="7">IF(T18=0,0,X18/T18)</f>
        <v>-8.1311362946507454E-3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1680.1399999999999</v>
      </c>
      <c r="E19" s="1"/>
      <c r="F19" s="5">
        <f t="shared" si="0"/>
        <v>0</v>
      </c>
      <c r="G19" s="1"/>
      <c r="H19" s="1">
        <f>SUM(OSRRefH22_0x_0)</f>
        <v>6346.5999999999995</v>
      </c>
      <c r="I19" s="1"/>
      <c r="J19" s="5">
        <f t="shared" si="1"/>
        <v>0</v>
      </c>
      <c r="K19" s="1"/>
      <c r="L19" s="1">
        <f t="shared" si="2"/>
        <v>-4666.4599999999991</v>
      </c>
      <c r="M19" s="1"/>
      <c r="N19" s="5">
        <f t="shared" si="3"/>
        <v>-0.73526927803863473</v>
      </c>
      <c r="O19" s="13"/>
      <c r="P19" s="1">
        <f>SUM(OSRRefP22_0x_0)</f>
        <v>11213.02</v>
      </c>
      <c r="Q19" s="1"/>
      <c r="R19" s="5">
        <f t="shared" si="4"/>
        <v>0</v>
      </c>
      <c r="S19" s="1"/>
      <c r="T19" s="1">
        <f>SUM(OSRRefT22_0x_0)</f>
        <v>39949.97</v>
      </c>
      <c r="U19" s="1"/>
      <c r="V19" s="5">
        <f t="shared" si="5"/>
        <v>0</v>
      </c>
      <c r="W19" s="1"/>
      <c r="X19" s="1">
        <f t="shared" si="6"/>
        <v>-28736.95</v>
      </c>
      <c r="Y19" s="1"/>
      <c r="Z19" s="5">
        <f t="shared" si="7"/>
        <v>-0.71932344379732949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344.33</v>
      </c>
      <c r="E20" s="2"/>
      <c r="F20" s="7">
        <f t="shared" si="0"/>
        <v>0</v>
      </c>
      <c r="G20" s="2"/>
      <c r="H20" s="6">
        <v>761.73</v>
      </c>
      <c r="I20" s="2"/>
      <c r="J20" s="7">
        <f t="shared" si="1"/>
        <v>0</v>
      </c>
      <c r="K20" s="2"/>
      <c r="L20" s="6">
        <f t="shared" si="2"/>
        <v>-417.40000000000003</v>
      </c>
      <c r="M20" s="2"/>
      <c r="N20" s="7">
        <f t="shared" si="3"/>
        <v>-0.54796318905648989</v>
      </c>
      <c r="O20" s="11"/>
      <c r="P20" s="6">
        <v>3142.54</v>
      </c>
      <c r="Q20" s="2"/>
      <c r="R20" s="7">
        <f t="shared" si="4"/>
        <v>0</v>
      </c>
      <c r="S20" s="2"/>
      <c r="T20" s="6">
        <v>6933.16</v>
      </c>
      <c r="U20" s="2"/>
      <c r="V20" s="7">
        <f t="shared" si="5"/>
        <v>0</v>
      </c>
      <c r="W20" s="2"/>
      <c r="X20" s="6">
        <f t="shared" si="6"/>
        <v>-3790.62</v>
      </c>
      <c r="Y20" s="2"/>
      <c r="Z20" s="7">
        <f t="shared" si="7"/>
        <v>-0.54673770690421108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48.37</v>
      </c>
      <c r="E21" s="2"/>
      <c r="F21" s="7">
        <f t="shared" si="0"/>
        <v>0</v>
      </c>
      <c r="G21" s="2"/>
      <c r="H21" s="6">
        <v>69.790000000000006</v>
      </c>
      <c r="I21" s="2"/>
      <c r="J21" s="7">
        <f t="shared" si="1"/>
        <v>0</v>
      </c>
      <c r="K21" s="2"/>
      <c r="L21" s="6">
        <f t="shared" si="2"/>
        <v>-21.420000000000009</v>
      </c>
      <c r="M21" s="2"/>
      <c r="N21" s="7">
        <f t="shared" si="3"/>
        <v>-0.30692076228686066</v>
      </c>
      <c r="O21" s="11"/>
      <c r="P21" s="6">
        <v>111.24</v>
      </c>
      <c r="Q21" s="2"/>
      <c r="R21" s="7">
        <f t="shared" si="4"/>
        <v>0</v>
      </c>
      <c r="S21" s="2"/>
      <c r="T21" s="6">
        <v>372.19</v>
      </c>
      <c r="U21" s="2"/>
      <c r="V21" s="7">
        <f t="shared" si="5"/>
        <v>0</v>
      </c>
      <c r="W21" s="2"/>
      <c r="X21" s="6">
        <f t="shared" si="6"/>
        <v>-260.95</v>
      </c>
      <c r="Y21" s="2"/>
      <c r="Z21" s="7">
        <f t="shared" si="7"/>
        <v>-0.70112039549692362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700.91</v>
      </c>
      <c r="E22" s="2"/>
      <c r="F22" s="7">
        <f t="shared" si="0"/>
        <v>0</v>
      </c>
      <c r="G22" s="2"/>
      <c r="H22" s="6">
        <v>3488.68</v>
      </c>
      <c r="I22" s="2"/>
      <c r="J22" s="7">
        <f t="shared" si="1"/>
        <v>0</v>
      </c>
      <c r="K22" s="2"/>
      <c r="L22" s="6">
        <f t="shared" si="2"/>
        <v>-2787.77</v>
      </c>
      <c r="M22" s="2"/>
      <c r="N22" s="7">
        <f t="shared" si="3"/>
        <v>-0.79909020030498645</v>
      </c>
      <c r="O22" s="11"/>
      <c r="P22" s="6">
        <v>4205.46</v>
      </c>
      <c r="Q22" s="2"/>
      <c r="R22" s="7">
        <f t="shared" si="4"/>
        <v>0</v>
      </c>
      <c r="S22" s="2"/>
      <c r="T22" s="6">
        <v>18758.550000000003</v>
      </c>
      <c r="U22" s="2"/>
      <c r="V22" s="7">
        <f t="shared" si="5"/>
        <v>0</v>
      </c>
      <c r="W22" s="2"/>
      <c r="X22" s="6">
        <f t="shared" si="6"/>
        <v>-14553.090000000004</v>
      </c>
      <c r="Y22" s="2"/>
      <c r="Z22" s="7">
        <f t="shared" si="7"/>
        <v>-0.77581103017024244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36.99</v>
      </c>
      <c r="E23" s="2"/>
      <c r="F23" s="7">
        <f t="shared" si="0"/>
        <v>0</v>
      </c>
      <c r="G23" s="2"/>
      <c r="H23" s="6">
        <v>58.53</v>
      </c>
      <c r="I23" s="2"/>
      <c r="J23" s="7">
        <f t="shared" si="1"/>
        <v>0</v>
      </c>
      <c r="K23" s="2"/>
      <c r="L23" s="6">
        <f t="shared" si="2"/>
        <v>-21.54</v>
      </c>
      <c r="M23" s="2"/>
      <c r="N23" s="7">
        <f t="shared" si="3"/>
        <v>-0.36801640184520756</v>
      </c>
      <c r="O23" s="11"/>
      <c r="P23" s="6">
        <v>161.22999999999999</v>
      </c>
      <c r="Q23" s="2"/>
      <c r="R23" s="7">
        <f t="shared" si="4"/>
        <v>0</v>
      </c>
      <c r="S23" s="2"/>
      <c r="T23" s="6">
        <v>312.14999999999998</v>
      </c>
      <c r="U23" s="2"/>
      <c r="V23" s="7">
        <f t="shared" si="5"/>
        <v>0</v>
      </c>
      <c r="W23" s="2"/>
      <c r="X23" s="6">
        <f t="shared" si="6"/>
        <v>-150.91999999999999</v>
      </c>
      <c r="Y23" s="2"/>
      <c r="Z23" s="7">
        <f t="shared" si="7"/>
        <v>-0.4834855037642159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463.29</v>
      </c>
      <c r="I24" s="2"/>
      <c r="J24" s="7">
        <f t="shared" si="1"/>
        <v>0</v>
      </c>
      <c r="K24" s="2"/>
      <c r="L24" s="6">
        <f t="shared" si="2"/>
        <v>-463.29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3004.64</v>
      </c>
      <c r="U24" s="2"/>
      <c r="V24" s="7">
        <f t="shared" si="5"/>
        <v>0</v>
      </c>
      <c r="W24" s="2"/>
      <c r="X24" s="6">
        <f t="shared" si="6"/>
        <v>-3004.64</v>
      </c>
      <c r="Y24" s="2"/>
      <c r="Z24" s="7">
        <f t="shared" si="7"/>
        <v>-1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184.8</v>
      </c>
      <c r="E25" s="2"/>
      <c r="F25" s="7">
        <f t="shared" si="0"/>
        <v>0</v>
      </c>
      <c r="G25" s="2"/>
      <c r="H25" s="6">
        <v>777.78</v>
      </c>
      <c r="I25" s="2"/>
      <c r="J25" s="7">
        <f t="shared" si="1"/>
        <v>0</v>
      </c>
      <c r="K25" s="2"/>
      <c r="L25" s="6">
        <f t="shared" si="2"/>
        <v>-592.98</v>
      </c>
      <c r="M25" s="2"/>
      <c r="N25" s="7">
        <f t="shared" si="3"/>
        <v>-0.76240067885520335</v>
      </c>
      <c r="O25" s="11"/>
      <c r="P25" s="6">
        <v>1201.2</v>
      </c>
      <c r="Q25" s="2"/>
      <c r="R25" s="7">
        <f t="shared" si="4"/>
        <v>0</v>
      </c>
      <c r="S25" s="2"/>
      <c r="T25" s="6">
        <v>5375.25</v>
      </c>
      <c r="U25" s="2"/>
      <c r="V25" s="7">
        <f t="shared" si="5"/>
        <v>0</v>
      </c>
      <c r="W25" s="2"/>
      <c r="X25" s="6">
        <f t="shared" si="6"/>
        <v>-4174.05</v>
      </c>
      <c r="Y25" s="2"/>
      <c r="Z25" s="7">
        <f t="shared" si="7"/>
        <v>-0.77653132412445935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221.4</v>
      </c>
      <c r="E26" s="2"/>
      <c r="F26" s="7">
        <f t="shared" si="0"/>
        <v>0</v>
      </c>
      <c r="G26" s="2"/>
      <c r="H26" s="6">
        <v>494.76</v>
      </c>
      <c r="I26" s="2"/>
      <c r="J26" s="7">
        <f t="shared" si="1"/>
        <v>0</v>
      </c>
      <c r="K26" s="2"/>
      <c r="L26" s="6">
        <f t="shared" si="2"/>
        <v>-273.36</v>
      </c>
      <c r="M26" s="2"/>
      <c r="N26" s="7">
        <f t="shared" si="3"/>
        <v>-0.55251030802813494</v>
      </c>
      <c r="O26" s="11"/>
      <c r="P26" s="6">
        <v>1439.1</v>
      </c>
      <c r="Q26" s="2"/>
      <c r="R26" s="7">
        <f t="shared" si="4"/>
        <v>0</v>
      </c>
      <c r="S26" s="2"/>
      <c r="T26" s="6">
        <v>3529.2</v>
      </c>
      <c r="U26" s="2"/>
      <c r="V26" s="7">
        <f t="shared" si="5"/>
        <v>0</v>
      </c>
      <c r="W26" s="2"/>
      <c r="X26" s="6">
        <f t="shared" si="6"/>
        <v>-2090.1</v>
      </c>
      <c r="Y26" s="2"/>
      <c r="Z26" s="7">
        <f t="shared" si="7"/>
        <v>-0.59223053383202995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143.34</v>
      </c>
      <c r="E27" s="2"/>
      <c r="F27" s="7">
        <f t="shared" si="0"/>
        <v>0</v>
      </c>
      <c r="G27" s="2"/>
      <c r="H27" s="6">
        <v>232.04</v>
      </c>
      <c r="I27" s="2"/>
      <c r="J27" s="7">
        <f t="shared" si="1"/>
        <v>0</v>
      </c>
      <c r="K27" s="2"/>
      <c r="L27" s="6">
        <f t="shared" si="2"/>
        <v>-88.699999999999989</v>
      </c>
      <c r="M27" s="2"/>
      <c r="N27" s="7">
        <f t="shared" si="3"/>
        <v>-0.38226167902085845</v>
      </c>
      <c r="O27" s="11"/>
      <c r="P27" s="6">
        <v>952.25</v>
      </c>
      <c r="Q27" s="2"/>
      <c r="R27" s="7">
        <f t="shared" si="4"/>
        <v>0</v>
      </c>
      <c r="S27" s="2"/>
      <c r="T27" s="6">
        <v>1664.83</v>
      </c>
      <c r="U27" s="2"/>
      <c r="V27" s="7">
        <f t="shared" si="5"/>
        <v>0</v>
      </c>
      <c r="W27" s="2"/>
      <c r="X27" s="6">
        <f t="shared" si="6"/>
        <v>-712.57999999999993</v>
      </c>
      <c r="Y27" s="2"/>
      <c r="Z27" s="7">
        <f t="shared" si="7"/>
        <v>-0.42801967768480864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9662.1400000000012</v>
      </c>
      <c r="E28" s="1"/>
      <c r="F28" s="5">
        <f t="shared" ref="F28:F34" si="8">IF(D$12=0,0,D28/D$12)</f>
        <v>0</v>
      </c>
      <c r="G28" s="1"/>
      <c r="H28" s="1">
        <f>SUM(OSRRefH22_1x_0)</f>
        <v>14739.890000000001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-5077.75</v>
      </c>
      <c r="M28" s="1"/>
      <c r="N28" s="5">
        <f t="shared" ref="N28:N34" si="11">IF(H28=0,0,L28/H28)</f>
        <v>-0.34449035915464765</v>
      </c>
      <c r="O28" s="13"/>
      <c r="P28" s="1">
        <f>SUM(OSRRefP22_1x_0)</f>
        <v>63883</v>
      </c>
      <c r="Q28" s="1"/>
      <c r="R28" s="5">
        <f t="shared" ref="R28:R34" si="12">IF(P$12=0,0,P28/P$12)</f>
        <v>0</v>
      </c>
      <c r="S28" s="1"/>
      <c r="T28" s="1">
        <f>SUM(OSRRefT22_1x_0)</f>
        <v>96872.920000000013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-32989.920000000013</v>
      </c>
      <c r="Y28" s="1"/>
      <c r="Z28" s="5">
        <f t="shared" ref="Z28:Z34" si="15">IF(T28=0,0,X28/T28)</f>
        <v>-0.34054842158159376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6771.24</v>
      </c>
      <c r="I29" s="2"/>
      <c r="J29" s="7">
        <f t="shared" si="9"/>
        <v>0</v>
      </c>
      <c r="K29" s="2"/>
      <c r="L29" s="6">
        <f t="shared" si="10"/>
        <v>-6771.24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40627.440000000002</v>
      </c>
      <c r="U29" s="2"/>
      <c r="V29" s="7">
        <f t="shared" si="13"/>
        <v>0</v>
      </c>
      <c r="W29" s="2"/>
      <c r="X29" s="6">
        <f t="shared" si="14"/>
        <v>-40627.440000000002</v>
      </c>
      <c r="Y29" s="2"/>
      <c r="Z29" s="7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-338.56</v>
      </c>
      <c r="U30" s="2"/>
      <c r="V30" s="7">
        <f t="shared" si="13"/>
        <v>0</v>
      </c>
      <c r="W30" s="2"/>
      <c r="X30" s="6">
        <f t="shared" si="14"/>
        <v>338.56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>
        <v>4706.25</v>
      </c>
      <c r="E31" s="2"/>
      <c r="F31" s="7">
        <f t="shared" si="8"/>
        <v>0</v>
      </c>
      <c r="G31" s="2"/>
      <c r="H31" s="6">
        <v>3615.3</v>
      </c>
      <c r="I31" s="2"/>
      <c r="J31" s="7">
        <f t="shared" si="9"/>
        <v>0</v>
      </c>
      <c r="K31" s="2"/>
      <c r="L31" s="6">
        <f t="shared" si="10"/>
        <v>1090.9499999999998</v>
      </c>
      <c r="M31" s="2"/>
      <c r="N31" s="7">
        <f t="shared" si="11"/>
        <v>0.30175919010870461</v>
      </c>
      <c r="O31" s="11"/>
      <c r="P31" s="6">
        <v>31837.500000000004</v>
      </c>
      <c r="Q31" s="2"/>
      <c r="R31" s="7">
        <f t="shared" si="12"/>
        <v>0</v>
      </c>
      <c r="S31" s="2"/>
      <c r="T31" s="6">
        <v>23057.58</v>
      </c>
      <c r="U31" s="2"/>
      <c r="V31" s="7">
        <f t="shared" si="13"/>
        <v>0</v>
      </c>
      <c r="W31" s="2"/>
      <c r="X31" s="6">
        <f t="shared" si="14"/>
        <v>8779.9200000000019</v>
      </c>
      <c r="Y31" s="2"/>
      <c r="Z31" s="7">
        <f t="shared" si="15"/>
        <v>0.38078237178402941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2361.4299999999998</v>
      </c>
      <c r="Q32" s="2"/>
      <c r="R32" s="7">
        <f t="shared" si="12"/>
        <v>0</v>
      </c>
      <c r="S32" s="2"/>
      <c r="T32" s="6">
        <v>247.86</v>
      </c>
      <c r="U32" s="2"/>
      <c r="V32" s="7">
        <f t="shared" si="13"/>
        <v>0</v>
      </c>
      <c r="W32" s="2"/>
      <c r="X32" s="6">
        <f t="shared" si="14"/>
        <v>2113.5699999999997</v>
      </c>
      <c r="Y32" s="2"/>
      <c r="Z32" s="7">
        <f t="shared" si="15"/>
        <v>8.5272734608246576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4096.95</v>
      </c>
      <c r="E33" s="2"/>
      <c r="F33" s="7">
        <f t="shared" si="8"/>
        <v>0</v>
      </c>
      <c r="G33" s="2"/>
      <c r="H33" s="6">
        <v>4353.3500000000004</v>
      </c>
      <c r="I33" s="2"/>
      <c r="J33" s="7">
        <f t="shared" si="9"/>
        <v>0</v>
      </c>
      <c r="K33" s="2"/>
      <c r="L33" s="6">
        <f t="shared" si="10"/>
        <v>-256.40000000000055</v>
      </c>
      <c r="M33" s="2"/>
      <c r="N33" s="7">
        <f t="shared" si="11"/>
        <v>-5.8897171144061587E-2</v>
      </c>
      <c r="O33" s="11"/>
      <c r="P33" s="6">
        <v>24965.43</v>
      </c>
      <c r="Q33" s="2"/>
      <c r="R33" s="7">
        <f t="shared" si="12"/>
        <v>0</v>
      </c>
      <c r="S33" s="2"/>
      <c r="T33" s="6">
        <v>33278.6</v>
      </c>
      <c r="U33" s="2"/>
      <c r="V33" s="7">
        <f t="shared" si="13"/>
        <v>0</v>
      </c>
      <c r="W33" s="2"/>
      <c r="X33" s="6">
        <f t="shared" si="14"/>
        <v>-8313.1699999999983</v>
      </c>
      <c r="Y33" s="2"/>
      <c r="Z33" s="7">
        <f t="shared" si="15"/>
        <v>-0.24980528027020363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>
        <v>858.94</v>
      </c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858.94</v>
      </c>
      <c r="M34" s="2"/>
      <c r="N34" s="7">
        <f t="shared" si="11"/>
        <v>0</v>
      </c>
      <c r="O34" s="11"/>
      <c r="P34" s="6">
        <v>4718.6400000000003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4718.6400000000003</v>
      </c>
      <c r="Y34" s="2"/>
      <c r="Z34" s="7">
        <f t="shared" si="15"/>
        <v>0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-4952.43</v>
      </c>
      <c r="E35" s="1"/>
      <c r="F35" s="5">
        <f t="shared" ref="F35:F43" si="16">IF(D$12=0,0,D35/D$12)</f>
        <v>0</v>
      </c>
      <c r="G35" s="1"/>
      <c r="H35" s="1">
        <f>SUM(OSRRefH22_2x_0)</f>
        <v>-14412.09</v>
      </c>
      <c r="I35" s="1"/>
      <c r="J35" s="5">
        <f t="shared" ref="J35:J43" si="17">IF(H$12=0,0,H35/H$12)</f>
        <v>0</v>
      </c>
      <c r="K35" s="1"/>
      <c r="L35" s="1">
        <f t="shared" ref="L35:L43" si="18">+D35-H35</f>
        <v>9459.66</v>
      </c>
      <c r="M35" s="1"/>
      <c r="N35" s="5">
        <f t="shared" ref="N35:N43" si="19">IF(H35=0,0,L35/H35)</f>
        <v>-0.65636975622550231</v>
      </c>
      <c r="O35" s="13"/>
      <c r="P35" s="1">
        <f>SUM(OSRRefP22_2x_0)</f>
        <v>-35574.36</v>
      </c>
      <c r="Q35" s="1"/>
      <c r="R35" s="5">
        <f t="shared" ref="R35:R43" si="20">IF(P$12=0,0,P35/P$12)</f>
        <v>0</v>
      </c>
      <c r="S35" s="1"/>
      <c r="T35" s="1">
        <f>SUM(OSRRefT22_2x_0)</f>
        <v>-96825.23</v>
      </c>
      <c r="U35" s="1"/>
      <c r="V35" s="5">
        <f t="shared" ref="V35:V43" si="21">IF(T$12=0,0,T35/T$12)</f>
        <v>0</v>
      </c>
      <c r="W35" s="1"/>
      <c r="X35" s="1">
        <f t="shared" ref="X35:X43" si="22">+P35-T35</f>
        <v>61250.869999999995</v>
      </c>
      <c r="Y35" s="1"/>
      <c r="Z35" s="5">
        <f t="shared" ref="Z35:Z43" si="23">IF(T35=0,0,X35/T35)</f>
        <v>-0.63259204238399436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>
        <v>-4952.43</v>
      </c>
      <c r="E36" s="2"/>
      <c r="F36" s="7">
        <f t="shared" si="16"/>
        <v>0</v>
      </c>
      <c r="G36" s="2"/>
      <c r="H36" s="6">
        <v>-14412.09</v>
      </c>
      <c r="I36" s="2"/>
      <c r="J36" s="7">
        <f t="shared" si="17"/>
        <v>0</v>
      </c>
      <c r="K36" s="2"/>
      <c r="L36" s="6">
        <f t="shared" si="18"/>
        <v>9459.66</v>
      </c>
      <c r="M36" s="2"/>
      <c r="N36" s="7">
        <f t="shared" si="19"/>
        <v>-0.65636975622550231</v>
      </c>
      <c r="O36" s="11"/>
      <c r="P36" s="6">
        <v>-35574.36</v>
      </c>
      <c r="Q36" s="2"/>
      <c r="R36" s="7">
        <f t="shared" si="20"/>
        <v>0</v>
      </c>
      <c r="S36" s="2"/>
      <c r="T36" s="6">
        <v>-96825.23</v>
      </c>
      <c r="U36" s="2"/>
      <c r="V36" s="7">
        <f t="shared" si="21"/>
        <v>0</v>
      </c>
      <c r="W36" s="2"/>
      <c r="X36" s="6">
        <f t="shared" si="22"/>
        <v>61250.869999999995</v>
      </c>
      <c r="Y36" s="2"/>
      <c r="Z36" s="7">
        <f t="shared" si="23"/>
        <v>-0.63259204238399436</v>
      </c>
    </row>
    <row r="37" spans="1:26" s="27" customFormat="1" outlineLevel="1" collapsed="1" x14ac:dyDescent="0.25">
      <c r="A37" s="25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295.67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-9.9999999999909051E-3</v>
      </c>
      <c r="M37" s="1"/>
      <c r="N37" s="5">
        <f t="shared" si="19"/>
        <v>-3.3820346320315563E-5</v>
      </c>
      <c r="O37" s="13"/>
      <c r="P37" s="1">
        <f>SUM(OSRRefP22_3x_0)</f>
        <v>1774.02</v>
      </c>
      <c r="Q37" s="1"/>
      <c r="R37" s="5">
        <f t="shared" si="20"/>
        <v>0</v>
      </c>
      <c r="S37" s="1"/>
      <c r="T37" s="1">
        <f>SUM(OSRRefT22_3x_0)</f>
        <v>1774.08</v>
      </c>
      <c r="U37" s="1"/>
      <c r="V37" s="5">
        <f t="shared" si="21"/>
        <v>0</v>
      </c>
      <c r="W37" s="1"/>
      <c r="X37" s="1">
        <f t="shared" si="22"/>
        <v>-5.999999999994543E-2</v>
      </c>
      <c r="Y37" s="1"/>
      <c r="Z37" s="5">
        <f t="shared" si="23"/>
        <v>-3.3820346320315563E-5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295.67</v>
      </c>
      <c r="E38" s="2"/>
      <c r="F38" s="7">
        <f t="shared" si="16"/>
        <v>0</v>
      </c>
      <c r="G38" s="2"/>
      <c r="H38" s="6">
        <v>295.68</v>
      </c>
      <c r="I38" s="2"/>
      <c r="J38" s="7">
        <f t="shared" si="17"/>
        <v>0</v>
      </c>
      <c r="K38" s="2"/>
      <c r="L38" s="6">
        <f t="shared" si="18"/>
        <v>-9.9999999999909051E-3</v>
      </c>
      <c r="M38" s="2"/>
      <c r="N38" s="7">
        <f t="shared" si="19"/>
        <v>-3.3820346320315563E-5</v>
      </c>
      <c r="O38" s="11"/>
      <c r="P38" s="6">
        <v>1774.02</v>
      </c>
      <c r="Q38" s="2"/>
      <c r="R38" s="7">
        <f t="shared" si="20"/>
        <v>0</v>
      </c>
      <c r="S38" s="2"/>
      <c r="T38" s="6">
        <v>1774.08</v>
      </c>
      <c r="U38" s="2"/>
      <c r="V38" s="7">
        <f t="shared" si="21"/>
        <v>0</v>
      </c>
      <c r="W38" s="2"/>
      <c r="X38" s="6">
        <f t="shared" si="22"/>
        <v>-5.999999999994543E-2</v>
      </c>
      <c r="Y38" s="2"/>
      <c r="Z38" s="7">
        <f t="shared" si="23"/>
        <v>-3.3820346320315563E-5</v>
      </c>
    </row>
    <row r="39" spans="1:26" s="27" customFormat="1" outlineLevel="1" collapsed="1" x14ac:dyDescent="0.25">
      <c r="A39" s="25"/>
      <c r="B39" s="13" t="str">
        <f>CONCATENATE("     ","General                                           ")</f>
        <v xml:space="preserve">     General                                           </v>
      </c>
      <c r="C39" s="13"/>
      <c r="D39" s="1">
        <f>SUM(OSRRefD22_4x_0)</f>
        <v>173.21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173.21</v>
      </c>
      <c r="M39" s="1"/>
      <c r="N39" s="5">
        <f t="shared" si="19"/>
        <v>0</v>
      </c>
      <c r="O39" s="13"/>
      <c r="P39" s="1">
        <f>SUM(OSRRefP22_4x_0)</f>
        <v>853.59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853.59</v>
      </c>
      <c r="Y39" s="1"/>
      <c r="Z39" s="5">
        <f t="shared" si="23"/>
        <v>0</v>
      </c>
    </row>
    <row r="40" spans="1:26" s="24" customFormat="1" hidden="1" outlineLevel="2" x14ac:dyDescent="0.25">
      <c r="A40" s="26"/>
      <c r="B40" s="11" t="str">
        <f>CONCATENATE("          ", "6279", " - ", "GENERAL EXPENSE")</f>
        <v xml:space="preserve">          6279 - GENERAL EXPENSE</v>
      </c>
      <c r="C40" s="11"/>
      <c r="D40" s="6">
        <v>173.21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173.21</v>
      </c>
      <c r="M40" s="2"/>
      <c r="N40" s="7">
        <f t="shared" si="19"/>
        <v>0</v>
      </c>
      <c r="O40" s="11"/>
      <c r="P40" s="6">
        <v>853.59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853.59</v>
      </c>
      <c r="Y40" s="2"/>
      <c r="Z40" s="7">
        <f t="shared" si="23"/>
        <v>0</v>
      </c>
    </row>
    <row r="41" spans="1:26" s="27" customFormat="1" outlineLevel="1" collapsed="1" x14ac:dyDescent="0.25">
      <c r="A41" s="25"/>
      <c r="B41" s="13" t="str">
        <f>CONCATENATE("     ","Supplies                                          ")</f>
        <v xml:space="preserve">     Supplies                                          </v>
      </c>
      <c r="C41" s="13"/>
      <c r="D41" s="1">
        <f>SUM(OSRRefD22_5x_0)</f>
        <v>185.99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185.99</v>
      </c>
      <c r="M41" s="1"/>
      <c r="N41" s="5">
        <f t="shared" si="19"/>
        <v>0</v>
      </c>
      <c r="O41" s="13"/>
      <c r="P41" s="1">
        <f>SUM(OSRRefP22_5x_0)</f>
        <v>1012.1300000000001</v>
      </c>
      <c r="Q41" s="1"/>
      <c r="R41" s="5">
        <f t="shared" si="20"/>
        <v>0</v>
      </c>
      <c r="S41" s="1"/>
      <c r="T41" s="1">
        <f>SUM(OSRRefT22_5x_0)</f>
        <v>486.62</v>
      </c>
      <c r="U41" s="1"/>
      <c r="V41" s="5">
        <f t="shared" si="21"/>
        <v>0</v>
      </c>
      <c r="W41" s="1"/>
      <c r="X41" s="1">
        <f t="shared" si="22"/>
        <v>525.5100000000001</v>
      </c>
      <c r="Y41" s="1"/>
      <c r="Z41" s="5">
        <f t="shared" si="23"/>
        <v>1.0799186223336485</v>
      </c>
    </row>
    <row r="42" spans="1:26" s="24" customFormat="1" hidden="1" outlineLevel="2" x14ac:dyDescent="0.25">
      <c r="A42" s="26"/>
      <c r="B42" s="11" t="str">
        <f>CONCATENATE("          ", "6241", " - ", "OFFICE EXPENSE")</f>
        <v xml:space="preserve">          6241 - OFFICE EXPENSE</v>
      </c>
      <c r="C42" s="11"/>
      <c r="D42" s="6">
        <v>185.99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185.99</v>
      </c>
      <c r="M42" s="2"/>
      <c r="N42" s="7">
        <f t="shared" si="19"/>
        <v>0</v>
      </c>
      <c r="O42" s="11"/>
      <c r="P42" s="6">
        <v>665.71</v>
      </c>
      <c r="Q42" s="2"/>
      <c r="R42" s="7">
        <f t="shared" si="20"/>
        <v>0</v>
      </c>
      <c r="S42" s="2"/>
      <c r="T42" s="6">
        <v>486.62</v>
      </c>
      <c r="U42" s="2"/>
      <c r="V42" s="7">
        <f t="shared" si="21"/>
        <v>0</v>
      </c>
      <c r="W42" s="2"/>
      <c r="X42" s="6">
        <f t="shared" si="22"/>
        <v>179.09000000000003</v>
      </c>
      <c r="Y42" s="2"/>
      <c r="Z42" s="7">
        <f t="shared" si="23"/>
        <v>0.36802844108339161</v>
      </c>
    </row>
    <row r="43" spans="1:26" s="24" customFormat="1" hidden="1" outlineLevel="2" x14ac:dyDescent="0.25">
      <c r="A43" s="26"/>
      <c r="B43" s="11" t="str">
        <f>CONCATENATE("          ", "6245", " - ", "PRINTING")</f>
        <v xml:space="preserve">          6245 - PRINTING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346.42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346.42</v>
      </c>
      <c r="Y43" s="2"/>
      <c r="Z43" s="7">
        <f t="shared" si="23"/>
        <v>0</v>
      </c>
    </row>
    <row r="44" spans="1:26" s="27" customFormat="1" outlineLevel="1" collapsed="1" x14ac:dyDescent="0.25">
      <c r="A44" s="25"/>
      <c r="B44" s="13" t="str">
        <f>CONCATENATE("     ","Telephone/Data Lines                              ")</f>
        <v xml:space="preserve">     Telephone/Data Lines                              </v>
      </c>
      <c r="C44" s="13"/>
      <c r="D44" s="1">
        <f>SUM(OSRRefD22_6x_0)</f>
        <v>72.349999999999994</v>
      </c>
      <c r="E44" s="1"/>
      <c r="F44" s="5">
        <f t="shared" ref="F44:F47" si="24">IF(D$12=0,0,D44/D$12)</f>
        <v>0</v>
      </c>
      <c r="G44" s="1"/>
      <c r="H44" s="1">
        <f>SUM(OSRRefH22_6x_0)</f>
        <v>146.4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-74.050000000000011</v>
      </c>
      <c r="M44" s="1"/>
      <c r="N44" s="5">
        <f t="shared" ref="N44:N47" si="27">IF(H44=0,0,L44/H44)</f>
        <v>-0.50580601092896182</v>
      </c>
      <c r="O44" s="13"/>
      <c r="P44" s="1">
        <f>SUM(OSRRefP22_6x_0)</f>
        <v>441.8</v>
      </c>
      <c r="Q44" s="1"/>
      <c r="R44" s="5">
        <f t="shared" ref="R44:R47" si="28">IF(P$12=0,0,P44/P$12)</f>
        <v>0</v>
      </c>
      <c r="S44" s="1"/>
      <c r="T44" s="1">
        <f>SUM(OSRRefT22_6x_0)</f>
        <v>812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-370.2</v>
      </c>
      <c r="Y44" s="1"/>
      <c r="Z44" s="5">
        <f t="shared" ref="Z44:Z47" si="31">IF(T44=0,0,X44/T44)</f>
        <v>-0.45591133004926104</v>
      </c>
    </row>
    <row r="45" spans="1:26" s="24" customFormat="1" hidden="1" outlineLevel="2" x14ac:dyDescent="0.25">
      <c r="A45" s="26"/>
      <c r="B45" s="11" t="str">
        <f>CONCATENATE("          ", "6309", " - ", "TELEPHONE")</f>
        <v xml:space="preserve">          6309 - TELEPHONE</v>
      </c>
      <c r="C45" s="11"/>
      <c r="D45" s="6">
        <v>72.349999999999994</v>
      </c>
      <c r="E45" s="2"/>
      <c r="F45" s="7">
        <f t="shared" si="24"/>
        <v>0</v>
      </c>
      <c r="G45" s="2"/>
      <c r="H45" s="6">
        <v>146.4</v>
      </c>
      <c r="I45" s="2"/>
      <c r="J45" s="7">
        <f t="shared" si="25"/>
        <v>0</v>
      </c>
      <c r="K45" s="2"/>
      <c r="L45" s="6">
        <f t="shared" si="26"/>
        <v>-74.050000000000011</v>
      </c>
      <c r="M45" s="2"/>
      <c r="N45" s="7">
        <f t="shared" si="27"/>
        <v>-0.50580601092896182</v>
      </c>
      <c r="O45" s="11"/>
      <c r="P45" s="6">
        <v>441.8</v>
      </c>
      <c r="Q45" s="2"/>
      <c r="R45" s="7">
        <f t="shared" si="28"/>
        <v>0</v>
      </c>
      <c r="S45" s="2"/>
      <c r="T45" s="6">
        <v>812</v>
      </c>
      <c r="U45" s="2"/>
      <c r="V45" s="7">
        <f t="shared" si="29"/>
        <v>0</v>
      </c>
      <c r="W45" s="2"/>
      <c r="X45" s="6">
        <f t="shared" si="30"/>
        <v>-370.2</v>
      </c>
      <c r="Y45" s="2"/>
      <c r="Z45" s="7">
        <f t="shared" si="31"/>
        <v>-0.45591133004926104</v>
      </c>
    </row>
    <row r="46" spans="1:26" s="27" customFormat="1" outlineLevel="1" collapsed="1" x14ac:dyDescent="0.25">
      <c r="A46" s="25"/>
      <c r="B46" s="13" t="str">
        <f>CONCATENATE("     ","Travel                                            ")</f>
        <v xml:space="preserve">     Travel                                            </v>
      </c>
      <c r="C46" s="13"/>
      <c r="D46" s="1">
        <f>SUM(OSRRefD22_7x_0)</f>
        <v>0</v>
      </c>
      <c r="E46" s="1"/>
      <c r="F46" s="5">
        <f t="shared" si="24"/>
        <v>0</v>
      </c>
      <c r="G46" s="1"/>
      <c r="H46" s="1">
        <f>SUM(OSRRefH22_7x_0)</f>
        <v>98.35</v>
      </c>
      <c r="I46" s="1"/>
      <c r="J46" s="5">
        <f t="shared" si="25"/>
        <v>0</v>
      </c>
      <c r="K46" s="1"/>
      <c r="L46" s="1">
        <f t="shared" si="26"/>
        <v>-98.35</v>
      </c>
      <c r="M46" s="1"/>
      <c r="N46" s="5">
        <f t="shared" si="27"/>
        <v>-1</v>
      </c>
      <c r="O46" s="13"/>
      <c r="P46" s="1">
        <f>SUM(OSRRefP22_7x_0)</f>
        <v>118.32</v>
      </c>
      <c r="Q46" s="1"/>
      <c r="R46" s="5">
        <f t="shared" si="28"/>
        <v>0</v>
      </c>
      <c r="S46" s="1"/>
      <c r="T46" s="1">
        <f>SUM(OSRRefT22_7x_0)</f>
        <v>1009.58</v>
      </c>
      <c r="U46" s="1"/>
      <c r="V46" s="5">
        <f t="shared" si="29"/>
        <v>0</v>
      </c>
      <c r="W46" s="1"/>
      <c r="X46" s="1">
        <f t="shared" si="30"/>
        <v>-891.26</v>
      </c>
      <c r="Y46" s="1"/>
      <c r="Z46" s="5">
        <f t="shared" si="31"/>
        <v>-0.88280274965827366</v>
      </c>
    </row>
    <row r="47" spans="1:26" s="24" customFormat="1" hidden="1" outlineLevel="2" x14ac:dyDescent="0.25">
      <c r="A47" s="26"/>
      <c r="B47" s="11" t="str">
        <f>CONCATENATE("          ", "6292", " - ", "TRAVEL/CONFERENCE")</f>
        <v xml:space="preserve">          6292 - TRAVEL/CONFERENCE</v>
      </c>
      <c r="C47" s="11"/>
      <c r="D47" s="6"/>
      <c r="E47" s="2"/>
      <c r="F47" s="7">
        <f t="shared" si="24"/>
        <v>0</v>
      </c>
      <c r="G47" s="2"/>
      <c r="H47" s="6">
        <v>98.35</v>
      </c>
      <c r="I47" s="2"/>
      <c r="J47" s="7">
        <f t="shared" si="25"/>
        <v>0</v>
      </c>
      <c r="K47" s="2"/>
      <c r="L47" s="6">
        <f t="shared" si="26"/>
        <v>-98.35</v>
      </c>
      <c r="M47" s="2"/>
      <c r="N47" s="7">
        <f t="shared" si="27"/>
        <v>-1</v>
      </c>
      <c r="O47" s="11"/>
      <c r="P47" s="6">
        <v>118.32</v>
      </c>
      <c r="Q47" s="2"/>
      <c r="R47" s="7">
        <f t="shared" si="28"/>
        <v>0</v>
      </c>
      <c r="S47" s="2"/>
      <c r="T47" s="6">
        <v>1009.58</v>
      </c>
      <c r="U47" s="2"/>
      <c r="V47" s="7">
        <f t="shared" si="29"/>
        <v>0</v>
      </c>
      <c r="W47" s="2"/>
      <c r="X47" s="6">
        <f t="shared" si="30"/>
        <v>-891.26</v>
      </c>
      <c r="Y47" s="2"/>
      <c r="Z47" s="7">
        <f t="shared" si="31"/>
        <v>-0.88280274965827366</v>
      </c>
    </row>
    <row r="48" spans="1:26" s="61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8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9" t="s">
        <v>3</v>
      </c>
      <c r="C51" s="29"/>
      <c r="D51" s="20">
        <f>+D16-D18+D49</f>
        <v>-7117.0700000000006</v>
      </c>
      <c r="E51" s="14"/>
      <c r="F51" s="21">
        <f>IF(D$12=0,0,D51/D$12)</f>
        <v>0</v>
      </c>
      <c r="G51" s="14"/>
      <c r="H51" s="20">
        <f>+H16-H18+H49</f>
        <v>-7214.8299999999981</v>
      </c>
      <c r="I51" s="14"/>
      <c r="J51" s="21">
        <f>IF(H$12=0,0,H51/H$12)</f>
        <v>0</v>
      </c>
      <c r="K51" s="15"/>
      <c r="L51" s="20">
        <f>+D51-H51</f>
        <v>97.75999999999749</v>
      </c>
      <c r="M51" s="15"/>
      <c r="N51" s="21">
        <f>IF(H51=0,0,L51/H51)</f>
        <v>-1.3549868811877412E-2</v>
      </c>
      <c r="O51" s="28"/>
      <c r="P51" s="20">
        <f>+P16-P18+P49</f>
        <v>-43721.52</v>
      </c>
      <c r="Q51" s="14"/>
      <c r="R51" s="21">
        <f>IF(P$12=0,0,P51/P$12)</f>
        <v>0</v>
      </c>
      <c r="S51" s="14"/>
      <c r="T51" s="20">
        <f>+T16-T18+T49</f>
        <v>-44079.940000000024</v>
      </c>
      <c r="U51" s="14"/>
      <c r="V51" s="21">
        <f>IF(T$12=0,0,T51/T$12)</f>
        <v>0</v>
      </c>
      <c r="W51" s="15"/>
      <c r="X51" s="20">
        <f>+P51-T51</f>
        <v>358.42000000002736</v>
      </c>
      <c r="Y51" s="15"/>
      <c r="Z51" s="21">
        <f>IF(T51=0,0,X51/T51)</f>
        <v>-8.1311362946507454E-3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9" t="s">
        <v>4</v>
      </c>
      <c r="C55" s="29"/>
      <c r="D55" s="32">
        <f>+D51-D53</f>
        <v>-7117.0700000000006</v>
      </c>
      <c r="E55" s="14"/>
      <c r="F55" s="30">
        <f>IF(D$12=0,0,D55/D$12)</f>
        <v>0</v>
      </c>
      <c r="G55" s="14"/>
      <c r="H55" s="32">
        <f>+H51-H53</f>
        <v>-7214.8299999999981</v>
      </c>
      <c r="I55" s="14"/>
      <c r="J55" s="30">
        <f>IF(H$12=0,0,H55/H$12)</f>
        <v>0</v>
      </c>
      <c r="K55" s="15"/>
      <c r="L55" s="32">
        <f>D55-H55</f>
        <v>97.75999999999749</v>
      </c>
      <c r="M55" s="15"/>
      <c r="N55" s="30">
        <f>IF(H55=0,0,L55/H55)</f>
        <v>-1.3549868811877412E-2</v>
      </c>
      <c r="O55" s="28"/>
      <c r="P55" s="32">
        <f>+P51-P53</f>
        <v>-43721.52</v>
      </c>
      <c r="Q55" s="14"/>
      <c r="R55" s="30">
        <f>IF(P$12=0,0,P55/P$12)</f>
        <v>0</v>
      </c>
      <c r="S55" s="14"/>
      <c r="T55" s="32">
        <f>+T51-T53</f>
        <v>-44079.940000000024</v>
      </c>
      <c r="U55" s="14"/>
      <c r="V55" s="30">
        <f>IF(T$12=0,0,T55/T$12)</f>
        <v>0</v>
      </c>
      <c r="W55" s="15"/>
      <c r="X55" s="32">
        <f>P55-T55</f>
        <v>358.42000000002736</v>
      </c>
      <c r="Y55" s="15"/>
      <c r="Z55" s="30">
        <f>IF(T55=0,0,X55/T55)</f>
        <v>-8.1311362946507454E-3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9" t="s">
        <v>5</v>
      </c>
      <c r="C58" s="29"/>
      <c r="D58" s="36">
        <f>SUM(D55:D57)</f>
        <v>-7117.0700000000006</v>
      </c>
      <c r="E58" s="14"/>
      <c r="F58" s="31">
        <f>IF(D$12=0,0,D58/D$12)</f>
        <v>0</v>
      </c>
      <c r="G58" s="14"/>
      <c r="H58" s="36">
        <f>SUM(H55:H57)</f>
        <v>-7214.8299999999981</v>
      </c>
      <c r="I58" s="14"/>
      <c r="J58" s="31">
        <f>IF(H$12=0,0,H58/H$12)</f>
        <v>0</v>
      </c>
      <c r="K58" s="15"/>
      <c r="L58" s="36">
        <f>+D58-H58</f>
        <v>97.75999999999749</v>
      </c>
      <c r="M58" s="15"/>
      <c r="N58" s="31">
        <f>IF(H58=0,0,L58/H58)</f>
        <v>-1.3549868811877412E-2</v>
      </c>
      <c r="O58" s="28"/>
      <c r="P58" s="36">
        <f>SUM(P55:P57)</f>
        <v>-43721.52</v>
      </c>
      <c r="Q58" s="14"/>
      <c r="R58" s="31">
        <f>IF(P$12=0,0,P58/P$12)</f>
        <v>0</v>
      </c>
      <c r="S58" s="14"/>
      <c r="T58" s="36">
        <f>SUM(T55:T57)</f>
        <v>-44079.940000000024</v>
      </c>
      <c r="U58" s="14"/>
      <c r="V58" s="31">
        <f>IF(T$12=0,0,T58/T$12)</f>
        <v>0</v>
      </c>
      <c r="W58" s="15"/>
      <c r="X58" s="36">
        <f>+P58-T58</f>
        <v>358.42000000002736</v>
      </c>
      <c r="Y58" s="15"/>
      <c r="Z58" s="31">
        <f>IF(T58=0,0,X58/T58)</f>
        <v>-8.1311362946507454E-3</v>
      </c>
    </row>
    <row r="59" spans="1:26" ht="15.75" thickTop="1" x14ac:dyDescent="0.25">
      <c r="A59" s="9"/>
      <c r="C59" s="9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62">
        <v>43847.45353796296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6" t="s">
        <v>313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4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7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307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651972.68000000017</v>
      </c>
      <c r="E12" s="4"/>
      <c r="F12" s="12"/>
      <c r="G12" s="4"/>
      <c r="H12" s="4">
        <f>SUM(OSRRefH13x_0)</f>
        <v>775253.77000000037</v>
      </c>
      <c r="I12" s="4"/>
      <c r="J12" s="12"/>
      <c r="K12" s="4"/>
      <c r="L12" s="4">
        <f t="shared" ref="L12:L108" si="0">+D12-H12</f>
        <v>-123281.0900000002</v>
      </c>
      <c r="M12" s="4"/>
      <c r="N12" s="12">
        <f t="shared" ref="N12:N108" si="1">IF(H12=0,0,L12/H12)</f>
        <v>-0.15902030376453397</v>
      </c>
      <c r="O12" s="10"/>
      <c r="P12" s="4">
        <f>SUM(OSRRefP13x_0)</f>
        <v>7141977.129999999</v>
      </c>
      <c r="Q12" s="4"/>
      <c r="R12" s="12"/>
      <c r="S12" s="4"/>
      <c r="T12" s="4">
        <f>SUM(OSRRefT13x_0)</f>
        <v>7467077.6900000023</v>
      </c>
      <c r="U12" s="4"/>
      <c r="V12" s="12"/>
      <c r="W12" s="4"/>
      <c r="X12" s="4">
        <f t="shared" ref="X12:X108" si="2">+P12-T12</f>
        <v>-325100.56000000332</v>
      </c>
      <c r="Y12" s="4"/>
      <c r="Z12" s="12">
        <f t="shared" ref="Z12:Z108" si="3">IF(T12=0,0,X12/T12)</f>
        <v>-4.3537856909588848E-2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--426.09</f>
        <v>426.09</v>
      </c>
      <c r="I13" s="2"/>
      <c r="J13" s="19"/>
      <c r="K13" s="2"/>
      <c r="L13" s="2">
        <f t="shared" si="0"/>
        <v>-426.09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--426.09</f>
        <v>426.09</v>
      </c>
      <c r="U13" s="2"/>
      <c r="V13" s="19"/>
      <c r="W13" s="2"/>
      <c r="X13" s="2">
        <f t="shared" si="2"/>
        <v>-426.09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--36689.95</f>
        <v>36689.949999999997</v>
      </c>
      <c r="E14" s="2"/>
      <c r="F14" s="19"/>
      <c r="G14" s="2"/>
      <c r="H14" s="2">
        <f>--19357.4</f>
        <v>19357.400000000001</v>
      </c>
      <c r="I14" s="2"/>
      <c r="J14" s="19"/>
      <c r="K14" s="2"/>
      <c r="L14" s="2">
        <f t="shared" si="0"/>
        <v>17332.549999999996</v>
      </c>
      <c r="M14" s="2"/>
      <c r="N14" s="19">
        <f t="shared" si="1"/>
        <v>0.89539659251758985</v>
      </c>
      <c r="O14" s="11"/>
      <c r="P14" s="2">
        <f>--1540034.38</f>
        <v>1540034.38</v>
      </c>
      <c r="Q14" s="2"/>
      <c r="R14" s="19"/>
      <c r="S14" s="2"/>
      <c r="T14" s="2">
        <f>--1869627.25</f>
        <v>1869627.25</v>
      </c>
      <c r="U14" s="2"/>
      <c r="V14" s="19"/>
      <c r="W14" s="2"/>
      <c r="X14" s="2">
        <f t="shared" si="2"/>
        <v>-329592.87000000011</v>
      </c>
      <c r="Y14" s="2"/>
      <c r="Z14" s="19">
        <f t="shared" si="3"/>
        <v>-0.17628801142045833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--10615.68</f>
        <v>10615.68</v>
      </c>
      <c r="E15" s="2"/>
      <c r="F15" s="19"/>
      <c r="G15" s="2"/>
      <c r="H15" s="2">
        <f>--14559.21</f>
        <v>14559.21</v>
      </c>
      <c r="I15" s="2"/>
      <c r="J15" s="19"/>
      <c r="K15" s="2"/>
      <c r="L15" s="2">
        <f t="shared" si="0"/>
        <v>-3943.5299999999988</v>
      </c>
      <c r="M15" s="2"/>
      <c r="N15" s="19">
        <f t="shared" si="1"/>
        <v>-0.27086153713010519</v>
      </c>
      <c r="O15" s="11"/>
      <c r="P15" s="2">
        <f>--681094.97</f>
        <v>681094.97</v>
      </c>
      <c r="Q15" s="2"/>
      <c r="R15" s="19"/>
      <c r="S15" s="2"/>
      <c r="T15" s="2">
        <f>--755941.45</f>
        <v>755941.45</v>
      </c>
      <c r="U15" s="2"/>
      <c r="V15" s="19"/>
      <c r="W15" s="2"/>
      <c r="X15" s="2">
        <f t="shared" si="2"/>
        <v>-74846.479999999981</v>
      </c>
      <c r="Y15" s="2"/>
      <c r="Z15" s="19">
        <f t="shared" si="3"/>
        <v>-9.9010948533117191E-2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--586.01</f>
        <v>586.01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586.01</v>
      </c>
      <c r="M16" s="2"/>
      <c r="N16" s="19">
        <f t="shared" si="1"/>
        <v>0</v>
      </c>
      <c r="O16" s="11"/>
      <c r="P16" s="2">
        <f>--16430.67</f>
        <v>16430.669999999998</v>
      </c>
      <c r="Q16" s="2"/>
      <c r="R16" s="19"/>
      <c r="S16" s="2"/>
      <c r="T16" s="2">
        <f>--9944.25</f>
        <v>9944.25</v>
      </c>
      <c r="U16" s="2"/>
      <c r="V16" s="19"/>
      <c r="W16" s="2"/>
      <c r="X16" s="2">
        <f t="shared" si="2"/>
        <v>6486.4199999999983</v>
      </c>
      <c r="Y16" s="2"/>
      <c r="Z16" s="19">
        <f t="shared" si="3"/>
        <v>0.65227845237197357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>
        <f>--56.78</f>
        <v>56.78</v>
      </c>
      <c r="I17" s="2"/>
      <c r="J17" s="19"/>
      <c r="K17" s="2"/>
      <c r="L17" s="2">
        <f t="shared" si="0"/>
        <v>-56.78</v>
      </c>
      <c r="M17" s="2"/>
      <c r="N17" s="19">
        <f t="shared" si="1"/>
        <v>-1</v>
      </c>
      <c r="O17" s="11"/>
      <c r="P17" s="2">
        <f>--30279.88</f>
        <v>30279.88</v>
      </c>
      <c r="Q17" s="2"/>
      <c r="R17" s="19"/>
      <c r="S17" s="2"/>
      <c r="T17" s="2">
        <f>--42682.1</f>
        <v>42682.1</v>
      </c>
      <c r="U17" s="2"/>
      <c r="V17" s="19"/>
      <c r="W17" s="2"/>
      <c r="X17" s="2">
        <f t="shared" si="2"/>
        <v>-12402.219999999998</v>
      </c>
      <c r="Y17" s="2"/>
      <c r="Z17" s="19">
        <f t="shared" si="3"/>
        <v>-0.29057192593616521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--3.62</f>
        <v>3.62</v>
      </c>
      <c r="E18" s="2"/>
      <c r="F18" s="19"/>
      <c r="G18" s="2"/>
      <c r="H18" s="2">
        <f>--0.52</f>
        <v>0.52</v>
      </c>
      <c r="I18" s="2"/>
      <c r="J18" s="19"/>
      <c r="K18" s="2"/>
      <c r="L18" s="2">
        <f t="shared" si="0"/>
        <v>3.1</v>
      </c>
      <c r="M18" s="2"/>
      <c r="N18" s="19">
        <f t="shared" si="1"/>
        <v>5.9615384615384617</v>
      </c>
      <c r="O18" s="11"/>
      <c r="P18" s="2">
        <f>--13.22</f>
        <v>13.22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7.3900000000000006</v>
      </c>
      <c r="Y18" s="2"/>
      <c r="Z18" s="19">
        <f t="shared" si="3"/>
        <v>1.2675814751286449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--167.6</f>
        <v>167.6</v>
      </c>
      <c r="E19" s="2"/>
      <c r="F19" s="19"/>
      <c r="G19" s="2"/>
      <c r="H19" s="2">
        <f>--192.11</f>
        <v>192.11</v>
      </c>
      <c r="I19" s="2"/>
      <c r="J19" s="19"/>
      <c r="K19" s="2"/>
      <c r="L19" s="2">
        <f t="shared" si="0"/>
        <v>-24.510000000000019</v>
      </c>
      <c r="M19" s="2"/>
      <c r="N19" s="19">
        <f t="shared" si="1"/>
        <v>-0.12758315548383747</v>
      </c>
      <c r="O19" s="11"/>
      <c r="P19" s="2">
        <f>--1280.32</f>
        <v>1280.32</v>
      </c>
      <c r="Q19" s="2"/>
      <c r="R19" s="19"/>
      <c r="S19" s="2"/>
      <c r="T19" s="2">
        <f>--2848.44</f>
        <v>2848.44</v>
      </c>
      <c r="U19" s="2"/>
      <c r="V19" s="19"/>
      <c r="W19" s="2"/>
      <c r="X19" s="2">
        <f t="shared" si="2"/>
        <v>-1568.1200000000001</v>
      </c>
      <c r="Y19" s="2"/>
      <c r="Z19" s="19">
        <f t="shared" si="3"/>
        <v>-0.55051888051003361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--109.34</f>
        <v>109.34</v>
      </c>
      <c r="E20" s="2"/>
      <c r="F20" s="19"/>
      <c r="G20" s="2"/>
      <c r="H20" s="2">
        <f>--66.52</f>
        <v>66.52</v>
      </c>
      <c r="I20" s="2"/>
      <c r="J20" s="19"/>
      <c r="K20" s="2"/>
      <c r="L20" s="2">
        <f t="shared" si="0"/>
        <v>42.820000000000007</v>
      </c>
      <c r="M20" s="2"/>
      <c r="N20" s="19">
        <f t="shared" si="1"/>
        <v>0.64371617558629002</v>
      </c>
      <c r="O20" s="11"/>
      <c r="P20" s="2">
        <f>--992.69</f>
        <v>992.69</v>
      </c>
      <c r="Q20" s="2"/>
      <c r="R20" s="19"/>
      <c r="S20" s="2"/>
      <c r="T20" s="2">
        <f>--1210.44</f>
        <v>1210.44</v>
      </c>
      <c r="U20" s="2"/>
      <c r="V20" s="19"/>
      <c r="W20" s="2"/>
      <c r="X20" s="2">
        <f t="shared" si="2"/>
        <v>-217.75</v>
      </c>
      <c r="Y20" s="2"/>
      <c r="Z20" s="19">
        <f t="shared" si="3"/>
        <v>-0.17989326195433064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>
        <f>--7.45</f>
        <v>7.45</v>
      </c>
      <c r="I21" s="2"/>
      <c r="J21" s="19"/>
      <c r="K21" s="2"/>
      <c r="L21" s="2">
        <f t="shared" si="0"/>
        <v>3.5300000000000002</v>
      </c>
      <c r="M21" s="2"/>
      <c r="N21" s="19">
        <f t="shared" si="1"/>
        <v>0.47382550335570472</v>
      </c>
      <c r="O21" s="11"/>
      <c r="P21" s="2">
        <f>--242.14</f>
        <v>242.14</v>
      </c>
      <c r="Q21" s="2"/>
      <c r="R21" s="19"/>
      <c r="S21" s="2"/>
      <c r="T21" s="2">
        <f>--651.02</f>
        <v>651.02</v>
      </c>
      <c r="U21" s="2"/>
      <c r="V21" s="19"/>
      <c r="W21" s="2"/>
      <c r="X21" s="2">
        <f t="shared" si="2"/>
        <v>-408.88</v>
      </c>
      <c r="Y21" s="2"/>
      <c r="Z21" s="19">
        <f t="shared" si="3"/>
        <v>-0.6280605818561642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--157.74</f>
        <v>157.74</v>
      </c>
      <c r="E22" s="2"/>
      <c r="F22" s="19"/>
      <c r="G22" s="2"/>
      <c r="H22" s="2">
        <f>--447.93</f>
        <v>447.93</v>
      </c>
      <c r="I22" s="2"/>
      <c r="J22" s="19"/>
      <c r="K22" s="2"/>
      <c r="L22" s="2">
        <f t="shared" si="0"/>
        <v>-290.19</v>
      </c>
      <c r="M22" s="2"/>
      <c r="N22" s="19">
        <f t="shared" si="1"/>
        <v>-0.64784676177081235</v>
      </c>
      <c r="O22" s="11"/>
      <c r="P22" s="2">
        <f>--2890.39</f>
        <v>2890.39</v>
      </c>
      <c r="Q22" s="2"/>
      <c r="R22" s="19"/>
      <c r="S22" s="2"/>
      <c r="T22" s="2">
        <f>--4167.48</f>
        <v>4167.4799999999996</v>
      </c>
      <c r="U22" s="2"/>
      <c r="V22" s="19"/>
      <c r="W22" s="2"/>
      <c r="X22" s="2">
        <f t="shared" si="2"/>
        <v>-1277.0899999999997</v>
      </c>
      <c r="Y22" s="2"/>
      <c r="Z22" s="19">
        <f t="shared" si="3"/>
        <v>-0.30644178256404347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--5.97</f>
        <v>5.97</v>
      </c>
      <c r="I23" s="2"/>
      <c r="J23" s="19"/>
      <c r="K23" s="2"/>
      <c r="L23" s="2">
        <f t="shared" si="0"/>
        <v>-5.97</v>
      </c>
      <c r="M23" s="2"/>
      <c r="N23" s="19">
        <f t="shared" si="1"/>
        <v>-1</v>
      </c>
      <c r="O23" s="11"/>
      <c r="P23" s="2">
        <f>--33.88</f>
        <v>33.880000000000003</v>
      </c>
      <c r="Q23" s="2"/>
      <c r="R23" s="19"/>
      <c r="S23" s="2"/>
      <c r="T23" s="2">
        <f>--60.45</f>
        <v>60.45</v>
      </c>
      <c r="U23" s="2"/>
      <c r="V23" s="19"/>
      <c r="W23" s="2"/>
      <c r="X23" s="2">
        <f t="shared" si="2"/>
        <v>-26.57</v>
      </c>
      <c r="Y23" s="2"/>
      <c r="Z23" s="19">
        <f t="shared" si="3"/>
        <v>-0.43953680727874272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--5588.38</f>
        <v>5588.38</v>
      </c>
      <c r="E24" s="2"/>
      <c r="F24" s="19"/>
      <c r="G24" s="2"/>
      <c r="H24" s="2">
        <f>--5824.07</f>
        <v>5824.07</v>
      </c>
      <c r="I24" s="2"/>
      <c r="J24" s="19"/>
      <c r="K24" s="2"/>
      <c r="L24" s="2">
        <f t="shared" si="0"/>
        <v>-235.6899999999996</v>
      </c>
      <c r="M24" s="2"/>
      <c r="N24" s="19">
        <f t="shared" si="1"/>
        <v>-4.0468263602600862E-2</v>
      </c>
      <c r="O24" s="11"/>
      <c r="P24" s="2">
        <f>--35133.1</f>
        <v>35133.1</v>
      </c>
      <c r="Q24" s="2"/>
      <c r="R24" s="19"/>
      <c r="S24" s="2"/>
      <c r="T24" s="2">
        <f>--33891.24</f>
        <v>33891.24</v>
      </c>
      <c r="U24" s="2"/>
      <c r="V24" s="19"/>
      <c r="W24" s="2"/>
      <c r="X24" s="2">
        <f t="shared" si="2"/>
        <v>1241.8600000000006</v>
      </c>
      <c r="Y24" s="2"/>
      <c r="Z24" s="19">
        <f t="shared" si="3"/>
        <v>3.6642507031315483E-2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--6254.22</f>
        <v>6254.22</v>
      </c>
      <c r="E25" s="2"/>
      <c r="F25" s="19"/>
      <c r="G25" s="2"/>
      <c r="H25" s="2">
        <f>--4791.23</f>
        <v>4791.2299999999996</v>
      </c>
      <c r="I25" s="2"/>
      <c r="J25" s="19"/>
      <c r="K25" s="2"/>
      <c r="L25" s="2">
        <f t="shared" si="0"/>
        <v>1462.9900000000007</v>
      </c>
      <c r="M25" s="2"/>
      <c r="N25" s="19">
        <f t="shared" si="1"/>
        <v>0.30534747862239986</v>
      </c>
      <c r="O25" s="11"/>
      <c r="P25" s="2">
        <f>--49928.17</f>
        <v>49928.17</v>
      </c>
      <c r="Q25" s="2"/>
      <c r="R25" s="19"/>
      <c r="S25" s="2"/>
      <c r="T25" s="2">
        <f>--42162.07</f>
        <v>42162.07</v>
      </c>
      <c r="U25" s="2"/>
      <c r="V25" s="19"/>
      <c r="W25" s="2"/>
      <c r="X25" s="2">
        <f t="shared" si="2"/>
        <v>7766.0999999999985</v>
      </c>
      <c r="Y25" s="2"/>
      <c r="Z25" s="19">
        <f t="shared" si="3"/>
        <v>0.18419636417282165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--10568.39</f>
        <v>10568.39</v>
      </c>
      <c r="E26" s="2"/>
      <c r="F26" s="19"/>
      <c r="G26" s="2"/>
      <c r="H26" s="2">
        <f>--8999.91</f>
        <v>8999.91</v>
      </c>
      <c r="I26" s="2"/>
      <c r="J26" s="19"/>
      <c r="K26" s="2"/>
      <c r="L26" s="2">
        <f t="shared" si="0"/>
        <v>1568.4799999999996</v>
      </c>
      <c r="M26" s="2"/>
      <c r="N26" s="19">
        <f t="shared" si="1"/>
        <v>0.1742772983285388</v>
      </c>
      <c r="O26" s="11"/>
      <c r="P26" s="2">
        <f>--165357.47</f>
        <v>165357.47</v>
      </c>
      <c r="Q26" s="2"/>
      <c r="R26" s="19"/>
      <c r="S26" s="2"/>
      <c r="T26" s="2">
        <f>--151191.99</f>
        <v>151191.99</v>
      </c>
      <c r="U26" s="2"/>
      <c r="V26" s="19"/>
      <c r="W26" s="2"/>
      <c r="X26" s="2">
        <f t="shared" si="2"/>
        <v>14165.48000000001</v>
      </c>
      <c r="Y26" s="2"/>
      <c r="Z26" s="19">
        <f t="shared" si="3"/>
        <v>9.3692000482300752E-2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--13684.86</f>
        <v>13684.86</v>
      </c>
      <c r="E27" s="2"/>
      <c r="F27" s="19"/>
      <c r="G27" s="2"/>
      <c r="H27" s="2">
        <f>--17860.47</f>
        <v>17860.47</v>
      </c>
      <c r="I27" s="2"/>
      <c r="J27" s="19"/>
      <c r="K27" s="2"/>
      <c r="L27" s="2">
        <f t="shared" si="0"/>
        <v>-4175.6100000000006</v>
      </c>
      <c r="M27" s="2"/>
      <c r="N27" s="19">
        <f t="shared" si="1"/>
        <v>-0.2337906001353828</v>
      </c>
      <c r="O27" s="11"/>
      <c r="P27" s="2">
        <f>--189637.57</f>
        <v>189637.57</v>
      </c>
      <c r="Q27" s="2"/>
      <c r="R27" s="19"/>
      <c r="S27" s="2"/>
      <c r="T27" s="2">
        <f>--196228.95</f>
        <v>196228.95</v>
      </c>
      <c r="U27" s="2"/>
      <c r="V27" s="19"/>
      <c r="W27" s="2"/>
      <c r="X27" s="2">
        <f t="shared" si="2"/>
        <v>-6591.3800000000047</v>
      </c>
      <c r="Y27" s="2"/>
      <c r="Z27" s="19">
        <f t="shared" si="3"/>
        <v>-3.3590252610534811E-2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--26.89</f>
        <v>26.89</v>
      </c>
      <c r="E28" s="2"/>
      <c r="F28" s="19"/>
      <c r="G28" s="2"/>
      <c r="H28" s="2">
        <f>--35.23</f>
        <v>35.229999999999997</v>
      </c>
      <c r="I28" s="2"/>
      <c r="J28" s="19"/>
      <c r="K28" s="2"/>
      <c r="L28" s="2">
        <f t="shared" si="0"/>
        <v>-8.3399999999999963</v>
      </c>
      <c r="M28" s="2"/>
      <c r="N28" s="19">
        <f t="shared" si="1"/>
        <v>-0.2367300596082883</v>
      </c>
      <c r="O28" s="11"/>
      <c r="P28" s="2">
        <f>--306.94</f>
        <v>306.94</v>
      </c>
      <c r="Q28" s="2"/>
      <c r="R28" s="19"/>
      <c r="S28" s="2"/>
      <c r="T28" s="2">
        <f>--323.52</f>
        <v>323.52</v>
      </c>
      <c r="U28" s="2"/>
      <c r="V28" s="19"/>
      <c r="W28" s="2"/>
      <c r="X28" s="2">
        <f t="shared" si="2"/>
        <v>-16.579999999999984</v>
      </c>
      <c r="Y28" s="2"/>
      <c r="Z28" s="19">
        <f t="shared" si="3"/>
        <v>-5.1248763600395604E-2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--28638.41</f>
        <v>28638.41</v>
      </c>
      <c r="E29" s="2"/>
      <c r="F29" s="19"/>
      <c r="G29" s="2"/>
      <c r="H29" s="2">
        <f>--33445.42</f>
        <v>33445.42</v>
      </c>
      <c r="I29" s="2"/>
      <c r="J29" s="19"/>
      <c r="K29" s="2"/>
      <c r="L29" s="2">
        <f t="shared" si="0"/>
        <v>-4807.0099999999984</v>
      </c>
      <c r="M29" s="2"/>
      <c r="N29" s="19">
        <f t="shared" si="1"/>
        <v>-0.14372700357776935</v>
      </c>
      <c r="O29" s="11"/>
      <c r="P29" s="2">
        <f>--190815.22</f>
        <v>190815.22</v>
      </c>
      <c r="Q29" s="2"/>
      <c r="R29" s="19"/>
      <c r="S29" s="2"/>
      <c r="T29" s="2">
        <f>--197715.38</f>
        <v>197715.38</v>
      </c>
      <c r="U29" s="2"/>
      <c r="V29" s="19"/>
      <c r="W29" s="2"/>
      <c r="X29" s="2">
        <f t="shared" si="2"/>
        <v>-6900.1600000000035</v>
      </c>
      <c r="Y29" s="2"/>
      <c r="Z29" s="19">
        <f t="shared" si="3"/>
        <v>-3.4899460021774749E-2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--22.41</f>
        <v>22.41</v>
      </c>
      <c r="E30" s="2"/>
      <c r="F30" s="19"/>
      <c r="G30" s="2"/>
      <c r="H30" s="2">
        <f>--20.19</f>
        <v>20.190000000000001</v>
      </c>
      <c r="I30" s="2"/>
      <c r="J30" s="19"/>
      <c r="K30" s="2"/>
      <c r="L30" s="2">
        <f t="shared" si="0"/>
        <v>2.2199999999999989</v>
      </c>
      <c r="M30" s="2"/>
      <c r="N30" s="19">
        <f t="shared" si="1"/>
        <v>0.10995542347696874</v>
      </c>
      <c r="O30" s="11"/>
      <c r="P30" s="2">
        <f>--131.02</f>
        <v>131.02000000000001</v>
      </c>
      <c r="Q30" s="2"/>
      <c r="R30" s="19"/>
      <c r="S30" s="2"/>
      <c r="T30" s="2">
        <f>--132.44</f>
        <v>132.44</v>
      </c>
      <c r="U30" s="2"/>
      <c r="V30" s="19"/>
      <c r="W30" s="2"/>
      <c r="X30" s="2">
        <f t="shared" si="2"/>
        <v>-1.4199999999999875</v>
      </c>
      <c r="Y30" s="2"/>
      <c r="Z30" s="19">
        <f t="shared" si="3"/>
        <v>-1.0721836303231558E-2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--830.01</f>
        <v>830.01</v>
      </c>
      <c r="E31" s="2"/>
      <c r="F31" s="19"/>
      <c r="G31" s="2"/>
      <c r="H31" s="2">
        <f>--864.1</f>
        <v>864.1</v>
      </c>
      <c r="I31" s="2"/>
      <c r="J31" s="19"/>
      <c r="K31" s="2"/>
      <c r="L31" s="2">
        <f t="shared" si="0"/>
        <v>-34.090000000000032</v>
      </c>
      <c r="M31" s="2"/>
      <c r="N31" s="19">
        <f t="shared" si="1"/>
        <v>-3.9451452378197006E-2</v>
      </c>
      <c r="O31" s="11"/>
      <c r="P31" s="2">
        <f>--7473.43</f>
        <v>7473.43</v>
      </c>
      <c r="Q31" s="2"/>
      <c r="R31" s="19"/>
      <c r="S31" s="2"/>
      <c r="T31" s="2">
        <f>--5746.7</f>
        <v>5746.7</v>
      </c>
      <c r="U31" s="2"/>
      <c r="V31" s="19"/>
      <c r="W31" s="2"/>
      <c r="X31" s="2">
        <f t="shared" si="2"/>
        <v>1726.7300000000005</v>
      </c>
      <c r="Y31" s="2"/>
      <c r="Z31" s="19">
        <f t="shared" si="3"/>
        <v>0.30047331511998199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--133.49</f>
        <v>133.49</v>
      </c>
      <c r="E32" s="2"/>
      <c r="F32" s="19"/>
      <c r="G32" s="2"/>
      <c r="H32" s="2">
        <f>--199.7</f>
        <v>199.7</v>
      </c>
      <c r="I32" s="2"/>
      <c r="J32" s="19"/>
      <c r="K32" s="2"/>
      <c r="L32" s="2">
        <f t="shared" si="0"/>
        <v>-66.20999999999998</v>
      </c>
      <c r="M32" s="2"/>
      <c r="N32" s="19">
        <f t="shared" si="1"/>
        <v>-0.3315473209814721</v>
      </c>
      <c r="O32" s="11"/>
      <c r="P32" s="2">
        <f>--1267.09</f>
        <v>1267.0899999999999</v>
      </c>
      <c r="Q32" s="2"/>
      <c r="R32" s="19"/>
      <c r="S32" s="2"/>
      <c r="T32" s="2">
        <f>--1589.63</f>
        <v>1589.63</v>
      </c>
      <c r="U32" s="2"/>
      <c r="V32" s="19"/>
      <c r="W32" s="2"/>
      <c r="X32" s="2">
        <f t="shared" si="2"/>
        <v>-322.54000000000019</v>
      </c>
      <c r="Y32" s="2"/>
      <c r="Z32" s="19">
        <f t="shared" si="3"/>
        <v>-0.20290256223146277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--19.09</f>
        <v>19.09</v>
      </c>
      <c r="E33" s="2"/>
      <c r="F33" s="19"/>
      <c r="G33" s="2"/>
      <c r="H33" s="2">
        <f>--35.98</f>
        <v>35.979999999999997</v>
      </c>
      <c r="I33" s="2"/>
      <c r="J33" s="19"/>
      <c r="K33" s="2"/>
      <c r="L33" s="2">
        <f t="shared" si="0"/>
        <v>-16.889999999999997</v>
      </c>
      <c r="M33" s="2"/>
      <c r="N33" s="19">
        <f t="shared" si="1"/>
        <v>-0.46942745969983318</v>
      </c>
      <c r="O33" s="11"/>
      <c r="P33" s="2">
        <f>--396.26</f>
        <v>396.26</v>
      </c>
      <c r="Q33" s="2"/>
      <c r="R33" s="19"/>
      <c r="S33" s="2"/>
      <c r="T33" s="2">
        <f>--417.83</f>
        <v>417.83</v>
      </c>
      <c r="U33" s="2"/>
      <c r="V33" s="19"/>
      <c r="W33" s="2"/>
      <c r="X33" s="2">
        <f t="shared" si="2"/>
        <v>-21.569999999999993</v>
      </c>
      <c r="Y33" s="2"/>
      <c r="Z33" s="19">
        <f t="shared" si="3"/>
        <v>-5.1623866165665451E-2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--193654.24</f>
        <v>193654.24</v>
      </c>
      <c r="E34" s="2"/>
      <c r="F34" s="19"/>
      <c r="G34" s="2"/>
      <c r="H34" s="2">
        <f>--284644.7</f>
        <v>284644.7</v>
      </c>
      <c r="I34" s="2"/>
      <c r="J34" s="19"/>
      <c r="K34" s="2"/>
      <c r="L34" s="2">
        <f t="shared" si="0"/>
        <v>-90990.460000000021</v>
      </c>
      <c r="M34" s="2"/>
      <c r="N34" s="19">
        <f t="shared" si="1"/>
        <v>-0.31966328549240514</v>
      </c>
      <c r="O34" s="11"/>
      <c r="P34" s="2">
        <f>--1291791.18</f>
        <v>1291791.18</v>
      </c>
      <c r="Q34" s="2"/>
      <c r="R34" s="19"/>
      <c r="S34" s="2"/>
      <c r="T34" s="2">
        <f>--1197113.16</f>
        <v>1197113.1599999999</v>
      </c>
      <c r="U34" s="2"/>
      <c r="V34" s="19"/>
      <c r="W34" s="2"/>
      <c r="X34" s="2">
        <f t="shared" si="2"/>
        <v>94678.020000000019</v>
      </c>
      <c r="Y34" s="2"/>
      <c r="Z34" s="19">
        <f t="shared" si="3"/>
        <v>7.9088613477442699E-2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--37979.16</f>
        <v>37979.160000000003</v>
      </c>
      <c r="E35" s="2"/>
      <c r="F35" s="19"/>
      <c r="G35" s="2"/>
      <c r="H35" s="2">
        <f>--48682.15</f>
        <v>48682.15</v>
      </c>
      <c r="I35" s="2"/>
      <c r="J35" s="19"/>
      <c r="K35" s="2"/>
      <c r="L35" s="2">
        <f t="shared" si="0"/>
        <v>-10702.989999999998</v>
      </c>
      <c r="M35" s="2"/>
      <c r="N35" s="19">
        <f t="shared" si="1"/>
        <v>-0.21985450519338193</v>
      </c>
      <c r="O35" s="11"/>
      <c r="P35" s="2">
        <f>--296126.81</f>
        <v>296126.81</v>
      </c>
      <c r="Q35" s="2"/>
      <c r="R35" s="19"/>
      <c r="S35" s="2"/>
      <c r="T35" s="2">
        <f>--315831.86</f>
        <v>315831.86</v>
      </c>
      <c r="U35" s="2"/>
      <c r="V35" s="19"/>
      <c r="W35" s="2"/>
      <c r="X35" s="2">
        <f t="shared" si="2"/>
        <v>-19705.049999999988</v>
      </c>
      <c r="Y35" s="2"/>
      <c r="Z35" s="19">
        <f t="shared" si="3"/>
        <v>-6.2390950678630042E-2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--44973.91</f>
        <v>44973.91</v>
      </c>
      <c r="E36" s="2"/>
      <c r="F36" s="19"/>
      <c r="G36" s="2"/>
      <c r="H36" s="2">
        <f>--38647.38</f>
        <v>38647.379999999997</v>
      </c>
      <c r="I36" s="2"/>
      <c r="J36" s="19"/>
      <c r="K36" s="2"/>
      <c r="L36" s="2">
        <f t="shared" si="0"/>
        <v>6326.5300000000061</v>
      </c>
      <c r="M36" s="2"/>
      <c r="N36" s="19">
        <f t="shared" si="1"/>
        <v>0.16369880700839246</v>
      </c>
      <c r="O36" s="11"/>
      <c r="P36" s="2">
        <f>--199952.1</f>
        <v>199952.1</v>
      </c>
      <c r="Q36" s="2"/>
      <c r="R36" s="19"/>
      <c r="S36" s="2"/>
      <c r="T36" s="2">
        <f>--159218.21</f>
        <v>159218.21</v>
      </c>
      <c r="U36" s="2"/>
      <c r="V36" s="19"/>
      <c r="W36" s="2"/>
      <c r="X36" s="2">
        <f t="shared" si="2"/>
        <v>40733.890000000014</v>
      </c>
      <c r="Y36" s="2"/>
      <c r="Z36" s="19">
        <f t="shared" si="3"/>
        <v>0.25583687946246864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--9497.44</f>
        <v>9497.44</v>
      </c>
      <c r="E37" s="2"/>
      <c r="F37" s="19"/>
      <c r="G37" s="2"/>
      <c r="H37" s="2">
        <f>--540.59</f>
        <v>540.59</v>
      </c>
      <c r="I37" s="2"/>
      <c r="J37" s="19"/>
      <c r="K37" s="2"/>
      <c r="L37" s="2">
        <f t="shared" si="0"/>
        <v>8956.85</v>
      </c>
      <c r="M37" s="2"/>
      <c r="N37" s="19">
        <f t="shared" si="1"/>
        <v>16.568656467933184</v>
      </c>
      <c r="O37" s="11"/>
      <c r="P37" s="2">
        <f>--14320.46</f>
        <v>14320.46</v>
      </c>
      <c r="Q37" s="2"/>
      <c r="R37" s="19"/>
      <c r="S37" s="2"/>
      <c r="T37" s="2">
        <f>--2173.67</f>
        <v>2173.67</v>
      </c>
      <c r="U37" s="2"/>
      <c r="V37" s="19"/>
      <c r="W37" s="2"/>
      <c r="X37" s="2">
        <f t="shared" si="2"/>
        <v>12146.789999999999</v>
      </c>
      <c r="Y37" s="2"/>
      <c r="Z37" s="19">
        <f t="shared" si="3"/>
        <v>5.588148154963724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--5438.42</f>
        <v>5438.42</v>
      </c>
      <c r="E38" s="2"/>
      <c r="F38" s="19"/>
      <c r="G38" s="2"/>
      <c r="H38" s="2">
        <f>--6002.11</f>
        <v>6002.11</v>
      </c>
      <c r="I38" s="2"/>
      <c r="J38" s="19"/>
      <c r="K38" s="2"/>
      <c r="L38" s="2">
        <f t="shared" si="0"/>
        <v>-563.6899999999996</v>
      </c>
      <c r="M38" s="2"/>
      <c r="N38" s="19">
        <f t="shared" si="1"/>
        <v>-9.3915306450564826E-2</v>
      </c>
      <c r="O38" s="11"/>
      <c r="P38" s="2">
        <f>--46736.2</f>
        <v>46736.2</v>
      </c>
      <c r="Q38" s="2"/>
      <c r="R38" s="19"/>
      <c r="S38" s="2"/>
      <c r="T38" s="2">
        <f>--45727.06</f>
        <v>45727.06</v>
      </c>
      <c r="U38" s="2"/>
      <c r="V38" s="19"/>
      <c r="W38" s="2"/>
      <c r="X38" s="2">
        <f t="shared" si="2"/>
        <v>1009.1399999999994</v>
      </c>
      <c r="Y38" s="2"/>
      <c r="Z38" s="19">
        <f t="shared" si="3"/>
        <v>2.2068770657899271E-2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--6487.38</f>
        <v>6487.38</v>
      </c>
      <c r="E39" s="2"/>
      <c r="F39" s="19"/>
      <c r="G39" s="2"/>
      <c r="H39" s="2">
        <f>--5090.77</f>
        <v>5090.7700000000004</v>
      </c>
      <c r="I39" s="2"/>
      <c r="J39" s="19"/>
      <c r="K39" s="2"/>
      <c r="L39" s="2">
        <f t="shared" si="0"/>
        <v>1396.6099999999997</v>
      </c>
      <c r="M39" s="2"/>
      <c r="N39" s="19">
        <f t="shared" si="1"/>
        <v>0.27434160254735523</v>
      </c>
      <c r="O39" s="11"/>
      <c r="P39" s="2">
        <f>--61005.82</f>
        <v>61005.82</v>
      </c>
      <c r="Q39" s="2"/>
      <c r="R39" s="19"/>
      <c r="S39" s="2"/>
      <c r="T39" s="2">
        <f>--68254.49</f>
        <v>68254.490000000005</v>
      </c>
      <c r="U39" s="2"/>
      <c r="V39" s="19"/>
      <c r="W39" s="2"/>
      <c r="X39" s="2">
        <f t="shared" si="2"/>
        <v>-7248.6700000000055</v>
      </c>
      <c r="Y39" s="2"/>
      <c r="Z39" s="19">
        <f t="shared" si="3"/>
        <v>-0.1062006323686545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--115.39</f>
        <v>115.39</v>
      </c>
      <c r="E40" s="2"/>
      <c r="F40" s="19"/>
      <c r="G40" s="2"/>
      <c r="H40" s="2">
        <f>--282.87</f>
        <v>282.87</v>
      </c>
      <c r="I40" s="2"/>
      <c r="J40" s="19"/>
      <c r="K40" s="2"/>
      <c r="L40" s="2">
        <f t="shared" si="0"/>
        <v>-167.48000000000002</v>
      </c>
      <c r="M40" s="2"/>
      <c r="N40" s="19">
        <f t="shared" si="1"/>
        <v>-0.59207409764202645</v>
      </c>
      <c r="O40" s="11"/>
      <c r="P40" s="2">
        <f>--1793.94</f>
        <v>1793.94</v>
      </c>
      <c r="Q40" s="2"/>
      <c r="R40" s="19"/>
      <c r="S40" s="2"/>
      <c r="T40" s="2">
        <f>--1892.28</f>
        <v>1892.28</v>
      </c>
      <c r="U40" s="2"/>
      <c r="V40" s="19"/>
      <c r="W40" s="2"/>
      <c r="X40" s="2">
        <f t="shared" si="2"/>
        <v>-98.339999999999918</v>
      </c>
      <c r="Y40" s="2"/>
      <c r="Z40" s="19">
        <f t="shared" si="3"/>
        <v>-5.1969053205656625E-2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--16373.97</f>
        <v>16373.97</v>
      </c>
      <c r="E41" s="2"/>
      <c r="F41" s="19"/>
      <c r="G41" s="2"/>
      <c r="H41" s="2">
        <f>--23123.91</f>
        <v>23123.91</v>
      </c>
      <c r="I41" s="2"/>
      <c r="J41" s="19"/>
      <c r="K41" s="2"/>
      <c r="L41" s="2">
        <f t="shared" si="0"/>
        <v>-6749.9400000000005</v>
      </c>
      <c r="M41" s="2"/>
      <c r="N41" s="19">
        <f t="shared" si="1"/>
        <v>-0.29190305618729706</v>
      </c>
      <c r="O41" s="11"/>
      <c r="P41" s="2">
        <f>--108371.16</f>
        <v>108371.16</v>
      </c>
      <c r="Q41" s="2"/>
      <c r="R41" s="19"/>
      <c r="S41" s="2"/>
      <c r="T41" s="2">
        <f>--128834.18</f>
        <v>128834.18</v>
      </c>
      <c r="U41" s="2"/>
      <c r="V41" s="19"/>
      <c r="W41" s="2"/>
      <c r="X41" s="2">
        <f t="shared" si="2"/>
        <v>-20463.01999999999</v>
      </c>
      <c r="Y41" s="2"/>
      <c r="Z41" s="19">
        <f t="shared" si="3"/>
        <v>-0.1588322291491279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--310.76</f>
        <v>310.76</v>
      </c>
      <c r="E42" s="2"/>
      <c r="F42" s="19"/>
      <c r="G42" s="2"/>
      <c r="H42" s="2">
        <f>--286.76</f>
        <v>286.76</v>
      </c>
      <c r="I42" s="2"/>
      <c r="J42" s="19"/>
      <c r="K42" s="2"/>
      <c r="L42" s="2">
        <f t="shared" si="0"/>
        <v>24</v>
      </c>
      <c r="M42" s="2"/>
      <c r="N42" s="19">
        <f t="shared" si="1"/>
        <v>8.3693681127074912E-2</v>
      </c>
      <c r="O42" s="11"/>
      <c r="P42" s="2">
        <f>--2534.43</f>
        <v>2534.4299999999998</v>
      </c>
      <c r="Q42" s="2"/>
      <c r="R42" s="19"/>
      <c r="S42" s="2"/>
      <c r="T42" s="2">
        <f>--2868.9</f>
        <v>2868.9</v>
      </c>
      <c r="U42" s="2"/>
      <c r="V42" s="19"/>
      <c r="W42" s="2"/>
      <c r="X42" s="2">
        <f t="shared" si="2"/>
        <v>-334.47000000000025</v>
      </c>
      <c r="Y42" s="2"/>
      <c r="Z42" s="19">
        <f t="shared" si="3"/>
        <v>-0.1165847537383667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--19</f>
        <v>19</v>
      </c>
      <c r="E43" s="2"/>
      <c r="F43" s="19"/>
      <c r="G43" s="2"/>
      <c r="H43" s="2">
        <f>--183</f>
        <v>183</v>
      </c>
      <c r="I43" s="2"/>
      <c r="J43" s="19"/>
      <c r="K43" s="2"/>
      <c r="L43" s="2">
        <f t="shared" si="0"/>
        <v>-164</v>
      </c>
      <c r="M43" s="2"/>
      <c r="N43" s="19">
        <f t="shared" si="1"/>
        <v>-0.89617486338797814</v>
      </c>
      <c r="O43" s="11"/>
      <c r="P43" s="2">
        <f>--181</f>
        <v>181</v>
      </c>
      <c r="Q43" s="2"/>
      <c r="R43" s="19"/>
      <c r="S43" s="2"/>
      <c r="T43" s="2">
        <f>--549</f>
        <v>549</v>
      </c>
      <c r="U43" s="2"/>
      <c r="V43" s="19"/>
      <c r="W43" s="2"/>
      <c r="X43" s="2">
        <f t="shared" si="2"/>
        <v>-368</v>
      </c>
      <c r="Y43" s="2"/>
      <c r="Z43" s="19">
        <f t="shared" si="3"/>
        <v>-0.67030965391621133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--129.88</f>
        <v>129.88</v>
      </c>
      <c r="E44" s="2"/>
      <c r="F44" s="19"/>
      <c r="G44" s="2"/>
      <c r="H44" s="2">
        <f>--154.89</f>
        <v>154.88999999999999</v>
      </c>
      <c r="I44" s="2"/>
      <c r="J44" s="19"/>
      <c r="K44" s="2"/>
      <c r="L44" s="2">
        <f t="shared" si="0"/>
        <v>-25.009999999999991</v>
      </c>
      <c r="M44" s="2"/>
      <c r="N44" s="19">
        <f t="shared" si="1"/>
        <v>-0.16146942991800628</v>
      </c>
      <c r="O44" s="11"/>
      <c r="P44" s="2">
        <f>--699.48</f>
        <v>699.48</v>
      </c>
      <c r="Q44" s="2"/>
      <c r="R44" s="19"/>
      <c r="S44" s="2"/>
      <c r="T44" s="2">
        <f>--844.33</f>
        <v>844.33</v>
      </c>
      <c r="U44" s="2"/>
      <c r="V44" s="19"/>
      <c r="W44" s="2"/>
      <c r="X44" s="2">
        <f t="shared" si="2"/>
        <v>-144.85000000000002</v>
      </c>
      <c r="Y44" s="2"/>
      <c r="Z44" s="19">
        <f t="shared" si="3"/>
        <v>-0.1715561451091398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--58.98</f>
        <v>58.98</v>
      </c>
      <c r="E45" s="2"/>
      <c r="F45" s="19"/>
      <c r="G45" s="2"/>
      <c r="H45" s="2">
        <f>--177.92</f>
        <v>177.92</v>
      </c>
      <c r="I45" s="2"/>
      <c r="J45" s="19"/>
      <c r="K45" s="2"/>
      <c r="L45" s="2">
        <f t="shared" si="0"/>
        <v>-118.94</v>
      </c>
      <c r="M45" s="2"/>
      <c r="N45" s="19">
        <f t="shared" si="1"/>
        <v>-0.66850269784172667</v>
      </c>
      <c r="O45" s="11"/>
      <c r="P45" s="2">
        <f>--698.77</f>
        <v>698.77</v>
      </c>
      <c r="Q45" s="2"/>
      <c r="R45" s="19"/>
      <c r="S45" s="2"/>
      <c r="T45" s="2">
        <f>--1273.32</f>
        <v>1273.32</v>
      </c>
      <c r="U45" s="2"/>
      <c r="V45" s="19"/>
      <c r="W45" s="2"/>
      <c r="X45" s="2">
        <f t="shared" si="2"/>
        <v>-574.54999999999995</v>
      </c>
      <c r="Y45" s="2"/>
      <c r="Z45" s="19">
        <f t="shared" si="3"/>
        <v>-0.45122200232463167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--218.75</f>
        <v>218.75</v>
      </c>
      <c r="E46" s="2"/>
      <c r="F46" s="19"/>
      <c r="G46" s="2"/>
      <c r="H46" s="2">
        <f>--334.6</f>
        <v>334.6</v>
      </c>
      <c r="I46" s="2"/>
      <c r="J46" s="19"/>
      <c r="K46" s="2"/>
      <c r="L46" s="2">
        <f t="shared" si="0"/>
        <v>-115.85000000000002</v>
      </c>
      <c r="M46" s="2"/>
      <c r="N46" s="19">
        <f t="shared" si="1"/>
        <v>-0.34623430962343099</v>
      </c>
      <c r="O46" s="11"/>
      <c r="P46" s="2">
        <f>--7659.37</f>
        <v>7659.37</v>
      </c>
      <c r="Q46" s="2"/>
      <c r="R46" s="19"/>
      <c r="S46" s="2"/>
      <c r="T46" s="2">
        <f>--6961.06</f>
        <v>6961.06</v>
      </c>
      <c r="U46" s="2"/>
      <c r="V46" s="19"/>
      <c r="W46" s="2"/>
      <c r="X46" s="2">
        <f t="shared" si="2"/>
        <v>698.30999999999949</v>
      </c>
      <c r="Y46" s="2"/>
      <c r="Z46" s="19">
        <f t="shared" si="3"/>
        <v>0.10031661844604119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--20.89</f>
        <v>20.89</v>
      </c>
      <c r="E47" s="2"/>
      <c r="F47" s="19"/>
      <c r="G47" s="2"/>
      <c r="H47" s="2">
        <f>--95.14</f>
        <v>95.14</v>
      </c>
      <c r="I47" s="2"/>
      <c r="J47" s="19"/>
      <c r="K47" s="2"/>
      <c r="L47" s="2">
        <f t="shared" si="0"/>
        <v>-74.25</v>
      </c>
      <c r="M47" s="2"/>
      <c r="N47" s="19">
        <f t="shared" si="1"/>
        <v>-0.78042884170695814</v>
      </c>
      <c r="O47" s="11"/>
      <c r="P47" s="2">
        <f>--297.33</f>
        <v>297.33</v>
      </c>
      <c r="Q47" s="2"/>
      <c r="R47" s="19"/>
      <c r="S47" s="2"/>
      <c r="T47" s="2">
        <f>--1332.78</f>
        <v>1332.78</v>
      </c>
      <c r="U47" s="2"/>
      <c r="V47" s="19"/>
      <c r="W47" s="2"/>
      <c r="X47" s="2">
        <f t="shared" si="2"/>
        <v>-1035.45</v>
      </c>
      <c r="Y47" s="2"/>
      <c r="Z47" s="19">
        <f t="shared" si="3"/>
        <v>-0.77690991761581063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--87.99</f>
        <v>87.99</v>
      </c>
      <c r="E48" s="2"/>
      <c r="F48" s="19"/>
      <c r="G48" s="2"/>
      <c r="H48" s="2">
        <f>-154.35</f>
        <v>-154.35</v>
      </c>
      <c r="I48" s="2"/>
      <c r="J48" s="19"/>
      <c r="K48" s="2"/>
      <c r="L48" s="2">
        <f t="shared" si="0"/>
        <v>242.33999999999997</v>
      </c>
      <c r="M48" s="2"/>
      <c r="N48" s="19">
        <f t="shared" si="1"/>
        <v>-1.5700680272108842</v>
      </c>
      <c r="O48" s="11"/>
      <c r="P48" s="2">
        <f>--335928.55</f>
        <v>335928.55</v>
      </c>
      <c r="Q48" s="2"/>
      <c r="R48" s="19"/>
      <c r="S48" s="2"/>
      <c r="T48" s="2">
        <f>--390585.92</f>
        <v>390585.92</v>
      </c>
      <c r="U48" s="2"/>
      <c r="V48" s="19"/>
      <c r="W48" s="2"/>
      <c r="X48" s="2">
        <f t="shared" si="2"/>
        <v>-54657.369999999995</v>
      </c>
      <c r="Y48" s="2"/>
      <c r="Z48" s="19">
        <f t="shared" si="3"/>
        <v>-0.13993686715588724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--2606.82</f>
        <v>2606.8200000000002</v>
      </c>
      <c r="E49" s="2"/>
      <c r="F49" s="19"/>
      <c r="G49" s="2"/>
      <c r="H49" s="2">
        <f>--45608.9</f>
        <v>45608.9</v>
      </c>
      <c r="I49" s="2"/>
      <c r="J49" s="19"/>
      <c r="K49" s="2"/>
      <c r="L49" s="2">
        <f t="shared" si="0"/>
        <v>-43002.080000000002</v>
      </c>
      <c r="M49" s="2"/>
      <c r="N49" s="19">
        <f t="shared" si="1"/>
        <v>-0.94284405017441775</v>
      </c>
      <c r="O49" s="11"/>
      <c r="P49" s="2">
        <f>--95287.57</f>
        <v>95287.57</v>
      </c>
      <c r="Q49" s="2"/>
      <c r="R49" s="19"/>
      <c r="S49" s="2"/>
      <c r="T49" s="2">
        <f>--194261.23</f>
        <v>194261.23</v>
      </c>
      <c r="U49" s="2"/>
      <c r="V49" s="19"/>
      <c r="W49" s="2"/>
      <c r="X49" s="2">
        <f t="shared" si="2"/>
        <v>-98973.66</v>
      </c>
      <c r="Y49" s="2"/>
      <c r="Z49" s="19">
        <f t="shared" si="3"/>
        <v>-0.50948745665823281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--595.75</f>
        <v>595.75</v>
      </c>
      <c r="E50" s="2"/>
      <c r="F50" s="19"/>
      <c r="G50" s="2"/>
      <c r="H50" s="2">
        <f>--3095.04</f>
        <v>3095.04</v>
      </c>
      <c r="I50" s="2"/>
      <c r="J50" s="19"/>
      <c r="K50" s="2"/>
      <c r="L50" s="2">
        <f t="shared" si="0"/>
        <v>-2499.29</v>
      </c>
      <c r="M50" s="2"/>
      <c r="N50" s="19">
        <f t="shared" si="1"/>
        <v>-0.80751460401157982</v>
      </c>
      <c r="O50" s="11"/>
      <c r="P50" s="2">
        <f>--38202.59</f>
        <v>38202.589999999997</v>
      </c>
      <c r="Q50" s="2"/>
      <c r="R50" s="19"/>
      <c r="S50" s="2"/>
      <c r="T50" s="2">
        <f>--53955.66</f>
        <v>53955.66</v>
      </c>
      <c r="U50" s="2"/>
      <c r="V50" s="19"/>
      <c r="W50" s="2"/>
      <c r="X50" s="2">
        <f t="shared" si="2"/>
        <v>-15753.070000000007</v>
      </c>
      <c r="Y50" s="2"/>
      <c r="Z50" s="19">
        <f t="shared" si="3"/>
        <v>-0.29196325278942015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--329.98</f>
        <v>329.98</v>
      </c>
      <c r="Q51" s="2"/>
      <c r="R51" s="19"/>
      <c r="S51" s="2"/>
      <c r="T51" s="2">
        <f>--509.85</f>
        <v>509.85</v>
      </c>
      <c r="U51" s="2"/>
      <c r="V51" s="19"/>
      <c r="W51" s="2"/>
      <c r="X51" s="2">
        <f t="shared" si="2"/>
        <v>-179.87</v>
      </c>
      <c r="Y51" s="2"/>
      <c r="Z51" s="19">
        <f t="shared" si="3"/>
        <v>-0.35279003628518191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--12189.74</f>
        <v>12189.74</v>
      </c>
      <c r="E52" s="2"/>
      <c r="F52" s="19"/>
      <c r="G52" s="2"/>
      <c r="H52" s="2">
        <f>--3241.51</f>
        <v>3241.51</v>
      </c>
      <c r="I52" s="2"/>
      <c r="J52" s="19"/>
      <c r="K52" s="2"/>
      <c r="L52" s="2">
        <f t="shared" si="0"/>
        <v>8948.23</v>
      </c>
      <c r="M52" s="2"/>
      <c r="N52" s="19">
        <f t="shared" si="1"/>
        <v>2.7605128474075351</v>
      </c>
      <c r="O52" s="11"/>
      <c r="P52" s="2">
        <f>--332888.83</f>
        <v>332888.83</v>
      </c>
      <c r="Q52" s="2"/>
      <c r="R52" s="19"/>
      <c r="S52" s="2"/>
      <c r="T52" s="2">
        <f>--340965.12</f>
        <v>340965.12</v>
      </c>
      <c r="U52" s="2"/>
      <c r="V52" s="19"/>
      <c r="W52" s="2"/>
      <c r="X52" s="2">
        <f t="shared" si="2"/>
        <v>-8076.289999999979</v>
      </c>
      <c r="Y52" s="2"/>
      <c r="Z52" s="19">
        <f t="shared" si="3"/>
        <v>-2.3686557733529984E-2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--431.78</f>
        <v>431.78</v>
      </c>
      <c r="E53" s="2"/>
      <c r="F53" s="19"/>
      <c r="G53" s="2"/>
      <c r="H53" s="2">
        <f>--1236.5</f>
        <v>1236.5</v>
      </c>
      <c r="I53" s="2"/>
      <c r="J53" s="19"/>
      <c r="K53" s="2"/>
      <c r="L53" s="2">
        <f t="shared" si="0"/>
        <v>-804.72</v>
      </c>
      <c r="M53" s="2"/>
      <c r="N53" s="19">
        <f t="shared" si="1"/>
        <v>-0.6508046906591185</v>
      </c>
      <c r="O53" s="11"/>
      <c r="P53" s="2">
        <f>--8023.97</f>
        <v>8023.97</v>
      </c>
      <c r="Q53" s="2"/>
      <c r="R53" s="19"/>
      <c r="S53" s="2"/>
      <c r="T53" s="2">
        <f>--11154.48</f>
        <v>11154.48</v>
      </c>
      <c r="U53" s="2"/>
      <c r="V53" s="19"/>
      <c r="W53" s="2"/>
      <c r="X53" s="2">
        <f t="shared" si="2"/>
        <v>-3130.5099999999993</v>
      </c>
      <c r="Y53" s="2"/>
      <c r="Z53" s="19">
        <f t="shared" si="3"/>
        <v>-0.28065046510460367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0</f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--1146.72</f>
        <v>1146.72</v>
      </c>
      <c r="Q54" s="2"/>
      <c r="R54" s="19"/>
      <c r="S54" s="2"/>
      <c r="T54" s="2">
        <f>--38.23</f>
        <v>38.229999999999997</v>
      </c>
      <c r="U54" s="2"/>
      <c r="V54" s="19"/>
      <c r="W54" s="2"/>
      <c r="X54" s="2">
        <f t="shared" si="2"/>
        <v>1108.49</v>
      </c>
      <c r="Y54" s="2"/>
      <c r="Z54" s="19">
        <f t="shared" si="3"/>
        <v>28.995291655767723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--6.95</f>
        <v>6.95</v>
      </c>
      <c r="E55" s="2"/>
      <c r="F55" s="19"/>
      <c r="G55" s="2"/>
      <c r="H55" s="2">
        <f>--10.89</f>
        <v>10.89</v>
      </c>
      <c r="I55" s="2"/>
      <c r="J55" s="19"/>
      <c r="K55" s="2"/>
      <c r="L55" s="2">
        <f t="shared" si="0"/>
        <v>-3.9400000000000004</v>
      </c>
      <c r="M55" s="2"/>
      <c r="N55" s="19">
        <f t="shared" si="1"/>
        <v>-0.36179981634527092</v>
      </c>
      <c r="O55" s="11"/>
      <c r="P55" s="2">
        <f>--41.91</f>
        <v>41.91</v>
      </c>
      <c r="Q55" s="2"/>
      <c r="R55" s="19"/>
      <c r="S55" s="2"/>
      <c r="T55" s="2">
        <f>--132.64</f>
        <v>132.63999999999999</v>
      </c>
      <c r="U55" s="2"/>
      <c r="V55" s="19"/>
      <c r="W55" s="2"/>
      <c r="X55" s="2">
        <f t="shared" si="2"/>
        <v>-90.72999999999999</v>
      </c>
      <c r="Y55" s="2"/>
      <c r="Z55" s="19">
        <f t="shared" si="3"/>
        <v>-0.68403196622436668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0</f>
        <v>0</v>
      </c>
      <c r="E56" s="2"/>
      <c r="F56" s="19"/>
      <c r="G56" s="2"/>
      <c r="H56" s="2">
        <f>--11.31</f>
        <v>11.31</v>
      </c>
      <c r="I56" s="2"/>
      <c r="J56" s="19"/>
      <c r="K56" s="2"/>
      <c r="L56" s="2">
        <f t="shared" si="0"/>
        <v>-11.31</v>
      </c>
      <c r="M56" s="2"/>
      <c r="N56" s="19">
        <f t="shared" si="1"/>
        <v>-1</v>
      </c>
      <c r="O56" s="11"/>
      <c r="P56" s="2">
        <f>--124.18</f>
        <v>124.18</v>
      </c>
      <c r="Q56" s="2"/>
      <c r="R56" s="19"/>
      <c r="S56" s="2"/>
      <c r="T56" s="2">
        <f>--172.04</f>
        <v>172.04</v>
      </c>
      <c r="U56" s="2"/>
      <c r="V56" s="19"/>
      <c r="W56" s="2"/>
      <c r="X56" s="2">
        <f t="shared" si="2"/>
        <v>-47.859999999999985</v>
      </c>
      <c r="Y56" s="2"/>
      <c r="Z56" s="19">
        <f t="shared" si="3"/>
        <v>-0.27819111834457094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--38.73</f>
        <v>38.729999999999997</v>
      </c>
      <c r="E57" s="2"/>
      <c r="F57" s="19"/>
      <c r="G57" s="2"/>
      <c r="H57" s="2">
        <f>--192.74</f>
        <v>192.74</v>
      </c>
      <c r="I57" s="2"/>
      <c r="J57" s="19"/>
      <c r="K57" s="2"/>
      <c r="L57" s="2">
        <f t="shared" si="0"/>
        <v>-154.01000000000002</v>
      </c>
      <c r="M57" s="2"/>
      <c r="N57" s="19">
        <f t="shared" si="1"/>
        <v>-0.79905572273529113</v>
      </c>
      <c r="O57" s="11"/>
      <c r="P57" s="2">
        <f>--1509.11</f>
        <v>1509.11</v>
      </c>
      <c r="Q57" s="2"/>
      <c r="R57" s="19"/>
      <c r="S57" s="2"/>
      <c r="T57" s="2">
        <f>--2005.43</f>
        <v>2005.43</v>
      </c>
      <c r="U57" s="2"/>
      <c r="V57" s="19"/>
      <c r="W57" s="2"/>
      <c r="X57" s="2">
        <f t="shared" si="2"/>
        <v>-496.32000000000016</v>
      </c>
      <c r="Y57" s="2"/>
      <c r="Z57" s="19">
        <f t="shared" si="3"/>
        <v>-0.24748806989024805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 t="shared" ref="D58:D59" si="4">0</f>
        <v>0</v>
      </c>
      <c r="E58" s="2"/>
      <c r="F58" s="19"/>
      <c r="G58" s="2"/>
      <c r="H58" s="2">
        <f>--721.23</f>
        <v>721.23</v>
      </c>
      <c r="I58" s="2"/>
      <c r="J58" s="19"/>
      <c r="K58" s="2"/>
      <c r="L58" s="2">
        <f t="shared" si="0"/>
        <v>-721.23</v>
      </c>
      <c r="M58" s="2"/>
      <c r="N58" s="19">
        <f t="shared" si="1"/>
        <v>-1</v>
      </c>
      <c r="O58" s="11"/>
      <c r="P58" s="2">
        <f>--2603.4</f>
        <v>2603.4</v>
      </c>
      <c r="Q58" s="2"/>
      <c r="R58" s="19"/>
      <c r="S58" s="2"/>
      <c r="T58" s="2">
        <f>--9446.53</f>
        <v>9446.5300000000007</v>
      </c>
      <c r="U58" s="2"/>
      <c r="V58" s="19"/>
      <c r="W58" s="2"/>
      <c r="X58" s="2">
        <f t="shared" si="2"/>
        <v>-6843.130000000001</v>
      </c>
      <c r="Y58" s="2"/>
      <c r="Z58" s="19">
        <f t="shared" si="3"/>
        <v>-0.72440673982933423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 t="shared" si="4"/>
        <v>0</v>
      </c>
      <c r="E59" s="2"/>
      <c r="F59" s="19"/>
      <c r="G59" s="2"/>
      <c r="H59" s="2">
        <f>--31.29</f>
        <v>31.29</v>
      </c>
      <c r="I59" s="2"/>
      <c r="J59" s="19"/>
      <c r="K59" s="2"/>
      <c r="L59" s="2">
        <f t="shared" si="0"/>
        <v>-31.29</v>
      </c>
      <c r="M59" s="2"/>
      <c r="N59" s="19">
        <f t="shared" si="1"/>
        <v>-1</v>
      </c>
      <c r="O59" s="11"/>
      <c r="P59" s="2">
        <f>--348.72</f>
        <v>348.72</v>
      </c>
      <c r="Q59" s="2"/>
      <c r="R59" s="19"/>
      <c r="S59" s="2"/>
      <c r="T59" s="2">
        <f>--656.99</f>
        <v>656.99</v>
      </c>
      <c r="U59" s="2"/>
      <c r="V59" s="19"/>
      <c r="W59" s="2"/>
      <c r="X59" s="2">
        <f t="shared" si="2"/>
        <v>-308.27</v>
      </c>
      <c r="Y59" s="2"/>
      <c r="Z59" s="19">
        <f t="shared" si="3"/>
        <v>-0.46921566538303472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--4058.22</f>
        <v>4058.22</v>
      </c>
      <c r="E60" s="2"/>
      <c r="F60" s="19"/>
      <c r="G60" s="2"/>
      <c r="H60" s="2">
        <f>--5535.53</f>
        <v>5535.53</v>
      </c>
      <c r="I60" s="2"/>
      <c r="J60" s="19"/>
      <c r="K60" s="2"/>
      <c r="L60" s="2">
        <f t="shared" si="0"/>
        <v>-1477.31</v>
      </c>
      <c r="M60" s="2"/>
      <c r="N60" s="19">
        <f t="shared" si="1"/>
        <v>-0.26687778767344772</v>
      </c>
      <c r="O60" s="11"/>
      <c r="P60" s="2">
        <f>--39085.73</f>
        <v>39085.730000000003</v>
      </c>
      <c r="Q60" s="2"/>
      <c r="R60" s="19"/>
      <c r="S60" s="2"/>
      <c r="T60" s="2">
        <f>--39059.72</f>
        <v>39059.72</v>
      </c>
      <c r="U60" s="2"/>
      <c r="V60" s="19"/>
      <c r="W60" s="2"/>
      <c r="X60" s="2">
        <f t="shared" si="2"/>
        <v>26.010000000002037</v>
      </c>
      <c r="Y60" s="2"/>
      <c r="Z60" s="19">
        <f t="shared" si="3"/>
        <v>6.6590339101258366E-4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--85222.13</f>
        <v>85222.13</v>
      </c>
      <c r="E61" s="2"/>
      <c r="F61" s="19"/>
      <c r="G61" s="2"/>
      <c r="H61" s="2">
        <f>--85417.73</f>
        <v>85417.73</v>
      </c>
      <c r="I61" s="2"/>
      <c r="J61" s="19"/>
      <c r="K61" s="2"/>
      <c r="L61" s="2">
        <f t="shared" si="0"/>
        <v>-195.59999999999127</v>
      </c>
      <c r="M61" s="2"/>
      <c r="N61" s="19">
        <f t="shared" si="1"/>
        <v>-2.2899227127669078E-3</v>
      </c>
      <c r="O61" s="11"/>
      <c r="P61" s="2">
        <f>--750566.92</f>
        <v>750566.92</v>
      </c>
      <c r="Q61" s="2"/>
      <c r="R61" s="19"/>
      <c r="S61" s="2"/>
      <c r="T61" s="2">
        <f>--679905.53</f>
        <v>679905.53</v>
      </c>
      <c r="U61" s="2"/>
      <c r="V61" s="19"/>
      <c r="W61" s="2"/>
      <c r="X61" s="2">
        <f t="shared" si="2"/>
        <v>70661.390000000014</v>
      </c>
      <c r="Y61" s="2"/>
      <c r="Z61" s="19">
        <f t="shared" si="3"/>
        <v>0.10392824720810848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--1305.22</f>
        <v>1305.22</v>
      </c>
      <c r="E62" s="2"/>
      <c r="F62" s="19"/>
      <c r="G62" s="2"/>
      <c r="H62" s="2">
        <f>--1560.42</f>
        <v>1560.42</v>
      </c>
      <c r="I62" s="2"/>
      <c r="J62" s="19"/>
      <c r="K62" s="2"/>
      <c r="L62" s="2">
        <f t="shared" si="0"/>
        <v>-255.20000000000005</v>
      </c>
      <c r="M62" s="2"/>
      <c r="N62" s="19">
        <f t="shared" si="1"/>
        <v>-0.16354571205188348</v>
      </c>
      <c r="O62" s="11"/>
      <c r="P62" s="2">
        <f>--12121.78</f>
        <v>12121.78</v>
      </c>
      <c r="Q62" s="2"/>
      <c r="R62" s="19"/>
      <c r="S62" s="2"/>
      <c r="T62" s="2">
        <f>--10466.71</f>
        <v>10466.709999999999</v>
      </c>
      <c r="U62" s="2"/>
      <c r="V62" s="19"/>
      <c r="W62" s="2"/>
      <c r="X62" s="2">
        <f t="shared" si="2"/>
        <v>1655.0700000000015</v>
      </c>
      <c r="Y62" s="2"/>
      <c r="Z62" s="19">
        <f t="shared" si="3"/>
        <v>0.15812705234022933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0</f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--0.39</f>
        <v>0.39</v>
      </c>
      <c r="Q63" s="2"/>
      <c r="R63" s="19"/>
      <c r="S63" s="2"/>
      <c r="T63" s="2">
        <f>--163.41</f>
        <v>163.41</v>
      </c>
      <c r="U63" s="2"/>
      <c r="V63" s="19"/>
      <c r="W63" s="2"/>
      <c r="X63" s="2">
        <f t="shared" si="2"/>
        <v>-163.02000000000001</v>
      </c>
      <c r="Y63" s="2"/>
      <c r="Z63" s="19">
        <f t="shared" si="3"/>
        <v>-0.99761336515513133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--3.59</f>
        <v>3.59</v>
      </c>
      <c r="E64" s="2"/>
      <c r="F64" s="19"/>
      <c r="G64" s="2"/>
      <c r="H64" s="2">
        <f>--49.18</f>
        <v>49.18</v>
      </c>
      <c r="I64" s="2"/>
      <c r="J64" s="19"/>
      <c r="K64" s="2"/>
      <c r="L64" s="2">
        <f t="shared" si="0"/>
        <v>-45.59</v>
      </c>
      <c r="M64" s="2"/>
      <c r="N64" s="19">
        <f t="shared" si="1"/>
        <v>-0.9270028466856447</v>
      </c>
      <c r="O64" s="11"/>
      <c r="P64" s="2">
        <f>--118.32</f>
        <v>118.32</v>
      </c>
      <c r="Q64" s="2"/>
      <c r="R64" s="19"/>
      <c r="S64" s="2"/>
      <c r="T64" s="2">
        <f>--172.6</f>
        <v>172.6</v>
      </c>
      <c r="U64" s="2"/>
      <c r="V64" s="19"/>
      <c r="W64" s="2"/>
      <c r="X64" s="2">
        <f t="shared" si="2"/>
        <v>-54.28</v>
      </c>
      <c r="Y64" s="2"/>
      <c r="Z64" s="19">
        <f t="shared" si="3"/>
        <v>-0.3144843568945539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--749.29</f>
        <v>749.29</v>
      </c>
      <c r="E65" s="2"/>
      <c r="F65" s="19"/>
      <c r="G65" s="2"/>
      <c r="H65" s="2">
        <f>--890.93</f>
        <v>890.93</v>
      </c>
      <c r="I65" s="2"/>
      <c r="J65" s="19"/>
      <c r="K65" s="2"/>
      <c r="L65" s="2">
        <f t="shared" si="0"/>
        <v>-141.63999999999999</v>
      </c>
      <c r="M65" s="2"/>
      <c r="N65" s="19">
        <f t="shared" si="1"/>
        <v>-0.15897994230747645</v>
      </c>
      <c r="O65" s="11"/>
      <c r="P65" s="2">
        <f>--7063.17</f>
        <v>7063.17</v>
      </c>
      <c r="Q65" s="2"/>
      <c r="R65" s="19"/>
      <c r="S65" s="2"/>
      <c r="T65" s="2">
        <f>--6936.6</f>
        <v>6936.6</v>
      </c>
      <c r="U65" s="2"/>
      <c r="V65" s="19"/>
      <c r="W65" s="2"/>
      <c r="X65" s="2">
        <f t="shared" si="2"/>
        <v>126.56999999999971</v>
      </c>
      <c r="Y65" s="2"/>
      <c r="Z65" s="19">
        <f t="shared" si="3"/>
        <v>1.8246691462676195E-2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--18815.05</f>
        <v>18815.05</v>
      </c>
      <c r="E66" s="2"/>
      <c r="F66" s="19"/>
      <c r="G66" s="2"/>
      <c r="H66" s="2">
        <f>--5726.91</f>
        <v>5726.91</v>
      </c>
      <c r="I66" s="2"/>
      <c r="J66" s="19"/>
      <c r="K66" s="2"/>
      <c r="L66" s="2">
        <f t="shared" si="0"/>
        <v>13088.14</v>
      </c>
      <c r="M66" s="2"/>
      <c r="N66" s="19">
        <f t="shared" si="1"/>
        <v>2.2853755341012869</v>
      </c>
      <c r="O66" s="11"/>
      <c r="P66" s="2">
        <f>--38823.84</f>
        <v>38823.839999999997</v>
      </c>
      <c r="Q66" s="2"/>
      <c r="R66" s="19"/>
      <c r="S66" s="2"/>
      <c r="T66" s="2">
        <f>--20388.07</f>
        <v>20388.07</v>
      </c>
      <c r="U66" s="2"/>
      <c r="V66" s="19"/>
      <c r="W66" s="2"/>
      <c r="X66" s="2">
        <f t="shared" si="2"/>
        <v>18435.769999999997</v>
      </c>
      <c r="Y66" s="2"/>
      <c r="Z66" s="19">
        <f t="shared" si="3"/>
        <v>0.90424302055074346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--699.6</f>
        <v>699.6</v>
      </c>
      <c r="E67" s="2"/>
      <c r="F67" s="19"/>
      <c r="G67" s="2"/>
      <c r="H67" s="2">
        <f>--699.55</f>
        <v>699.55</v>
      </c>
      <c r="I67" s="2"/>
      <c r="J67" s="19"/>
      <c r="K67" s="2"/>
      <c r="L67" s="2">
        <f t="shared" si="0"/>
        <v>5.0000000000068212E-2</v>
      </c>
      <c r="M67" s="2"/>
      <c r="N67" s="19">
        <f t="shared" si="1"/>
        <v>7.1474519333954991E-5</v>
      </c>
      <c r="O67" s="11"/>
      <c r="P67" s="2">
        <f>--2529.88</f>
        <v>2529.88</v>
      </c>
      <c r="Q67" s="2"/>
      <c r="R67" s="19"/>
      <c r="S67" s="2"/>
      <c r="T67" s="2">
        <f>--3372.33</f>
        <v>3372.33</v>
      </c>
      <c r="U67" s="2"/>
      <c r="V67" s="19"/>
      <c r="W67" s="2"/>
      <c r="X67" s="2">
        <f t="shared" si="2"/>
        <v>-842.44999999999982</v>
      </c>
      <c r="Y67" s="2"/>
      <c r="Z67" s="19">
        <f t="shared" si="3"/>
        <v>-0.24981244421512719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--2554.55</f>
        <v>2554.5500000000002</v>
      </c>
      <c r="E68" s="2"/>
      <c r="F68" s="19"/>
      <c r="G68" s="2"/>
      <c r="H68" s="2">
        <f>--4284.55</f>
        <v>4284.55</v>
      </c>
      <c r="I68" s="2"/>
      <c r="J68" s="19"/>
      <c r="K68" s="2"/>
      <c r="L68" s="2">
        <f t="shared" si="0"/>
        <v>-1730</v>
      </c>
      <c r="M68" s="2"/>
      <c r="N68" s="19">
        <f t="shared" si="1"/>
        <v>-0.40377635924426136</v>
      </c>
      <c r="O68" s="11"/>
      <c r="P68" s="2">
        <f>--10487.38</f>
        <v>10487.38</v>
      </c>
      <c r="Q68" s="2"/>
      <c r="R68" s="19"/>
      <c r="S68" s="2"/>
      <c r="T68" s="2">
        <f>--11845.75</f>
        <v>11845.75</v>
      </c>
      <c r="U68" s="2"/>
      <c r="V68" s="19"/>
      <c r="W68" s="2"/>
      <c r="X68" s="2">
        <f t="shared" si="2"/>
        <v>-1358.3700000000008</v>
      </c>
      <c r="Y68" s="2"/>
      <c r="Z68" s="19">
        <f t="shared" si="3"/>
        <v>-0.11467150665850628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--351.29</f>
        <v>351.29</v>
      </c>
      <c r="E69" s="2"/>
      <c r="F69" s="19"/>
      <c r="G69" s="2"/>
      <c r="H69" s="2">
        <f>--19.94</f>
        <v>19.940000000000001</v>
      </c>
      <c r="I69" s="2"/>
      <c r="J69" s="19"/>
      <c r="K69" s="2"/>
      <c r="L69" s="2">
        <f t="shared" si="0"/>
        <v>331.35</v>
      </c>
      <c r="M69" s="2"/>
      <c r="N69" s="19">
        <f t="shared" si="1"/>
        <v>16.617352056168507</v>
      </c>
      <c r="O69" s="11"/>
      <c r="P69" s="2">
        <f>--592.85</f>
        <v>592.85</v>
      </c>
      <c r="Q69" s="2"/>
      <c r="R69" s="19"/>
      <c r="S69" s="2"/>
      <c r="T69" s="2">
        <f>--360.54</f>
        <v>360.54</v>
      </c>
      <c r="U69" s="2"/>
      <c r="V69" s="19"/>
      <c r="W69" s="2"/>
      <c r="X69" s="2">
        <f t="shared" si="2"/>
        <v>232.31</v>
      </c>
      <c r="Y69" s="2"/>
      <c r="Z69" s="19">
        <f t="shared" si="3"/>
        <v>0.64433904698507793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>
        <f>--89.8</f>
        <v>89.8</v>
      </c>
      <c r="I70" s="2"/>
      <c r="J70" s="19"/>
      <c r="K70" s="2"/>
      <c r="L70" s="2">
        <f t="shared" si="0"/>
        <v>-89.8</v>
      </c>
      <c r="M70" s="2"/>
      <c r="N70" s="19">
        <f t="shared" si="1"/>
        <v>-1</v>
      </c>
      <c r="O70" s="11"/>
      <c r="P70" s="2">
        <f>--140</f>
        <v>140</v>
      </c>
      <c r="Q70" s="2"/>
      <c r="R70" s="19"/>
      <c r="S70" s="2"/>
      <c r="T70" s="2">
        <f>--1747.4</f>
        <v>1747.4</v>
      </c>
      <c r="U70" s="2"/>
      <c r="V70" s="19"/>
      <c r="W70" s="2"/>
      <c r="X70" s="2">
        <f t="shared" si="2"/>
        <v>-1607.4</v>
      </c>
      <c r="Y70" s="2"/>
      <c r="Z70" s="19">
        <f t="shared" si="3"/>
        <v>-0.91988096600663849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--27126.9</f>
        <v>27126.9</v>
      </c>
      <c r="E71" s="2"/>
      <c r="F71" s="19"/>
      <c r="G71" s="2"/>
      <c r="H71" s="2">
        <f>--31432.85</f>
        <v>31432.85</v>
      </c>
      <c r="I71" s="2"/>
      <c r="J71" s="19"/>
      <c r="K71" s="2"/>
      <c r="L71" s="2">
        <f t="shared" si="0"/>
        <v>-4305.9499999999971</v>
      </c>
      <c r="M71" s="2"/>
      <c r="N71" s="19">
        <f t="shared" si="1"/>
        <v>-0.13698885083598838</v>
      </c>
      <c r="O71" s="11"/>
      <c r="P71" s="2">
        <f>--146467.95</f>
        <v>146467.95000000001</v>
      </c>
      <c r="Q71" s="2"/>
      <c r="R71" s="19"/>
      <c r="S71" s="2"/>
      <c r="T71" s="2">
        <f>--149484</f>
        <v>149484</v>
      </c>
      <c r="U71" s="2"/>
      <c r="V71" s="19"/>
      <c r="W71" s="2"/>
      <c r="X71" s="2">
        <f t="shared" si="2"/>
        <v>-3016.0499999999884</v>
      </c>
      <c r="Y71" s="2"/>
      <c r="Z71" s="19">
        <f t="shared" si="3"/>
        <v>-2.0176406839527899E-2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--57.5</f>
        <v>57.5</v>
      </c>
      <c r="E72" s="2"/>
      <c r="F72" s="19"/>
      <c r="G72" s="2"/>
      <c r="H72" s="2">
        <f>--38.5</f>
        <v>38.5</v>
      </c>
      <c r="I72" s="2"/>
      <c r="J72" s="19"/>
      <c r="K72" s="2"/>
      <c r="L72" s="2">
        <f t="shared" si="0"/>
        <v>19</v>
      </c>
      <c r="M72" s="2"/>
      <c r="N72" s="19">
        <f t="shared" si="1"/>
        <v>0.4935064935064935</v>
      </c>
      <c r="O72" s="11"/>
      <c r="P72" s="2">
        <f>--307.4</f>
        <v>307.39999999999998</v>
      </c>
      <c r="Q72" s="2"/>
      <c r="R72" s="19"/>
      <c r="S72" s="2"/>
      <c r="T72" s="2">
        <f>--408.5</f>
        <v>408.5</v>
      </c>
      <c r="U72" s="2"/>
      <c r="V72" s="19"/>
      <c r="W72" s="2"/>
      <c r="X72" s="2">
        <f t="shared" si="2"/>
        <v>-101.10000000000002</v>
      </c>
      <c r="Y72" s="2"/>
      <c r="Z72" s="19">
        <f t="shared" si="3"/>
        <v>-0.24749082007343948</v>
      </c>
    </row>
    <row r="73" spans="1:26" s="24" customFormat="1" hidden="1" outlineLevel="1" x14ac:dyDescent="0.25">
      <c r="A73" s="44"/>
      <c r="B73" s="11" t="str">
        <f>CONCATENATE("          ", "4151", " - ", "NON-TAXABLE SALES-FOOD")</f>
        <v xml:space="preserve">          4151 - NON-TAXABLE SALES-FOOD</v>
      </c>
      <c r="C73" s="11"/>
      <c r="D73" s="2">
        <f>--75965.55</f>
        <v>75965.55</v>
      </c>
      <c r="E73" s="2"/>
      <c r="F73" s="19"/>
      <c r="G73" s="2"/>
      <c r="H73" s="2">
        <f>--90279.44</f>
        <v>90279.44</v>
      </c>
      <c r="I73" s="2"/>
      <c r="J73" s="19"/>
      <c r="K73" s="2"/>
      <c r="L73" s="2">
        <f t="shared" si="0"/>
        <v>-14313.89</v>
      </c>
      <c r="M73" s="2"/>
      <c r="N73" s="19">
        <f t="shared" si="1"/>
        <v>-0.1585509391728615</v>
      </c>
      <c r="O73" s="11"/>
      <c r="P73" s="2">
        <f>--576438.65</f>
        <v>576438.65</v>
      </c>
      <c r="Q73" s="2"/>
      <c r="R73" s="19"/>
      <c r="S73" s="2"/>
      <c r="T73" s="2">
        <f>--548326</f>
        <v>548326</v>
      </c>
      <c r="U73" s="2"/>
      <c r="V73" s="19"/>
      <c r="W73" s="2"/>
      <c r="X73" s="2">
        <f t="shared" si="2"/>
        <v>28112.650000000023</v>
      </c>
      <c r="Y73" s="2"/>
      <c r="Z73" s="19">
        <f t="shared" si="3"/>
        <v>5.1269956193943061E-2</v>
      </c>
    </row>
    <row r="74" spans="1:26" s="24" customFormat="1" hidden="1" outlineLevel="1" x14ac:dyDescent="0.25">
      <c r="A74" s="44"/>
      <c r="B74" s="11" t="str">
        <f>CONCATENATE("          ", "4153", " - ", "NON-TAXABLE SALES-FOOD")</f>
        <v xml:space="preserve">          4153 - NON-TAXABLE SALES-FOOD</v>
      </c>
      <c r="C74" s="11"/>
      <c r="D74" s="2">
        <f>--2733</f>
        <v>2733</v>
      </c>
      <c r="E74" s="2"/>
      <c r="F74" s="19"/>
      <c r="G74" s="2"/>
      <c r="H74" s="2">
        <f>--1745</f>
        <v>1745</v>
      </c>
      <c r="I74" s="2"/>
      <c r="J74" s="19"/>
      <c r="K74" s="2"/>
      <c r="L74" s="2">
        <f t="shared" si="0"/>
        <v>988</v>
      </c>
      <c r="M74" s="2"/>
      <c r="N74" s="19">
        <f t="shared" si="1"/>
        <v>0.56618911174785103</v>
      </c>
      <c r="O74" s="11"/>
      <c r="P74" s="2">
        <f>--9560</f>
        <v>9560</v>
      </c>
      <c r="Q74" s="2"/>
      <c r="R74" s="19"/>
      <c r="S74" s="2"/>
      <c r="T74" s="2">
        <f>--7188</f>
        <v>7188</v>
      </c>
      <c r="U74" s="2"/>
      <c r="V74" s="19"/>
      <c r="W74" s="2"/>
      <c r="X74" s="2">
        <f t="shared" si="2"/>
        <v>2372</v>
      </c>
      <c r="Y74" s="2"/>
      <c r="Z74" s="19">
        <f t="shared" si="3"/>
        <v>0.32999443516972732</v>
      </c>
    </row>
    <row r="75" spans="1:26" s="24" customFormat="1" hidden="1" outlineLevel="1" x14ac:dyDescent="0.25">
      <c r="A75" s="44"/>
      <c r="B75" s="11" t="str">
        <f>CONCATENATE("          ", "4186", " - ", "NON-TAXABLE SALES-COMPUTER SUP")</f>
        <v xml:space="preserve">          4186 - NON-TAXABLE SALES-COMPUTER SUP</v>
      </c>
      <c r="C75" s="11"/>
      <c r="D75" s="2">
        <f>0</f>
        <v>0</v>
      </c>
      <c r="E75" s="2"/>
      <c r="F75" s="19"/>
      <c r="G75" s="2"/>
      <c r="H75" s="2">
        <f>-44.97</f>
        <v>-44.97</v>
      </c>
      <c r="I75" s="2"/>
      <c r="J75" s="19"/>
      <c r="K75" s="2"/>
      <c r="L75" s="2">
        <f t="shared" si="0"/>
        <v>44.97</v>
      </c>
      <c r="M75" s="2"/>
      <c r="N75" s="19">
        <f t="shared" si="1"/>
        <v>-1</v>
      </c>
      <c r="O75" s="11"/>
      <c r="P75" s="2">
        <f>-30.97</f>
        <v>-30.97</v>
      </c>
      <c r="Q75" s="2"/>
      <c r="R75" s="19"/>
      <c r="S75" s="2"/>
      <c r="T75" s="2">
        <f>-127.94</f>
        <v>-127.94</v>
      </c>
      <c r="U75" s="2"/>
      <c r="V75" s="19"/>
      <c r="W75" s="2"/>
      <c r="X75" s="2">
        <f t="shared" si="2"/>
        <v>96.97</v>
      </c>
      <c r="Y75" s="2"/>
      <c r="Z75" s="19">
        <f t="shared" si="3"/>
        <v>-0.7579334062841957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-631.8</f>
        <v>-631.79999999999995</v>
      </c>
      <c r="E76" s="2"/>
      <c r="F76" s="19"/>
      <c r="G76" s="2"/>
      <c r="H76" s="2">
        <f>-1458.3</f>
        <v>-1458.3</v>
      </c>
      <c r="I76" s="2"/>
      <c r="J76" s="19"/>
      <c r="K76" s="2"/>
      <c r="L76" s="2">
        <f t="shared" si="0"/>
        <v>826.5</v>
      </c>
      <c r="M76" s="2"/>
      <c r="N76" s="19">
        <f t="shared" si="1"/>
        <v>-0.56675581156140709</v>
      </c>
      <c r="O76" s="11"/>
      <c r="P76" s="2">
        <f>-78730.37</f>
        <v>-78730.37</v>
      </c>
      <c r="Q76" s="2"/>
      <c r="R76" s="19"/>
      <c r="S76" s="2"/>
      <c r="T76" s="2">
        <f>-114020.87</f>
        <v>-114020.87</v>
      </c>
      <c r="U76" s="2"/>
      <c r="V76" s="19"/>
      <c r="W76" s="2"/>
      <c r="X76" s="2">
        <f t="shared" si="2"/>
        <v>35290.5</v>
      </c>
      <c r="Y76" s="2"/>
      <c r="Z76" s="19">
        <f t="shared" si="3"/>
        <v>-0.30950912758339766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-166.15</f>
        <v>-166.15</v>
      </c>
      <c r="E77" s="2"/>
      <c r="F77" s="19"/>
      <c r="G77" s="2"/>
      <c r="H77" s="2">
        <f>-493.55</f>
        <v>-493.55</v>
      </c>
      <c r="I77" s="2"/>
      <c r="J77" s="19"/>
      <c r="K77" s="2"/>
      <c r="L77" s="2">
        <f t="shared" si="0"/>
        <v>327.39999999999998</v>
      </c>
      <c r="M77" s="2"/>
      <c r="N77" s="19">
        <f t="shared" si="1"/>
        <v>-0.66335730928983883</v>
      </c>
      <c r="O77" s="11"/>
      <c r="P77" s="2">
        <f>-27208.35</f>
        <v>-27208.35</v>
      </c>
      <c r="Q77" s="2"/>
      <c r="R77" s="19"/>
      <c r="S77" s="2"/>
      <c r="T77" s="2">
        <f>-29961.95</f>
        <v>-29961.95</v>
      </c>
      <c r="U77" s="2"/>
      <c r="V77" s="19"/>
      <c r="W77" s="2"/>
      <c r="X77" s="2">
        <f t="shared" si="2"/>
        <v>2753.6000000000022</v>
      </c>
      <c r="Y77" s="2"/>
      <c r="Z77" s="19">
        <f t="shared" si="3"/>
        <v>-9.1903230597474531E-2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 t="shared" ref="D78:D80" si="5">0</f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>
        <f>-1699.5</f>
        <v>-1699.5</v>
      </c>
      <c r="U78" s="2"/>
      <c r="V78" s="19"/>
      <c r="W78" s="2"/>
      <c r="X78" s="2">
        <f t="shared" si="2"/>
        <v>1554.51</v>
      </c>
      <c r="Y78" s="2"/>
      <c r="Z78" s="19">
        <f t="shared" si="3"/>
        <v>-0.9146866725507502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 t="shared" si="5"/>
        <v>0</v>
      </c>
      <c r="E79" s="2"/>
      <c r="F79" s="19"/>
      <c r="G79" s="2"/>
      <c r="H79" s="2">
        <f>-56.78</f>
        <v>-56.78</v>
      </c>
      <c r="I79" s="2"/>
      <c r="J79" s="19"/>
      <c r="K79" s="2"/>
      <c r="L79" s="2">
        <f t="shared" si="0"/>
        <v>56.78</v>
      </c>
      <c r="M79" s="2"/>
      <c r="N79" s="19">
        <f t="shared" si="1"/>
        <v>-1</v>
      </c>
      <c r="O79" s="11"/>
      <c r="P79" s="2">
        <f>-11369.46</f>
        <v>-11369.46</v>
      </c>
      <c r="Q79" s="2"/>
      <c r="R79" s="19"/>
      <c r="S79" s="2"/>
      <c r="T79" s="2">
        <f>-16043.85</f>
        <v>-16043.85</v>
      </c>
      <c r="U79" s="2"/>
      <c r="V79" s="19"/>
      <c r="W79" s="2"/>
      <c r="X79" s="2">
        <f t="shared" si="2"/>
        <v>4674.3900000000012</v>
      </c>
      <c r="Y79" s="2"/>
      <c r="Z79" s="19">
        <f t="shared" si="3"/>
        <v>-0.29135089146308407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 t="shared" si="5"/>
        <v>0</v>
      </c>
      <c r="E80" s="2"/>
      <c r="F80" s="19"/>
      <c r="G80" s="2"/>
      <c r="H80" s="2">
        <f t="shared" ref="H80:H82" si="6"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-102.71</f>
        <v>-102.71</v>
      </c>
      <c r="Q80" s="2"/>
      <c r="R80" s="19"/>
      <c r="S80" s="2"/>
      <c r="T80" s="2">
        <f>-96.96</f>
        <v>-96.96</v>
      </c>
      <c r="U80" s="2"/>
      <c r="V80" s="19"/>
      <c r="W80" s="2"/>
      <c r="X80" s="2">
        <f t="shared" si="2"/>
        <v>-5.75</v>
      </c>
      <c r="Y80" s="2"/>
      <c r="Z80" s="19">
        <f t="shared" si="3"/>
        <v>5.9302805280528059E-2</v>
      </c>
    </row>
    <row r="81" spans="1:26" s="24" customFormat="1" hidden="1" outlineLevel="1" x14ac:dyDescent="0.25">
      <c r="A81" s="44"/>
      <c r="B81" s="11" t="str">
        <f>CONCATENATE("          ", "4214", " - ", "SALES RETURN TAXABLE-REMAINDER")</f>
        <v xml:space="preserve">          4214 - SALES RETURN TAXABLE-REMAINDER</v>
      </c>
      <c r="C81" s="11"/>
      <c r="D81" s="2">
        <f>-11.94</f>
        <v>-11.94</v>
      </c>
      <c r="E81" s="2"/>
      <c r="F81" s="19"/>
      <c r="G81" s="2"/>
      <c r="H81" s="2">
        <f t="shared" si="6"/>
        <v>0</v>
      </c>
      <c r="I81" s="2"/>
      <c r="J81" s="19"/>
      <c r="K81" s="2"/>
      <c r="L81" s="2">
        <f t="shared" si="0"/>
        <v>-11.94</v>
      </c>
      <c r="M81" s="2"/>
      <c r="N81" s="19">
        <f t="shared" si="1"/>
        <v>0</v>
      </c>
      <c r="O81" s="11"/>
      <c r="P81" s="2">
        <f>-11.94</f>
        <v>-11.94</v>
      </c>
      <c r="Q81" s="2"/>
      <c r="R81" s="19"/>
      <c r="S81" s="2"/>
      <c r="T81" s="2">
        <f>-3.95</f>
        <v>-3.95</v>
      </c>
      <c r="U81" s="2"/>
      <c r="V81" s="19"/>
      <c r="W81" s="2"/>
      <c r="X81" s="2">
        <f t="shared" si="2"/>
        <v>-7.9899999999999993</v>
      </c>
      <c r="Y81" s="2"/>
      <c r="Z81" s="19">
        <f t="shared" si="3"/>
        <v>2.022784810126582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ref="D82:D83" si="7">0</f>
        <v>0</v>
      </c>
      <c r="E82" s="2"/>
      <c r="F82" s="19"/>
      <c r="G82" s="2"/>
      <c r="H82" s="2">
        <f t="shared" si="6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-2.98</f>
        <v>-2.98</v>
      </c>
      <c r="Q82" s="2"/>
      <c r="R82" s="19"/>
      <c r="S82" s="2"/>
      <c r="T82" s="2">
        <f>-1.5</f>
        <v>-1.5</v>
      </c>
      <c r="U82" s="2"/>
      <c r="V82" s="19"/>
      <c r="W82" s="2"/>
      <c r="X82" s="2">
        <f t="shared" si="2"/>
        <v>-1.48</v>
      </c>
      <c r="Y82" s="2"/>
      <c r="Z82" s="19">
        <f t="shared" si="3"/>
        <v>0.98666666666666669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 t="shared" si="7"/>
        <v>0</v>
      </c>
      <c r="E83" s="2"/>
      <c r="F83" s="19"/>
      <c r="G83" s="2"/>
      <c r="H83" s="2">
        <f>-16.9</f>
        <v>-16.899999999999999</v>
      </c>
      <c r="I83" s="2"/>
      <c r="J83" s="19"/>
      <c r="K83" s="2"/>
      <c r="L83" s="2">
        <f t="shared" si="0"/>
        <v>16.899999999999999</v>
      </c>
      <c r="M83" s="2"/>
      <c r="N83" s="19">
        <f t="shared" si="1"/>
        <v>-1</v>
      </c>
      <c r="O83" s="11"/>
      <c r="P83" s="2">
        <f>-32.75</f>
        <v>-32.75</v>
      </c>
      <c r="Q83" s="2"/>
      <c r="R83" s="19"/>
      <c r="S83" s="2"/>
      <c r="T83" s="2">
        <f>-39.8</f>
        <v>-39.799999999999997</v>
      </c>
      <c r="U83" s="2"/>
      <c r="V83" s="19"/>
      <c r="W83" s="2"/>
      <c r="X83" s="2">
        <f t="shared" si="2"/>
        <v>7.0499999999999972</v>
      </c>
      <c r="Y83" s="2"/>
      <c r="Z83" s="19">
        <f t="shared" si="3"/>
        <v>-0.17713567839195973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>-15.51</f>
        <v>-15.51</v>
      </c>
      <c r="E84" s="2"/>
      <c r="F84" s="19"/>
      <c r="G84" s="2"/>
      <c r="H84" s="2">
        <f>0</f>
        <v>0</v>
      </c>
      <c r="I84" s="2"/>
      <c r="J84" s="19"/>
      <c r="K84" s="2"/>
      <c r="L84" s="2">
        <f t="shared" si="0"/>
        <v>-15.51</v>
      </c>
      <c r="M84" s="2"/>
      <c r="N84" s="19">
        <f t="shared" si="1"/>
        <v>0</v>
      </c>
      <c r="O84" s="11"/>
      <c r="P84" s="2">
        <f>-80.97</f>
        <v>-80.97</v>
      </c>
      <c r="Q84" s="2"/>
      <c r="R84" s="19"/>
      <c r="S84" s="2"/>
      <c r="T84" s="2">
        <f>-62.42</f>
        <v>-62.42</v>
      </c>
      <c r="U84" s="2"/>
      <c r="V84" s="19"/>
      <c r="W84" s="2"/>
      <c r="X84" s="2">
        <f t="shared" si="2"/>
        <v>-18.549999999999997</v>
      </c>
      <c r="Y84" s="2"/>
      <c r="Z84" s="19">
        <f t="shared" si="3"/>
        <v>0.29718039090035242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>-41.65</f>
        <v>-41.65</v>
      </c>
      <c r="E85" s="2"/>
      <c r="F85" s="19"/>
      <c r="G85" s="2"/>
      <c r="H85" s="2">
        <f>-23.11</f>
        <v>-23.11</v>
      </c>
      <c r="I85" s="2"/>
      <c r="J85" s="19"/>
      <c r="K85" s="2"/>
      <c r="L85" s="2">
        <f t="shared" si="0"/>
        <v>-18.54</v>
      </c>
      <c r="M85" s="2"/>
      <c r="N85" s="19">
        <f t="shared" si="1"/>
        <v>0.8022501081782778</v>
      </c>
      <c r="O85" s="11"/>
      <c r="P85" s="2">
        <f>-531.36</f>
        <v>-531.36</v>
      </c>
      <c r="Q85" s="2"/>
      <c r="R85" s="19"/>
      <c r="S85" s="2"/>
      <c r="T85" s="2">
        <f>-284.54</f>
        <v>-284.54000000000002</v>
      </c>
      <c r="U85" s="2"/>
      <c r="V85" s="19"/>
      <c r="W85" s="2"/>
      <c r="X85" s="2">
        <f t="shared" si="2"/>
        <v>-246.82</v>
      </c>
      <c r="Y85" s="2"/>
      <c r="Z85" s="19">
        <f t="shared" si="3"/>
        <v>0.86743515850144082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-204.76</f>
        <v>-204.76</v>
      </c>
      <c r="E86" s="2"/>
      <c r="F86" s="19"/>
      <c r="G86" s="2"/>
      <c r="H86" s="2">
        <f>-195.37</f>
        <v>-195.37</v>
      </c>
      <c r="I86" s="2"/>
      <c r="J86" s="19"/>
      <c r="K86" s="2"/>
      <c r="L86" s="2">
        <f t="shared" si="0"/>
        <v>-9.3899999999999864</v>
      </c>
      <c r="M86" s="2"/>
      <c r="N86" s="19">
        <f t="shared" si="1"/>
        <v>4.8062650355735204E-2</v>
      </c>
      <c r="O86" s="11"/>
      <c r="P86" s="2">
        <f>-5948.58</f>
        <v>-5948.58</v>
      </c>
      <c r="Q86" s="2"/>
      <c r="R86" s="19"/>
      <c r="S86" s="2"/>
      <c r="T86" s="2">
        <f>-2694.37</f>
        <v>-2694.37</v>
      </c>
      <c r="U86" s="2"/>
      <c r="V86" s="19"/>
      <c r="W86" s="2"/>
      <c r="X86" s="2">
        <f t="shared" si="2"/>
        <v>-3254.21</v>
      </c>
      <c r="Y86" s="2"/>
      <c r="Z86" s="19">
        <f t="shared" si="3"/>
        <v>1.2077814108678466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>-277.33</f>
        <v>-277.33</v>
      </c>
      <c r="E87" s="2"/>
      <c r="F87" s="19"/>
      <c r="G87" s="2"/>
      <c r="H87" s="2">
        <f>-450.83</f>
        <v>-450.83</v>
      </c>
      <c r="I87" s="2"/>
      <c r="J87" s="19"/>
      <c r="K87" s="2"/>
      <c r="L87" s="2">
        <f t="shared" si="0"/>
        <v>173.5</v>
      </c>
      <c r="M87" s="2"/>
      <c r="N87" s="19">
        <f t="shared" si="1"/>
        <v>-0.38484572898875408</v>
      </c>
      <c r="O87" s="11"/>
      <c r="P87" s="2">
        <f>-3148.62</f>
        <v>-3148.62</v>
      </c>
      <c r="Q87" s="2"/>
      <c r="R87" s="19"/>
      <c r="S87" s="2"/>
      <c r="T87" s="2">
        <f>-4598.8</f>
        <v>-4598.8</v>
      </c>
      <c r="U87" s="2"/>
      <c r="V87" s="19"/>
      <c r="W87" s="2"/>
      <c r="X87" s="2">
        <f t="shared" si="2"/>
        <v>1450.1800000000003</v>
      </c>
      <c r="Y87" s="2"/>
      <c r="Z87" s="19">
        <f t="shared" si="3"/>
        <v>-0.31533878403061671</v>
      </c>
    </row>
    <row r="88" spans="1:26" s="24" customFormat="1" hidden="1" outlineLevel="1" x14ac:dyDescent="0.25">
      <c r="A88" s="44"/>
      <c r="B88" s="11" t="str">
        <f>CONCATENATE("          ", "4233", " - ", "SALES RETURN TAXABLE-CANDY")</f>
        <v xml:space="preserve">          4233 - SALES RETURN TAXABLE-CANDY</v>
      </c>
      <c r="C88" s="11"/>
      <c r="D88" s="2">
        <f>0</f>
        <v>0</v>
      </c>
      <c r="E88" s="2"/>
      <c r="F88" s="19"/>
      <c r="G88" s="2"/>
      <c r="H88" s="2">
        <f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-1.29</f>
        <v>-1.29</v>
      </c>
      <c r="Q88" s="2"/>
      <c r="R88" s="19"/>
      <c r="S88" s="2"/>
      <c r="T88" s="2">
        <f>-3.58</f>
        <v>-3.58</v>
      </c>
      <c r="U88" s="2"/>
      <c r="V88" s="19"/>
      <c r="W88" s="2"/>
      <c r="X88" s="2">
        <f t="shared" si="2"/>
        <v>2.29</v>
      </c>
      <c r="Y88" s="2"/>
      <c r="Z88" s="19">
        <f t="shared" si="3"/>
        <v>-0.63966480446927376</v>
      </c>
    </row>
    <row r="89" spans="1:26" s="24" customFormat="1" hidden="1" outlineLevel="1" x14ac:dyDescent="0.25">
      <c r="A89" s="44"/>
      <c r="B89" s="11" t="str">
        <f>CONCATENATE("          ", "4240", " - ", "SALES RETURN TAXABLE-LOGO CLOT")</f>
        <v xml:space="preserve">          4240 - SALES RETURN TAXABLE-LOGO CLOT</v>
      </c>
      <c r="C89" s="11"/>
      <c r="D89" s="2">
        <f>-8212.91</f>
        <v>-8212.91</v>
      </c>
      <c r="E89" s="2"/>
      <c r="F89" s="19"/>
      <c r="G89" s="2"/>
      <c r="H89" s="2">
        <f>-12111.55</f>
        <v>-12111.55</v>
      </c>
      <c r="I89" s="2"/>
      <c r="J89" s="19"/>
      <c r="K89" s="2"/>
      <c r="L89" s="2">
        <f t="shared" si="0"/>
        <v>3898.6399999999994</v>
      </c>
      <c r="M89" s="2"/>
      <c r="N89" s="19">
        <f t="shared" si="1"/>
        <v>-0.3218943900656811</v>
      </c>
      <c r="O89" s="11"/>
      <c r="P89" s="2">
        <f>-49321.94</f>
        <v>-49321.94</v>
      </c>
      <c r="Q89" s="2"/>
      <c r="R89" s="19"/>
      <c r="S89" s="2"/>
      <c r="T89" s="2">
        <f>-48708.08</f>
        <v>-48708.08</v>
      </c>
      <c r="U89" s="2"/>
      <c r="V89" s="19"/>
      <c r="W89" s="2"/>
      <c r="X89" s="2">
        <f t="shared" si="2"/>
        <v>-613.86000000000058</v>
      </c>
      <c r="Y89" s="2"/>
      <c r="Z89" s="19">
        <f t="shared" si="3"/>
        <v>1.2602837147348049E-2</v>
      </c>
    </row>
    <row r="90" spans="1:26" s="24" customFormat="1" hidden="1" outlineLevel="1" x14ac:dyDescent="0.25">
      <c r="A90" s="44"/>
      <c r="B90" s="11" t="str">
        <f>CONCATENATE("          ", "4241", " - ", "SALES RETURN TAXABLE-LOGO GIFT")</f>
        <v xml:space="preserve">          4241 - SALES RETURN TAXABLE-LOGO GIFT</v>
      </c>
      <c r="C90" s="11"/>
      <c r="D90" s="2">
        <f>-939.28</f>
        <v>-939.28</v>
      </c>
      <c r="E90" s="2"/>
      <c r="F90" s="19"/>
      <c r="G90" s="2"/>
      <c r="H90" s="2">
        <f>-909.08</f>
        <v>-909.08</v>
      </c>
      <c r="I90" s="2"/>
      <c r="J90" s="19"/>
      <c r="K90" s="2"/>
      <c r="L90" s="2">
        <f t="shared" si="0"/>
        <v>-30.199999999999932</v>
      </c>
      <c r="M90" s="2"/>
      <c r="N90" s="19">
        <f t="shared" si="1"/>
        <v>3.3220398644783662E-2</v>
      </c>
      <c r="O90" s="11"/>
      <c r="P90" s="2">
        <f>-4148.87</f>
        <v>-4148.87</v>
      </c>
      <c r="Q90" s="2"/>
      <c r="R90" s="19"/>
      <c r="S90" s="2"/>
      <c r="T90" s="2">
        <f>-4700.64</f>
        <v>-4700.6400000000003</v>
      </c>
      <c r="U90" s="2"/>
      <c r="V90" s="19"/>
      <c r="W90" s="2"/>
      <c r="X90" s="2">
        <f t="shared" si="2"/>
        <v>551.77000000000044</v>
      </c>
      <c r="Y90" s="2"/>
      <c r="Z90" s="19">
        <f t="shared" si="3"/>
        <v>-0.11738188842370409</v>
      </c>
    </row>
    <row r="91" spans="1:26" s="24" customFormat="1" hidden="1" outlineLevel="1" x14ac:dyDescent="0.25">
      <c r="A91" s="44"/>
      <c r="B91" s="11" t="str">
        <f>CONCATENATE("          ", "4242", " - ", "SALES RETURN TAXABLE-EVERYDAY")</f>
        <v xml:space="preserve">          4242 - SALES RETURN TAXABLE-EVERYDAY</v>
      </c>
      <c r="C91" s="11"/>
      <c r="D91" s="2">
        <f>-1097.55</f>
        <v>-1097.55</v>
      </c>
      <c r="E91" s="2"/>
      <c r="F91" s="19"/>
      <c r="G91" s="2"/>
      <c r="H91" s="2">
        <f>-407.79</f>
        <v>-407.79</v>
      </c>
      <c r="I91" s="2"/>
      <c r="J91" s="19"/>
      <c r="K91" s="2"/>
      <c r="L91" s="2">
        <f t="shared" si="0"/>
        <v>-689.76</v>
      </c>
      <c r="M91" s="2"/>
      <c r="N91" s="19">
        <f t="shared" si="1"/>
        <v>1.6914588391083645</v>
      </c>
      <c r="O91" s="11"/>
      <c r="P91" s="2">
        <f>-2789.42</f>
        <v>-2789.42</v>
      </c>
      <c r="Q91" s="2"/>
      <c r="R91" s="19"/>
      <c r="S91" s="2"/>
      <c r="T91" s="2">
        <f>-1717.09</f>
        <v>-1717.09</v>
      </c>
      <c r="U91" s="2"/>
      <c r="V91" s="19"/>
      <c r="W91" s="2"/>
      <c r="X91" s="2">
        <f t="shared" si="2"/>
        <v>-1072.3300000000002</v>
      </c>
      <c r="Y91" s="2"/>
      <c r="Z91" s="19">
        <f t="shared" si="3"/>
        <v>0.62450424846688302</v>
      </c>
    </row>
    <row r="92" spans="1:26" s="24" customFormat="1" hidden="1" outlineLevel="1" x14ac:dyDescent="0.25">
      <c r="A92" s="44"/>
      <c r="B92" s="11" t="str">
        <f>CONCATENATE("          ", "4243", " - ", "SALES RETURN TAXABLE-CARDS")</f>
        <v xml:space="preserve">          4243 - SALES RETURN TAXABLE-CARDS</v>
      </c>
      <c r="C92" s="11"/>
      <c r="D92" s="2">
        <f>-558.63</f>
        <v>-558.63</v>
      </c>
      <c r="E92" s="2"/>
      <c r="F92" s="19"/>
      <c r="G92" s="2"/>
      <c r="H92" s="2">
        <f>-5.99</f>
        <v>-5.99</v>
      </c>
      <c r="I92" s="2"/>
      <c r="J92" s="19"/>
      <c r="K92" s="2"/>
      <c r="L92" s="2">
        <f t="shared" si="0"/>
        <v>-552.64</v>
      </c>
      <c r="M92" s="2"/>
      <c r="N92" s="19">
        <f t="shared" si="1"/>
        <v>92.26043405676127</v>
      </c>
      <c r="O92" s="11"/>
      <c r="P92" s="2">
        <f>-879.47</f>
        <v>-879.47</v>
      </c>
      <c r="Q92" s="2"/>
      <c r="R92" s="19"/>
      <c r="S92" s="2"/>
      <c r="T92" s="2">
        <f>-25.94</f>
        <v>-25.94</v>
      </c>
      <c r="U92" s="2"/>
      <c r="V92" s="19"/>
      <c r="W92" s="2"/>
      <c r="X92" s="2">
        <f t="shared" si="2"/>
        <v>-853.53</v>
      </c>
      <c r="Y92" s="2"/>
      <c r="Z92" s="19">
        <f t="shared" si="3"/>
        <v>32.904009252120275</v>
      </c>
    </row>
    <row r="93" spans="1:26" s="24" customFormat="1" hidden="1" outlineLevel="1" x14ac:dyDescent="0.25">
      <c r="A93" s="44"/>
      <c r="B93" s="11" t="str">
        <f>CONCATENATE("          ", "4244", " - ", "SALES RETURN TAXABLE-ACCESSORI")</f>
        <v xml:space="preserve">          4244 - SALES RETURN TAXABLE-ACCESSORI</v>
      </c>
      <c r="C93" s="11"/>
      <c r="D93" s="2">
        <f>-202.71</f>
        <v>-202.71</v>
      </c>
      <c r="E93" s="2"/>
      <c r="F93" s="19"/>
      <c r="G93" s="2"/>
      <c r="H93" s="2">
        <f>-154.5</f>
        <v>-154.5</v>
      </c>
      <c r="I93" s="2"/>
      <c r="J93" s="19"/>
      <c r="K93" s="2"/>
      <c r="L93" s="2">
        <f t="shared" si="0"/>
        <v>-48.210000000000008</v>
      </c>
      <c r="M93" s="2"/>
      <c r="N93" s="19">
        <f t="shared" si="1"/>
        <v>0.31203883495145635</v>
      </c>
      <c r="O93" s="11"/>
      <c r="P93" s="2">
        <f>-1731.77</f>
        <v>-1731.77</v>
      </c>
      <c r="Q93" s="2"/>
      <c r="R93" s="19"/>
      <c r="S93" s="2"/>
      <c r="T93" s="2">
        <f>-2744.37</f>
        <v>-2744.37</v>
      </c>
      <c r="U93" s="2"/>
      <c r="V93" s="19"/>
      <c r="W93" s="2"/>
      <c r="X93" s="2">
        <f t="shared" si="2"/>
        <v>1012.5999999999999</v>
      </c>
      <c r="Y93" s="2"/>
      <c r="Z93" s="19">
        <f t="shared" si="3"/>
        <v>-0.36897357134788672</v>
      </c>
    </row>
    <row r="94" spans="1:26" s="24" customFormat="1" hidden="1" outlineLevel="1" x14ac:dyDescent="0.25">
      <c r="A94" s="44"/>
      <c r="B94" s="11" t="str">
        <f>CONCATENATE("          ", "4245", " - ", "SALES RETURN TAXABLE-SPECIAL O")</f>
        <v xml:space="preserve">          4245 - SALES RETURN TAXABLE-SPECIAL O</v>
      </c>
      <c r="C94" s="11"/>
      <c r="D94" s="2">
        <f>0</f>
        <v>0</v>
      </c>
      <c r="E94" s="2"/>
      <c r="F94" s="19"/>
      <c r="G94" s="2"/>
      <c r="H94" s="2">
        <f>-5.91</f>
        <v>-5.91</v>
      </c>
      <c r="I94" s="2"/>
      <c r="J94" s="19"/>
      <c r="K94" s="2"/>
      <c r="L94" s="2">
        <f t="shared" si="0"/>
        <v>5.91</v>
      </c>
      <c r="M94" s="2"/>
      <c r="N94" s="19">
        <f t="shared" si="1"/>
        <v>-1</v>
      </c>
      <c r="O94" s="11"/>
      <c r="P94" s="2">
        <f>-91.96</f>
        <v>-91.96</v>
      </c>
      <c r="Q94" s="2"/>
      <c r="R94" s="19"/>
      <c r="S94" s="2"/>
      <c r="T94" s="2">
        <f>-225.7</f>
        <v>-225.7</v>
      </c>
      <c r="U94" s="2"/>
      <c r="V94" s="19"/>
      <c r="W94" s="2"/>
      <c r="X94" s="2">
        <f t="shared" si="2"/>
        <v>133.74</v>
      </c>
      <c r="Y94" s="2"/>
      <c r="Z94" s="19">
        <f t="shared" si="3"/>
        <v>-0.59255649091714668</v>
      </c>
    </row>
    <row r="95" spans="1:26" s="24" customFormat="1" hidden="1" outlineLevel="1" x14ac:dyDescent="0.25">
      <c r="A95" s="44"/>
      <c r="B95" s="11" t="str">
        <f>CONCATENATE("          ", "4281", " - ", "SALES RETURN TAXABLE-ELECTRONI")</f>
        <v xml:space="preserve">          4281 - SALES RETURN TAXABLE-ELECTRONI</v>
      </c>
      <c r="C95" s="11"/>
      <c r="D95" s="2">
        <f>-9.99</f>
        <v>-9.99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-9.99</v>
      </c>
      <c r="M95" s="2"/>
      <c r="N95" s="19">
        <f t="shared" si="1"/>
        <v>0</v>
      </c>
      <c r="O95" s="11"/>
      <c r="P95" s="2">
        <f>-54.97</f>
        <v>-54.97</v>
      </c>
      <c r="Q95" s="2"/>
      <c r="R95" s="19"/>
      <c r="S95" s="2"/>
      <c r="T95" s="2">
        <f>-24.99</f>
        <v>-24.99</v>
      </c>
      <c r="U95" s="2"/>
      <c r="V95" s="19"/>
      <c r="W95" s="2"/>
      <c r="X95" s="2">
        <f t="shared" si="2"/>
        <v>-29.98</v>
      </c>
      <c r="Y95" s="2"/>
      <c r="Z95" s="19">
        <f t="shared" si="3"/>
        <v>1.1996798719487796</v>
      </c>
    </row>
    <row r="96" spans="1:26" s="24" customFormat="1" hidden="1" outlineLevel="1" x14ac:dyDescent="0.25">
      <c r="A96" s="44"/>
      <c r="B96" s="11" t="str">
        <f>CONCATENATE("          ", "4292", " - ", "SALES RETURN TAXABLE-GRAD MERC")</f>
        <v xml:space="preserve">          4292 - SALES RETURN TAXABLE-GRAD MERC</v>
      </c>
      <c r="C96" s="11"/>
      <c r="D96" s="2">
        <f t="shared" ref="D96:D98" si="8">0</f>
        <v>0</v>
      </c>
      <c r="E96" s="2"/>
      <c r="F96" s="19"/>
      <c r="G96" s="2"/>
      <c r="H96" s="2">
        <f>-60</f>
        <v>-60</v>
      </c>
      <c r="I96" s="2"/>
      <c r="J96" s="19"/>
      <c r="K96" s="2"/>
      <c r="L96" s="2">
        <f t="shared" si="0"/>
        <v>60</v>
      </c>
      <c r="M96" s="2"/>
      <c r="N96" s="19">
        <f t="shared" si="1"/>
        <v>-1</v>
      </c>
      <c r="O96" s="11"/>
      <c r="P96" s="2">
        <f>-419.05</f>
        <v>-419.05</v>
      </c>
      <c r="Q96" s="2"/>
      <c r="R96" s="19"/>
      <c r="S96" s="2"/>
      <c r="T96" s="2">
        <f>-548.24</f>
        <v>-548.24</v>
      </c>
      <c r="U96" s="2"/>
      <c r="V96" s="19"/>
      <c r="W96" s="2"/>
      <c r="X96" s="2">
        <f t="shared" si="2"/>
        <v>129.19</v>
      </c>
      <c r="Y96" s="2"/>
      <c r="Z96" s="19">
        <f t="shared" si="3"/>
        <v>-0.23564497300452356</v>
      </c>
    </row>
    <row r="97" spans="1:26" s="24" customFormat="1" hidden="1" outlineLevel="1" x14ac:dyDescent="0.25">
      <c r="A97" s="44"/>
      <c r="B97" s="11" t="str">
        <f>CONCATENATE("          ", "4295", " - ", "SALES RETURN TAXABLE-CUSTOMER")</f>
        <v xml:space="preserve">          4295 - SALES RETURN TAXABLE-CUSTOMER</v>
      </c>
      <c r="C97" s="11"/>
      <c r="D97" s="2">
        <f t="shared" si="8"/>
        <v>0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--0.99</f>
        <v>0.99</v>
      </c>
      <c r="Q97" s="2"/>
      <c r="R97" s="19"/>
      <c r="S97" s="2"/>
      <c r="T97" s="2">
        <f>-126.72</f>
        <v>-126.72</v>
      </c>
      <c r="U97" s="2"/>
      <c r="V97" s="19"/>
      <c r="W97" s="2"/>
      <c r="X97" s="2">
        <f t="shared" si="2"/>
        <v>127.71</v>
      </c>
      <c r="Y97" s="2"/>
      <c r="Z97" s="19">
        <f t="shared" si="3"/>
        <v>-1.0078125</v>
      </c>
    </row>
    <row r="98" spans="1:26" s="24" customFormat="1" hidden="1" outlineLevel="1" x14ac:dyDescent="0.25">
      <c r="A98" s="44"/>
      <c r="B98" s="11" t="str">
        <f>CONCATENATE("          ", "4301", " - ", "SALES RETURN NON TAXABLE-NEW T")</f>
        <v xml:space="preserve">          4301 - SALES RETURN NON TAXABLE-NEW T</v>
      </c>
      <c r="C98" s="11"/>
      <c r="D98" s="2">
        <f t="shared" si="8"/>
        <v>0</v>
      </c>
      <c r="E98" s="2"/>
      <c r="F98" s="19"/>
      <c r="G98" s="2"/>
      <c r="H98" s="2">
        <f>-5102.08</f>
        <v>-5102.08</v>
      </c>
      <c r="I98" s="2"/>
      <c r="J98" s="19"/>
      <c r="K98" s="2"/>
      <c r="L98" s="2">
        <f t="shared" si="0"/>
        <v>5102.08</v>
      </c>
      <c r="M98" s="2"/>
      <c r="N98" s="19">
        <f t="shared" si="1"/>
        <v>-1</v>
      </c>
      <c r="O98" s="11"/>
      <c r="P98" s="2">
        <f>-12310.98</f>
        <v>-12310.98</v>
      </c>
      <c r="Q98" s="2"/>
      <c r="R98" s="19"/>
      <c r="S98" s="2"/>
      <c r="T98" s="2">
        <f>-30135.07</f>
        <v>-30135.07</v>
      </c>
      <c r="U98" s="2"/>
      <c r="V98" s="19"/>
      <c r="W98" s="2"/>
      <c r="X98" s="2">
        <f t="shared" si="2"/>
        <v>17824.09</v>
      </c>
      <c r="Y98" s="2"/>
      <c r="Z98" s="19">
        <f t="shared" si="3"/>
        <v>-0.59147332327417856</v>
      </c>
    </row>
    <row r="99" spans="1:26" s="24" customFormat="1" hidden="1" outlineLevel="1" x14ac:dyDescent="0.25">
      <c r="A99" s="44"/>
      <c r="B99" s="11" t="str">
        <f>CONCATENATE("          ", "4302", " - ", "SALES RETURN NON TAXABLE-TEXT")</f>
        <v xml:space="preserve">          4302 - SALES RETURN NON TAXABLE-TEXT</v>
      </c>
      <c r="C99" s="11"/>
      <c r="D99" s="2">
        <f>-14.1</f>
        <v>-14.1</v>
      </c>
      <c r="E99" s="2"/>
      <c r="F99" s="19"/>
      <c r="G99" s="2"/>
      <c r="H99" s="2">
        <f>-307.4</f>
        <v>-307.39999999999998</v>
      </c>
      <c r="I99" s="2"/>
      <c r="J99" s="19"/>
      <c r="K99" s="2"/>
      <c r="L99" s="2">
        <f t="shared" si="0"/>
        <v>293.29999999999995</v>
      </c>
      <c r="M99" s="2"/>
      <c r="N99" s="19">
        <f t="shared" si="1"/>
        <v>-0.9541314248536108</v>
      </c>
      <c r="O99" s="11"/>
      <c r="P99" s="2">
        <f>-697.9</f>
        <v>-697.9</v>
      </c>
      <c r="Q99" s="2"/>
      <c r="R99" s="19"/>
      <c r="S99" s="2"/>
      <c r="T99" s="2">
        <f>-2513.44</f>
        <v>-2513.44</v>
      </c>
      <c r="U99" s="2"/>
      <c r="V99" s="19"/>
      <c r="W99" s="2"/>
      <c r="X99" s="2">
        <f t="shared" si="2"/>
        <v>1815.54</v>
      </c>
      <c r="Y99" s="2"/>
      <c r="Z99" s="19">
        <f t="shared" si="3"/>
        <v>-0.72233273919409258</v>
      </c>
    </row>
    <row r="100" spans="1:26" s="24" customFormat="1" hidden="1" outlineLevel="1" x14ac:dyDescent="0.25">
      <c r="A100" s="44"/>
      <c r="B100" s="11" t="str">
        <f>CONCATENATE("          ", "4303", " - ", "SALES RETURN NON-TAXABLE-RENTA")</f>
        <v xml:space="preserve">          4303 - SALES RETURN NON-TAXABLE-RENTA</v>
      </c>
      <c r="C100" s="11"/>
      <c r="D100" s="2">
        <f>0</f>
        <v>0</v>
      </c>
      <c r="E100" s="2"/>
      <c r="F100" s="19"/>
      <c r="G100" s="2"/>
      <c r="H100" s="2">
        <f t="shared" ref="H100:H101" si="9"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-184.99</f>
        <v>-184.99</v>
      </c>
      <c r="Q100" s="2"/>
      <c r="R100" s="19"/>
      <c r="S100" s="2"/>
      <c r="T100" s="2">
        <f>-509.85</f>
        <v>-509.85</v>
      </c>
      <c r="U100" s="2"/>
      <c r="V100" s="19"/>
      <c r="W100" s="2"/>
      <c r="X100" s="2">
        <f t="shared" si="2"/>
        <v>324.86</v>
      </c>
      <c r="Y100" s="2"/>
      <c r="Z100" s="19">
        <f t="shared" si="3"/>
        <v>-0.63716779444934779</v>
      </c>
    </row>
    <row r="101" spans="1:26" s="24" customFormat="1" hidden="1" outlineLevel="1" x14ac:dyDescent="0.25">
      <c r="A101" s="44"/>
      <c r="B101" s="11" t="str">
        <f>CONCATENATE("          ", "4304", " - ", "SALES RETURN NON TAXABLE-DIGIT")</f>
        <v xml:space="preserve">          4304 - SALES RETURN NON TAXABLE-DIGIT</v>
      </c>
      <c r="C101" s="11"/>
      <c r="D101" s="2">
        <f>-226.45</f>
        <v>-226.45</v>
      </c>
      <c r="E101" s="2"/>
      <c r="F101" s="19"/>
      <c r="G101" s="2"/>
      <c r="H101" s="2">
        <f t="shared" si="9"/>
        <v>0</v>
      </c>
      <c r="I101" s="2"/>
      <c r="J101" s="19"/>
      <c r="K101" s="2"/>
      <c r="L101" s="2">
        <f t="shared" si="0"/>
        <v>-226.45</v>
      </c>
      <c r="M101" s="2"/>
      <c r="N101" s="19">
        <f t="shared" si="1"/>
        <v>0</v>
      </c>
      <c r="O101" s="11"/>
      <c r="P101" s="2">
        <f>-13430.32</f>
        <v>-13430.32</v>
      </c>
      <c r="Q101" s="2"/>
      <c r="R101" s="19"/>
      <c r="S101" s="2"/>
      <c r="T101" s="2">
        <f>-3743.75</f>
        <v>-3743.75</v>
      </c>
      <c r="U101" s="2"/>
      <c r="V101" s="19"/>
      <c r="W101" s="2"/>
      <c r="X101" s="2">
        <f t="shared" si="2"/>
        <v>-9686.57</v>
      </c>
      <c r="Y101" s="2"/>
      <c r="Z101" s="19">
        <f t="shared" si="3"/>
        <v>2.5873976627712856</v>
      </c>
    </row>
    <row r="102" spans="1:26" s="24" customFormat="1" hidden="1" outlineLevel="1" x14ac:dyDescent="0.25">
      <c r="A102" s="44"/>
      <c r="B102" s="11" t="str">
        <f>CONCATENATE("          ", "4311", " - ", "SALES RETURN NON TAXABLE-NO VA")</f>
        <v xml:space="preserve">          4311 - SALES RETURN NON TAXABLE-NO VA</v>
      </c>
      <c r="C102" s="11"/>
      <c r="D102" s="2">
        <f t="shared" ref="D102:D104" si="10">0</f>
        <v>0</v>
      </c>
      <c r="E102" s="2"/>
      <c r="F102" s="19"/>
      <c r="G102" s="2"/>
      <c r="H102" s="2">
        <f>-22.98</f>
        <v>-22.98</v>
      </c>
      <c r="I102" s="2"/>
      <c r="J102" s="19"/>
      <c r="K102" s="2"/>
      <c r="L102" s="2">
        <f t="shared" si="0"/>
        <v>22.98</v>
      </c>
      <c r="M102" s="2"/>
      <c r="N102" s="19">
        <f t="shared" si="1"/>
        <v>-1</v>
      </c>
      <c r="O102" s="11"/>
      <c r="P102" s="2">
        <f>-387.96</f>
        <v>-387.96</v>
      </c>
      <c r="Q102" s="2"/>
      <c r="R102" s="19"/>
      <c r="S102" s="2"/>
      <c r="T102" s="2">
        <f>-609.26</f>
        <v>-609.26</v>
      </c>
      <c r="U102" s="2"/>
      <c r="V102" s="19"/>
      <c r="W102" s="2"/>
      <c r="X102" s="2">
        <f t="shared" si="2"/>
        <v>221.3</v>
      </c>
      <c r="Y102" s="2"/>
      <c r="Z102" s="19">
        <f t="shared" si="3"/>
        <v>-0.3632275219118275</v>
      </c>
    </row>
    <row r="103" spans="1:26" s="24" customFormat="1" hidden="1" outlineLevel="1" x14ac:dyDescent="0.25">
      <c r="A103" s="44"/>
      <c r="B103" s="11" t="str">
        <f>CONCATENATE("          ", "4326", " - ", "SALES RETURN NON TAXABLE-WRITI")</f>
        <v xml:space="preserve">          4326 - SALES RETURN NON TAXABLE-WRITI</v>
      </c>
      <c r="C103" s="11"/>
      <c r="D103" s="2">
        <f t="shared" si="10"/>
        <v>0</v>
      </c>
      <c r="E103" s="2"/>
      <c r="F103" s="19"/>
      <c r="G103" s="2"/>
      <c r="H103" s="2">
        <f t="shared" ref="H103:H105" si="11"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0</f>
        <v>0</v>
      </c>
      <c r="Q103" s="2"/>
      <c r="R103" s="19"/>
      <c r="S103" s="2"/>
      <c r="T103" s="2">
        <f>-8.08</f>
        <v>-8.08</v>
      </c>
      <c r="U103" s="2"/>
      <c r="V103" s="19"/>
      <c r="W103" s="2"/>
      <c r="X103" s="2">
        <f t="shared" si="2"/>
        <v>8.08</v>
      </c>
      <c r="Y103" s="2"/>
      <c r="Z103" s="19">
        <f t="shared" si="3"/>
        <v>-1</v>
      </c>
    </row>
    <row r="104" spans="1:26" s="24" customFormat="1" hidden="1" outlineLevel="1" x14ac:dyDescent="0.25">
      <c r="A104" s="44"/>
      <c r="B104" s="11" t="str">
        <f>CONCATENATE("          ", "4327", " - ", "SALES RETURN NON TAXABLE-SCHOO")</f>
        <v xml:space="preserve">          4327 - SALES RETURN NON TAXABLE-SCHOO</v>
      </c>
      <c r="C104" s="11"/>
      <c r="D104" s="2">
        <f t="shared" si="10"/>
        <v>0</v>
      </c>
      <c r="E104" s="2"/>
      <c r="F104" s="19"/>
      <c r="G104" s="2"/>
      <c r="H104" s="2">
        <f t="shared" si="11"/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-21.87</f>
        <v>-21.87</v>
      </c>
      <c r="Q104" s="2"/>
      <c r="R104" s="19"/>
      <c r="S104" s="2"/>
      <c r="T104" s="2">
        <f>0</f>
        <v>0</v>
      </c>
      <c r="U104" s="2"/>
      <c r="V104" s="19"/>
      <c r="W104" s="2"/>
      <c r="X104" s="2">
        <f t="shared" si="2"/>
        <v>-21.87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"4340", " - ", "SALES RETURN NON TAXABLE-LOGO")</f>
        <v xml:space="preserve">          4340 - SALES RETURN NON TAXABLE-LOGO</v>
      </c>
      <c r="C105" s="11"/>
      <c r="D105" s="2">
        <f>-391.5</f>
        <v>-391.5</v>
      </c>
      <c r="E105" s="2"/>
      <c r="F105" s="19"/>
      <c r="G105" s="2"/>
      <c r="H105" s="2">
        <f t="shared" si="11"/>
        <v>0</v>
      </c>
      <c r="I105" s="2"/>
      <c r="J105" s="19"/>
      <c r="K105" s="2"/>
      <c r="L105" s="2">
        <f t="shared" si="0"/>
        <v>-391.5</v>
      </c>
      <c r="M105" s="2"/>
      <c r="N105" s="19">
        <f t="shared" si="1"/>
        <v>0</v>
      </c>
      <c r="O105" s="11"/>
      <c r="P105" s="2">
        <f>-714.9</f>
        <v>-714.9</v>
      </c>
      <c r="Q105" s="2"/>
      <c r="R105" s="19"/>
      <c r="S105" s="2"/>
      <c r="T105" s="2">
        <f>-301.59</f>
        <v>-301.58999999999997</v>
      </c>
      <c r="U105" s="2"/>
      <c r="V105" s="19"/>
      <c r="W105" s="2"/>
      <c r="X105" s="2">
        <f t="shared" si="2"/>
        <v>-413.31</v>
      </c>
      <c r="Y105" s="2"/>
      <c r="Z105" s="19">
        <f t="shared" si="3"/>
        <v>1.3704366855664978</v>
      </c>
    </row>
    <row r="106" spans="1:26" s="24" customFormat="1" hidden="1" outlineLevel="1" x14ac:dyDescent="0.25">
      <c r="A106" s="44"/>
      <c r="B106" s="11" t="str">
        <f>CONCATENATE("          ", "4341", " - ", "SALES RETURN NON TAXABLE-LOGO")</f>
        <v xml:space="preserve">          4341 - SALES RETURN NON TAXABLE-LOGO</v>
      </c>
      <c r="C106" s="11"/>
      <c r="D106" s="2">
        <f>-9.95</f>
        <v>-9.9499999999999993</v>
      </c>
      <c r="E106" s="2"/>
      <c r="F106" s="19"/>
      <c r="G106" s="2"/>
      <c r="H106" s="2">
        <f>-58.85</f>
        <v>-58.85</v>
      </c>
      <c r="I106" s="2"/>
      <c r="J106" s="19"/>
      <c r="K106" s="2"/>
      <c r="L106" s="2">
        <f t="shared" si="0"/>
        <v>48.900000000000006</v>
      </c>
      <c r="M106" s="2"/>
      <c r="N106" s="19">
        <f t="shared" si="1"/>
        <v>-0.83092608326253192</v>
      </c>
      <c r="O106" s="11"/>
      <c r="P106" s="2">
        <f>-20.85</f>
        <v>-20.85</v>
      </c>
      <c r="Q106" s="2"/>
      <c r="R106" s="19"/>
      <c r="S106" s="2"/>
      <c r="T106" s="2">
        <f>-118.85</f>
        <v>-118.85</v>
      </c>
      <c r="U106" s="2"/>
      <c r="V106" s="19"/>
      <c r="W106" s="2"/>
      <c r="X106" s="2">
        <f t="shared" si="2"/>
        <v>98</v>
      </c>
      <c r="Y106" s="2"/>
      <c r="Z106" s="19">
        <f t="shared" si="3"/>
        <v>-0.82456878418174173</v>
      </c>
    </row>
    <row r="107" spans="1:26" s="24" customFormat="1" hidden="1" outlineLevel="1" x14ac:dyDescent="0.25">
      <c r="A107" s="44"/>
      <c r="B107" s="11" t="str">
        <f>CONCATENATE("          ", "4342", " - ", "SALES RETURN NON TAXABLE-EVERY")</f>
        <v xml:space="preserve">          4342 - SALES RETURN NON TAXABLE-EVERY</v>
      </c>
      <c r="C107" s="11"/>
      <c r="D107" s="2">
        <f t="shared" ref="D107:D108" si="12">0</f>
        <v>0</v>
      </c>
      <c r="E107" s="2"/>
      <c r="F107" s="19"/>
      <c r="G107" s="2"/>
      <c r="H107" s="2">
        <f>-68.75</f>
        <v>-68.75</v>
      </c>
      <c r="I107" s="2"/>
      <c r="J107" s="19"/>
      <c r="K107" s="2"/>
      <c r="L107" s="2">
        <f t="shared" si="0"/>
        <v>68.75</v>
      </c>
      <c r="M107" s="2"/>
      <c r="N107" s="19">
        <f t="shared" si="1"/>
        <v>-1</v>
      </c>
      <c r="O107" s="11"/>
      <c r="P107" s="2">
        <f>-109.8</f>
        <v>-109.8</v>
      </c>
      <c r="Q107" s="2"/>
      <c r="R107" s="19"/>
      <c r="S107" s="2"/>
      <c r="T107" s="2">
        <f>-68.75</f>
        <v>-68.75</v>
      </c>
      <c r="U107" s="2"/>
      <c r="V107" s="19"/>
      <c r="W107" s="2"/>
      <c r="X107" s="2">
        <f t="shared" si="2"/>
        <v>-41.05</v>
      </c>
      <c r="Y107" s="2"/>
      <c r="Z107" s="19">
        <f t="shared" si="3"/>
        <v>0.59709090909090901</v>
      </c>
    </row>
    <row r="108" spans="1:26" s="24" customFormat="1" hidden="1" outlineLevel="1" x14ac:dyDescent="0.25">
      <c r="A108" s="44"/>
      <c r="B108" s="11" t="str">
        <f>CONCATENATE("          ", "4346", " - ", "SALES RETURN NON TAXABLE-COIN-")</f>
        <v xml:space="preserve">          4346 - SALES RETURN NON TAXABLE-COIN-</v>
      </c>
      <c r="C108" s="11"/>
      <c r="D108" s="2">
        <f t="shared" si="12"/>
        <v>0</v>
      </c>
      <c r="E108" s="2"/>
      <c r="F108" s="19"/>
      <c r="G108" s="2"/>
      <c r="H108" s="2">
        <f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-8.15</f>
        <v>-8.15</v>
      </c>
      <c r="Q108" s="2"/>
      <c r="R108" s="19"/>
      <c r="S108" s="2"/>
      <c r="T108" s="2">
        <f>0</f>
        <v>0</v>
      </c>
      <c r="U108" s="2"/>
      <c r="V108" s="19"/>
      <c r="W108" s="2"/>
      <c r="X108" s="2">
        <f t="shared" si="2"/>
        <v>-8.15</v>
      </c>
      <c r="Y108" s="2"/>
      <c r="Z108" s="19">
        <f t="shared" si="3"/>
        <v>0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collapsed="1" x14ac:dyDescent="0.25">
      <c r="A110" s="10"/>
      <c r="B110" s="28" t="s">
        <v>8</v>
      </c>
      <c r="C110" s="10"/>
      <c r="D110" s="4">
        <f>SUM(OSRRefD16x_0)</f>
        <v>289567.02000000014</v>
      </c>
      <c r="E110" s="4"/>
      <c r="F110" s="12">
        <f t="shared" ref="F110:F162" si="13">IF(D$12=0,0,D110/D$12)</f>
        <v>0.44413980659435004</v>
      </c>
      <c r="G110" s="4"/>
      <c r="H110" s="4">
        <f>SUM(OSRRefH16x_0)</f>
        <v>346225.35999999981</v>
      </c>
      <c r="I110" s="4"/>
      <c r="J110" s="12">
        <f t="shared" ref="J110:J162" si="14">IF(H$12=0,0,H110/H$12)</f>
        <v>0.44659616424696608</v>
      </c>
      <c r="K110" s="4"/>
      <c r="L110" s="4">
        <f t="shared" ref="L110:L162" si="15">+D110-H110</f>
        <v>-56658.339999999676</v>
      </c>
      <c r="M110" s="4"/>
      <c r="N110" s="12">
        <f t="shared" ref="N110:N162" si="16">IF(H110=0,0,L110/H110)</f>
        <v>-0.16364584038557922</v>
      </c>
      <c r="O110" s="10"/>
      <c r="P110" s="4">
        <f>SUM(OSRRefP16x_0)</f>
        <v>3994685.4999999995</v>
      </c>
      <c r="Q110" s="4"/>
      <c r="R110" s="12">
        <f t="shared" ref="R110:R162" si="17">IF(P$12=0,0,P110/P$12)</f>
        <v>0.55932487983198009</v>
      </c>
      <c r="S110" s="4"/>
      <c r="T110" s="4">
        <f>SUM(OSRRefT16x_0)</f>
        <v>4289618.8699999992</v>
      </c>
      <c r="U110" s="4"/>
      <c r="V110" s="12">
        <f t="shared" ref="V110:V162" si="18">IF(T$12=0,0,T110/T$12)</f>
        <v>0.57447090389118449</v>
      </c>
      <c r="W110" s="4"/>
      <c r="X110" s="4">
        <f t="shared" ref="X110:X162" si="19">+P110-T110</f>
        <v>-294933.36999999965</v>
      </c>
      <c r="Y110" s="4"/>
      <c r="Z110" s="12">
        <f t="shared" ref="Z110:Z162" si="20">IF(T110=0,0,X110/T110)</f>
        <v>-6.8755145605744625E-2</v>
      </c>
    </row>
    <row r="111" spans="1:26" s="24" customFormat="1" hidden="1" outlineLevel="1" x14ac:dyDescent="0.25">
      <c r="A111" s="44"/>
      <c r="B111" s="11" t="str">
        <f>CONCATENATE("          ", "5001", " - ", "PURCHASES @ COST-NEW TEXT")</f>
        <v xml:space="preserve">          5001 - PURCHASES @ COST-NEW TEXT</v>
      </c>
      <c r="C111" s="11"/>
      <c r="D111" s="2">
        <v>155219.06</v>
      </c>
      <c r="E111" s="2"/>
      <c r="F111" s="19">
        <f t="shared" si="13"/>
        <v>0.23807601876814832</v>
      </c>
      <c r="G111" s="2"/>
      <c r="H111" s="2">
        <v>435074.94</v>
      </c>
      <c r="I111" s="2"/>
      <c r="J111" s="19">
        <f t="shared" si="14"/>
        <v>0.5612032560641399</v>
      </c>
      <c r="K111" s="2"/>
      <c r="L111" s="2">
        <f t="shared" si="15"/>
        <v>-279855.88</v>
      </c>
      <c r="M111" s="2"/>
      <c r="N111" s="19">
        <f t="shared" si="16"/>
        <v>-0.64323603653200523</v>
      </c>
      <c r="O111" s="11"/>
      <c r="P111" s="2">
        <v>1737069.75</v>
      </c>
      <c r="Q111" s="2"/>
      <c r="R111" s="19">
        <f t="shared" si="17"/>
        <v>0.24321973010854492</v>
      </c>
      <c r="S111" s="2"/>
      <c r="T111" s="2">
        <v>2155732.5</v>
      </c>
      <c r="U111" s="2"/>
      <c r="V111" s="19">
        <f t="shared" si="18"/>
        <v>0.28869828191113939</v>
      </c>
      <c r="W111" s="2"/>
      <c r="X111" s="2">
        <f t="shared" si="19"/>
        <v>-418662.75</v>
      </c>
      <c r="Y111" s="2"/>
      <c r="Z111" s="19">
        <f t="shared" si="20"/>
        <v>-0.1942090449533975</v>
      </c>
    </row>
    <row r="112" spans="1:26" s="24" customFormat="1" hidden="1" outlineLevel="1" x14ac:dyDescent="0.25">
      <c r="A112" s="44"/>
      <c r="B112" s="11" t="str">
        <f>CONCATENATE("          ", "5002", " - ", "PURCHASES @ COST-USED TEXT")</f>
        <v xml:space="preserve">          5002 - PURCHASES @ COST-USED TEXT</v>
      </c>
      <c r="C112" s="11"/>
      <c r="D112" s="2">
        <v>40274.950000000004</v>
      </c>
      <c r="E112" s="2"/>
      <c r="F112" s="19">
        <f t="shared" si="13"/>
        <v>6.1773984149151764E-2</v>
      </c>
      <c r="G112" s="2"/>
      <c r="H112" s="2">
        <v>-55954.86</v>
      </c>
      <c r="I112" s="2"/>
      <c r="J112" s="19">
        <f t="shared" si="14"/>
        <v>-7.2176185612099597E-2</v>
      </c>
      <c r="K112" s="2"/>
      <c r="L112" s="2">
        <f t="shared" si="15"/>
        <v>96229.81</v>
      </c>
      <c r="M112" s="2"/>
      <c r="N112" s="19">
        <f t="shared" si="16"/>
        <v>-1.7197757263622855</v>
      </c>
      <c r="O112" s="11"/>
      <c r="P112" s="2">
        <v>252522.85</v>
      </c>
      <c r="Q112" s="2"/>
      <c r="R112" s="19">
        <f t="shared" si="17"/>
        <v>3.5357555114433704E-2</v>
      </c>
      <c r="S112" s="2"/>
      <c r="T112" s="2">
        <v>252363.15000000002</v>
      </c>
      <c r="U112" s="2"/>
      <c r="V112" s="19">
        <f t="shared" si="18"/>
        <v>3.3796775723649926E-2</v>
      </c>
      <c r="W112" s="2"/>
      <c r="X112" s="2">
        <f t="shared" si="19"/>
        <v>159.69999999998254</v>
      </c>
      <c r="Y112" s="2"/>
      <c r="Z112" s="19">
        <f t="shared" si="20"/>
        <v>6.3281822247020821E-4</v>
      </c>
    </row>
    <row r="113" spans="1:26" s="24" customFormat="1" hidden="1" outlineLevel="1" x14ac:dyDescent="0.25">
      <c r="A113" s="44"/>
      <c r="B113" s="11" t="str">
        <f>CONCATENATE("          ", "5003", " - ", "PURCHASES @ COST-RENTAL TEXT")</f>
        <v xml:space="preserve">          5003 - PURCHASES @ COST-RENTAL TEXT</v>
      </c>
      <c r="C113" s="11"/>
      <c r="D113" s="2"/>
      <c r="E113" s="2"/>
      <c r="F113" s="19">
        <f t="shared" si="13"/>
        <v>0</v>
      </c>
      <c r="G113" s="2"/>
      <c r="H113" s="2">
        <v>9907.4500000000007</v>
      </c>
      <c r="I113" s="2"/>
      <c r="J113" s="19">
        <f t="shared" si="14"/>
        <v>1.2779621826282762E-2</v>
      </c>
      <c r="K113" s="2"/>
      <c r="L113" s="2">
        <f t="shared" si="15"/>
        <v>-9907.4500000000007</v>
      </c>
      <c r="M113" s="2"/>
      <c r="N113" s="19">
        <f t="shared" si="16"/>
        <v>-1</v>
      </c>
      <c r="O113" s="11"/>
      <c r="P113" s="2">
        <v>-78.400000000000006</v>
      </c>
      <c r="Q113" s="2"/>
      <c r="R113" s="19">
        <f t="shared" si="17"/>
        <v>-1.0977352429578561E-5</v>
      </c>
      <c r="S113" s="2"/>
      <c r="T113" s="2">
        <v>8143.75</v>
      </c>
      <c r="U113" s="2"/>
      <c r="V113" s="19">
        <f t="shared" si="18"/>
        <v>1.0906207673326079E-3</v>
      </c>
      <c r="W113" s="2"/>
      <c r="X113" s="2">
        <f t="shared" si="19"/>
        <v>-8222.15</v>
      </c>
      <c r="Y113" s="2"/>
      <c r="Z113" s="19">
        <f t="shared" si="20"/>
        <v>-1.0096270145817343</v>
      </c>
    </row>
    <row r="114" spans="1:26" s="24" customFormat="1" hidden="1" outlineLevel="1" x14ac:dyDescent="0.25">
      <c r="A114" s="44"/>
      <c r="B114" s="11" t="str">
        <f>CONCATENATE("          ", "5004", " - ", "PURCHASES @ COST-DIGITAL TEXT")</f>
        <v xml:space="preserve">          5004 - PURCHASES @ COST-DIGITAL TEXT</v>
      </c>
      <c r="C114" s="11"/>
      <c r="D114" s="2">
        <v>31572.300000000003</v>
      </c>
      <c r="E114" s="2"/>
      <c r="F114" s="19">
        <f t="shared" si="13"/>
        <v>4.8425802136371716E-2</v>
      </c>
      <c r="G114" s="2"/>
      <c r="H114" s="2">
        <v>25639.57</v>
      </c>
      <c r="I114" s="2"/>
      <c r="J114" s="19">
        <f t="shared" si="14"/>
        <v>3.3072486703289411E-2</v>
      </c>
      <c r="K114" s="2"/>
      <c r="L114" s="2">
        <f t="shared" si="15"/>
        <v>5932.7300000000032</v>
      </c>
      <c r="M114" s="2"/>
      <c r="N114" s="19">
        <f t="shared" si="16"/>
        <v>0.23138960598793207</v>
      </c>
      <c r="O114" s="11"/>
      <c r="P114" s="2">
        <v>354352.27</v>
      </c>
      <c r="Q114" s="2"/>
      <c r="R114" s="19">
        <f t="shared" si="17"/>
        <v>4.9615430510346663E-2</v>
      </c>
      <c r="S114" s="2"/>
      <c r="T114" s="2">
        <v>332594.94</v>
      </c>
      <c r="U114" s="2"/>
      <c r="V114" s="19">
        <f t="shared" si="18"/>
        <v>4.4541513267689049E-2</v>
      </c>
      <c r="W114" s="2"/>
      <c r="X114" s="2">
        <f t="shared" si="19"/>
        <v>21757.330000000016</v>
      </c>
      <c r="Y114" s="2"/>
      <c r="Z114" s="19">
        <f t="shared" si="20"/>
        <v>6.5416900209005036E-2</v>
      </c>
    </row>
    <row r="115" spans="1:26" s="24" customFormat="1" hidden="1" outlineLevel="1" x14ac:dyDescent="0.25">
      <c r="A115" s="44"/>
      <c r="B115" s="11" t="str">
        <f>CONCATENATE("          ", "5011", " - ", "PURCHASES @ COST-NO VALUE TEXT")</f>
        <v xml:space="preserve">          5011 - PURCHASES @ COST-NO VALUE TEXT</v>
      </c>
      <c r="C115" s="11"/>
      <c r="D115" s="2">
        <v>1161</v>
      </c>
      <c r="E115" s="2"/>
      <c r="F115" s="19">
        <f t="shared" si="13"/>
        <v>1.780749463305732E-3</v>
      </c>
      <c r="G115" s="2"/>
      <c r="H115" s="2">
        <v>-264</v>
      </c>
      <c r="I115" s="2"/>
      <c r="J115" s="19">
        <f t="shared" si="14"/>
        <v>-3.4053365519267308E-4</v>
      </c>
      <c r="K115" s="2"/>
      <c r="L115" s="2">
        <f t="shared" si="15"/>
        <v>1425</v>
      </c>
      <c r="M115" s="2"/>
      <c r="N115" s="19">
        <f t="shared" si="16"/>
        <v>-5.3977272727272725</v>
      </c>
      <c r="O115" s="11"/>
      <c r="P115" s="2">
        <v>4902</v>
      </c>
      <c r="Q115" s="2"/>
      <c r="R115" s="19">
        <f t="shared" si="17"/>
        <v>6.8636456134941451E-4</v>
      </c>
      <c r="S115" s="2"/>
      <c r="T115" s="2">
        <v>2574</v>
      </c>
      <c r="U115" s="2"/>
      <c r="V115" s="19">
        <f t="shared" si="18"/>
        <v>3.4471316716673924E-4</v>
      </c>
      <c r="W115" s="2"/>
      <c r="X115" s="2">
        <f t="shared" si="19"/>
        <v>2328</v>
      </c>
      <c r="Y115" s="2"/>
      <c r="Z115" s="19">
        <f t="shared" si="20"/>
        <v>0.90442890442890445</v>
      </c>
    </row>
    <row r="116" spans="1:26" s="24" customFormat="1" hidden="1" outlineLevel="1" x14ac:dyDescent="0.25">
      <c r="A116" s="44"/>
      <c r="B116" s="11" t="str">
        <f>CONCATENATE("          ", "5013", " - ", "PURCHASES @ COST-TRADE BOOKS")</f>
        <v xml:space="preserve">          5013 - PURCHASES @ COST-TRADE BOOKS</v>
      </c>
      <c r="C116" s="11"/>
      <c r="D116" s="2">
        <v>37.17</v>
      </c>
      <c r="E116" s="2"/>
      <c r="F116" s="19">
        <f t="shared" si="13"/>
        <v>5.7011591344594365E-5</v>
      </c>
      <c r="G116" s="2"/>
      <c r="H116" s="2"/>
      <c r="I116" s="2"/>
      <c r="J116" s="19">
        <f t="shared" si="14"/>
        <v>0</v>
      </c>
      <c r="K116" s="2"/>
      <c r="L116" s="2">
        <f t="shared" si="15"/>
        <v>37.17</v>
      </c>
      <c r="M116" s="2"/>
      <c r="N116" s="19">
        <f t="shared" si="16"/>
        <v>0</v>
      </c>
      <c r="O116" s="11"/>
      <c r="P116" s="2">
        <v>735.31</v>
      </c>
      <c r="Q116" s="2"/>
      <c r="R116" s="19">
        <f t="shared" si="17"/>
        <v>1.0295608437491594E-4</v>
      </c>
      <c r="S116" s="2"/>
      <c r="T116" s="2">
        <v>1406.94</v>
      </c>
      <c r="U116" s="2"/>
      <c r="V116" s="19">
        <f t="shared" si="18"/>
        <v>1.8841909223526503E-4</v>
      </c>
      <c r="W116" s="2"/>
      <c r="X116" s="2">
        <f t="shared" si="19"/>
        <v>-671.63000000000011</v>
      </c>
      <c r="Y116" s="2"/>
      <c r="Z116" s="19">
        <f t="shared" si="20"/>
        <v>-0.47736932633943174</v>
      </c>
    </row>
    <row r="117" spans="1:26" s="24" customFormat="1" hidden="1" outlineLevel="1" x14ac:dyDescent="0.25">
      <c r="A117" s="44"/>
      <c r="B117" s="11" t="str">
        <f>CONCATENATE("          ", "5014", " - ", "PURCHASES @ COST-REMAINDERS")</f>
        <v xml:space="preserve">          5014 - PURCHASES @ COST-REMAINDERS</v>
      </c>
      <c r="C117" s="11"/>
      <c r="D117" s="2">
        <v>56.98</v>
      </c>
      <c r="E117" s="2"/>
      <c r="F117" s="19">
        <f t="shared" si="13"/>
        <v>8.739630010263617E-5</v>
      </c>
      <c r="G117" s="2"/>
      <c r="H117" s="2">
        <v>52.76</v>
      </c>
      <c r="I117" s="2"/>
      <c r="J117" s="19">
        <f t="shared" si="14"/>
        <v>6.8055135030172087E-5</v>
      </c>
      <c r="K117" s="2"/>
      <c r="L117" s="2">
        <f t="shared" si="15"/>
        <v>4.2199999999999989</v>
      </c>
      <c r="M117" s="2"/>
      <c r="N117" s="19">
        <f t="shared" si="16"/>
        <v>7.9984836997725531E-2</v>
      </c>
      <c r="O117" s="11"/>
      <c r="P117" s="2">
        <v>513.79</v>
      </c>
      <c r="Q117" s="2"/>
      <c r="R117" s="19">
        <f t="shared" si="17"/>
        <v>7.1939463071341435E-5</v>
      </c>
      <c r="S117" s="2"/>
      <c r="T117" s="2">
        <v>787.96</v>
      </c>
      <c r="U117" s="2"/>
      <c r="V117" s="19">
        <f t="shared" si="18"/>
        <v>1.055245482520217E-4</v>
      </c>
      <c r="W117" s="2"/>
      <c r="X117" s="2">
        <f t="shared" si="19"/>
        <v>-274.17000000000007</v>
      </c>
      <c r="Y117" s="2"/>
      <c r="Z117" s="19">
        <f t="shared" si="20"/>
        <v>-0.34794913447383125</v>
      </c>
    </row>
    <row r="118" spans="1:26" s="24" customFormat="1" hidden="1" outlineLevel="1" x14ac:dyDescent="0.25">
      <c r="A118" s="44"/>
      <c r="B118" s="11" t="str">
        <f>CONCATENATE("          ", "5017", " - ", "PURCHASES @ COST-DORM/HOUSEWAR")</f>
        <v xml:space="preserve">          5017 - PURCHASES @ COST-DORM/HOUSEWAR</v>
      </c>
      <c r="C118" s="11"/>
      <c r="D118" s="2"/>
      <c r="E118" s="2"/>
      <c r="F118" s="19">
        <f t="shared" si="13"/>
        <v>0</v>
      </c>
      <c r="G118" s="2"/>
      <c r="H118" s="2"/>
      <c r="I118" s="2"/>
      <c r="J118" s="19">
        <f t="shared" si="14"/>
        <v>0</v>
      </c>
      <c r="K118" s="2"/>
      <c r="L118" s="2">
        <f t="shared" si="15"/>
        <v>0</v>
      </c>
      <c r="M118" s="2"/>
      <c r="N118" s="19">
        <f t="shared" si="16"/>
        <v>0</v>
      </c>
      <c r="O118" s="11"/>
      <c r="P118" s="2">
        <v>0</v>
      </c>
      <c r="Q118" s="2"/>
      <c r="R118" s="19">
        <f t="shared" si="17"/>
        <v>0</v>
      </c>
      <c r="S118" s="2"/>
      <c r="T118" s="2">
        <v>239.9</v>
      </c>
      <c r="U118" s="2"/>
      <c r="V118" s="19">
        <f t="shared" si="18"/>
        <v>3.2127695727778068E-5</v>
      </c>
      <c r="W118" s="2"/>
      <c r="X118" s="2">
        <f t="shared" si="19"/>
        <v>-239.9</v>
      </c>
      <c r="Y118" s="2"/>
      <c r="Z118" s="19">
        <f t="shared" si="20"/>
        <v>-1</v>
      </c>
    </row>
    <row r="119" spans="1:26" s="24" customFormat="1" hidden="1" outlineLevel="1" x14ac:dyDescent="0.25">
      <c r="A119" s="44"/>
      <c r="B119" s="11" t="str">
        <f>CONCATENATE("          ", "5018", " - ", "PURCHASES @ COST-STUDY GUIDES")</f>
        <v xml:space="preserve">          5018 - PURCHASES @ COST-STUDY GUIDES</v>
      </c>
      <c r="C119" s="11"/>
      <c r="D119" s="2">
        <v>196.31</v>
      </c>
      <c r="E119" s="2"/>
      <c r="F119" s="19">
        <f t="shared" si="13"/>
        <v>3.0110157376533008E-4</v>
      </c>
      <c r="G119" s="2"/>
      <c r="H119" s="2">
        <v>1051.22</v>
      </c>
      <c r="I119" s="2"/>
      <c r="J119" s="19">
        <f t="shared" si="14"/>
        <v>1.3559688977713704E-3</v>
      </c>
      <c r="K119" s="2"/>
      <c r="L119" s="2">
        <f t="shared" si="15"/>
        <v>-854.91000000000008</v>
      </c>
      <c r="M119" s="2"/>
      <c r="N119" s="19">
        <f t="shared" si="16"/>
        <v>-0.81325507505564965</v>
      </c>
      <c r="O119" s="11"/>
      <c r="P119" s="2">
        <v>998.4</v>
      </c>
      <c r="Q119" s="2"/>
      <c r="R119" s="19">
        <f t="shared" si="17"/>
        <v>1.3979322277667391E-4</v>
      </c>
      <c r="S119" s="2"/>
      <c r="T119" s="2">
        <v>2085.77</v>
      </c>
      <c r="U119" s="2"/>
      <c r="V119" s="19">
        <f t="shared" si="18"/>
        <v>2.7932882000053212E-4</v>
      </c>
      <c r="W119" s="2"/>
      <c r="X119" s="2">
        <f t="shared" si="19"/>
        <v>-1087.3699999999999</v>
      </c>
      <c r="Y119" s="2"/>
      <c r="Z119" s="19">
        <f t="shared" si="20"/>
        <v>-0.52132785494086109</v>
      </c>
    </row>
    <row r="120" spans="1:26" s="24" customFormat="1" hidden="1" outlineLevel="1" x14ac:dyDescent="0.25">
      <c r="A120" s="44"/>
      <c r="B120" s="11" t="str">
        <f>CONCATENATE("          ", "5025", " - ", "PURCHASES @ COST-TEST FORMS")</f>
        <v xml:space="preserve">          5025 - PURCHASES @ COST-TEST FORMS</v>
      </c>
      <c r="C120" s="11"/>
      <c r="D120" s="2">
        <v>0</v>
      </c>
      <c r="E120" s="2"/>
      <c r="F120" s="19">
        <f t="shared" si="13"/>
        <v>0</v>
      </c>
      <c r="G120" s="2"/>
      <c r="H120" s="2">
        <v>12949.15</v>
      </c>
      <c r="I120" s="2"/>
      <c r="J120" s="19">
        <f t="shared" si="14"/>
        <v>1.6703111292190161E-2</v>
      </c>
      <c r="K120" s="2"/>
      <c r="L120" s="2">
        <f t="shared" si="15"/>
        <v>-12949.15</v>
      </c>
      <c r="M120" s="2"/>
      <c r="N120" s="19">
        <f t="shared" si="16"/>
        <v>-1</v>
      </c>
      <c r="O120" s="11"/>
      <c r="P120" s="2">
        <v>22098.390000000003</v>
      </c>
      <c r="Q120" s="2"/>
      <c r="R120" s="19">
        <f t="shared" si="17"/>
        <v>3.0941558055647268E-3</v>
      </c>
      <c r="S120" s="2"/>
      <c r="T120" s="2">
        <v>14999.150000000001</v>
      </c>
      <c r="U120" s="2"/>
      <c r="V120" s="19">
        <f t="shared" si="18"/>
        <v>2.0087041574627031E-3</v>
      </c>
      <c r="W120" s="2"/>
      <c r="X120" s="2">
        <f t="shared" si="19"/>
        <v>7099.2400000000016</v>
      </c>
      <c r="Y120" s="2"/>
      <c r="Z120" s="19">
        <f t="shared" si="20"/>
        <v>0.47330948753762719</v>
      </c>
    </row>
    <row r="121" spans="1:26" s="24" customFormat="1" hidden="1" outlineLevel="1" x14ac:dyDescent="0.25">
      <c r="A121" s="44"/>
      <c r="B121" s="11" t="str">
        <f>CONCATENATE("          ", "5026", " - ", "PURCHASES @ COST-WRITING INSTR")</f>
        <v xml:space="preserve">          5026 - PURCHASES @ COST-WRITING INSTR</v>
      </c>
      <c r="C121" s="11"/>
      <c r="D121" s="2">
        <v>4344.2</v>
      </c>
      <c r="E121" s="2"/>
      <c r="F121" s="19">
        <f t="shared" si="13"/>
        <v>6.6631626343606892E-3</v>
      </c>
      <c r="G121" s="2"/>
      <c r="H121" s="2">
        <v>3765.16</v>
      </c>
      <c r="I121" s="2"/>
      <c r="J121" s="19">
        <f t="shared" si="14"/>
        <v>4.8566806711562308E-3</v>
      </c>
      <c r="K121" s="2"/>
      <c r="L121" s="2">
        <f t="shared" si="15"/>
        <v>579.04</v>
      </c>
      <c r="M121" s="2"/>
      <c r="N121" s="19">
        <f t="shared" si="16"/>
        <v>0.15378894920800179</v>
      </c>
      <c r="O121" s="11"/>
      <c r="P121" s="2">
        <v>34294.769999999997</v>
      </c>
      <c r="Q121" s="2"/>
      <c r="R121" s="19">
        <f t="shared" si="17"/>
        <v>4.8018593977211463E-3</v>
      </c>
      <c r="S121" s="2"/>
      <c r="T121" s="2">
        <v>31774.220000000005</v>
      </c>
      <c r="U121" s="2"/>
      <c r="V121" s="19">
        <f t="shared" si="18"/>
        <v>4.2552416513025456E-3</v>
      </c>
      <c r="W121" s="2"/>
      <c r="X121" s="2">
        <f t="shared" si="19"/>
        <v>2520.549999999992</v>
      </c>
      <c r="Y121" s="2"/>
      <c r="Z121" s="19">
        <f t="shared" si="20"/>
        <v>7.9326888276092744E-2</v>
      </c>
    </row>
    <row r="122" spans="1:26" s="24" customFormat="1" hidden="1" outlineLevel="1" x14ac:dyDescent="0.25">
      <c r="A122" s="44"/>
      <c r="B122" s="11" t="str">
        <f>CONCATENATE("          ", "5027", " - ", "PURCHASES @ COST-SCHOOL SUPPLI")</f>
        <v xml:space="preserve">          5027 - PURCHASES @ COST-SCHOOL SUPPLI</v>
      </c>
      <c r="C122" s="11"/>
      <c r="D122" s="2">
        <v>2493.64</v>
      </c>
      <c r="E122" s="2"/>
      <c r="F122" s="19">
        <f t="shared" si="13"/>
        <v>3.8247614915397979E-3</v>
      </c>
      <c r="G122" s="2"/>
      <c r="H122" s="2">
        <v>15673.230000000001</v>
      </c>
      <c r="I122" s="2"/>
      <c r="J122" s="19">
        <f t="shared" si="14"/>
        <v>2.0216902653694923E-2</v>
      </c>
      <c r="K122" s="2"/>
      <c r="L122" s="2">
        <f t="shared" si="15"/>
        <v>-13179.590000000002</v>
      </c>
      <c r="M122" s="2"/>
      <c r="N122" s="19">
        <f t="shared" si="16"/>
        <v>-0.8408981428843959</v>
      </c>
      <c r="O122" s="11"/>
      <c r="P122" s="2">
        <v>78000</v>
      </c>
      <c r="Q122" s="2"/>
      <c r="R122" s="19">
        <f t="shared" si="17"/>
        <v>1.0921345529427648E-2</v>
      </c>
      <c r="S122" s="2"/>
      <c r="T122" s="2">
        <v>97906.49</v>
      </c>
      <c r="U122" s="2"/>
      <c r="V122" s="19">
        <f t="shared" si="18"/>
        <v>1.3111754566464136E-2</v>
      </c>
      <c r="W122" s="2"/>
      <c r="X122" s="2">
        <f t="shared" si="19"/>
        <v>-19906.490000000005</v>
      </c>
      <c r="Y122" s="2"/>
      <c r="Z122" s="19">
        <f t="shared" si="20"/>
        <v>-0.20332145499241169</v>
      </c>
    </row>
    <row r="123" spans="1:26" s="24" customFormat="1" hidden="1" outlineLevel="1" x14ac:dyDescent="0.25">
      <c r="A123" s="44"/>
      <c r="B123" s="11" t="str">
        <f>CONCATENATE("          ", "5028", " - ", "PURCHASES @ COST-ART/TECH")</f>
        <v xml:space="preserve">          5028 - PURCHASES @ COST-ART/TECH</v>
      </c>
      <c r="C123" s="11"/>
      <c r="D123" s="2">
        <v>7730.31</v>
      </c>
      <c r="E123" s="2"/>
      <c r="F123" s="19">
        <f t="shared" si="13"/>
        <v>1.185680050274499E-2</v>
      </c>
      <c r="G123" s="2"/>
      <c r="H123" s="2">
        <v>12127.84</v>
      </c>
      <c r="I123" s="2"/>
      <c r="J123" s="19">
        <f t="shared" si="14"/>
        <v>1.56437033514845E-2</v>
      </c>
      <c r="K123" s="2"/>
      <c r="L123" s="2">
        <f t="shared" si="15"/>
        <v>-4397.53</v>
      </c>
      <c r="M123" s="2"/>
      <c r="N123" s="19">
        <f t="shared" si="16"/>
        <v>-0.36259795643741999</v>
      </c>
      <c r="O123" s="11"/>
      <c r="P123" s="2">
        <v>103000.81999999999</v>
      </c>
      <c r="Q123" s="2"/>
      <c r="R123" s="19">
        <f t="shared" si="17"/>
        <v>1.4421891603004897E-2</v>
      </c>
      <c r="S123" s="2"/>
      <c r="T123" s="2">
        <v>97793.52</v>
      </c>
      <c r="U123" s="2"/>
      <c r="V123" s="19">
        <f t="shared" si="18"/>
        <v>1.3096625488571819E-2</v>
      </c>
      <c r="W123" s="2"/>
      <c r="X123" s="2">
        <f t="shared" si="19"/>
        <v>5207.2999999999884</v>
      </c>
      <c r="Y123" s="2"/>
      <c r="Z123" s="19">
        <f t="shared" si="20"/>
        <v>5.3247904360125171E-2</v>
      </c>
    </row>
    <row r="124" spans="1:26" s="24" customFormat="1" hidden="1" outlineLevel="1" x14ac:dyDescent="0.25">
      <c r="A124" s="44"/>
      <c r="B124" s="11" t="str">
        <f>CONCATENATE("          ", "5031", " - ", "PURCHASES @ COST-FOOD")</f>
        <v xml:space="preserve">          5031 - PURCHASES @ COST-FOOD</v>
      </c>
      <c r="C124" s="11"/>
      <c r="D124" s="2">
        <v>1695.24</v>
      </c>
      <c r="E124" s="2"/>
      <c r="F124" s="19">
        <f t="shared" si="13"/>
        <v>2.6001703016144779E-3</v>
      </c>
      <c r="G124" s="2"/>
      <c r="H124" s="2">
        <v>1711.02</v>
      </c>
      <c r="I124" s="2"/>
      <c r="J124" s="19">
        <f t="shared" si="14"/>
        <v>2.2070450557112402E-3</v>
      </c>
      <c r="K124" s="2"/>
      <c r="L124" s="2">
        <f t="shared" si="15"/>
        <v>-15.779999999999973</v>
      </c>
      <c r="M124" s="2"/>
      <c r="N124" s="19">
        <f t="shared" si="16"/>
        <v>-9.2225689939334273E-3</v>
      </c>
      <c r="O124" s="11"/>
      <c r="P124" s="2">
        <v>22509.73</v>
      </c>
      <c r="Q124" s="2"/>
      <c r="R124" s="19">
        <f t="shared" si="17"/>
        <v>3.1517505013349159E-3</v>
      </c>
      <c r="S124" s="2"/>
      <c r="T124" s="2">
        <v>19133.79</v>
      </c>
      <c r="U124" s="2"/>
      <c r="V124" s="19">
        <f t="shared" si="18"/>
        <v>2.5624201052071812E-3</v>
      </c>
      <c r="W124" s="2"/>
      <c r="X124" s="2">
        <f t="shared" si="19"/>
        <v>3375.9399999999987</v>
      </c>
      <c r="Y124" s="2"/>
      <c r="Z124" s="19">
        <f t="shared" si="20"/>
        <v>0.17643864597656808</v>
      </c>
    </row>
    <row r="125" spans="1:26" s="24" customFormat="1" hidden="1" outlineLevel="1" x14ac:dyDescent="0.25">
      <c r="A125" s="44"/>
      <c r="B125" s="11" t="str">
        <f>CONCATENATE("          ", "5032", " - ", "PURCHASES @ COST-JUICE")</f>
        <v xml:space="preserve">          5032 - PURCHASES @ COST-JUICE</v>
      </c>
      <c r="C125" s="11"/>
      <c r="D125" s="2">
        <v>358.99</v>
      </c>
      <c r="E125" s="2"/>
      <c r="F125" s="19">
        <f t="shared" si="13"/>
        <v>5.5062123155221767E-4</v>
      </c>
      <c r="G125" s="2"/>
      <c r="H125" s="2">
        <v>891.9</v>
      </c>
      <c r="I125" s="2"/>
      <c r="J125" s="19">
        <f t="shared" si="14"/>
        <v>1.1504619964634285E-3</v>
      </c>
      <c r="K125" s="2"/>
      <c r="L125" s="2">
        <f t="shared" si="15"/>
        <v>-532.91</v>
      </c>
      <c r="M125" s="2"/>
      <c r="N125" s="19">
        <f t="shared" si="16"/>
        <v>-0.59749971969951787</v>
      </c>
      <c r="O125" s="11"/>
      <c r="P125" s="2">
        <v>5021.4799999999996</v>
      </c>
      <c r="Q125" s="2"/>
      <c r="R125" s="19">
        <f t="shared" si="17"/>
        <v>7.0309382242449159E-4</v>
      </c>
      <c r="S125" s="2"/>
      <c r="T125" s="2">
        <v>5570.25</v>
      </c>
      <c r="U125" s="2"/>
      <c r="V125" s="19">
        <f t="shared" si="18"/>
        <v>7.4597456076555145E-4</v>
      </c>
      <c r="W125" s="2"/>
      <c r="X125" s="2">
        <f t="shared" si="19"/>
        <v>-548.77000000000044</v>
      </c>
      <c r="Y125" s="2"/>
      <c r="Z125" s="19">
        <f t="shared" si="20"/>
        <v>-9.8518019837529808E-2</v>
      </c>
    </row>
    <row r="126" spans="1:26" s="24" customFormat="1" hidden="1" outlineLevel="1" x14ac:dyDescent="0.25">
      <c r="A126" s="44"/>
      <c r="B126" s="11" t="str">
        <f>CONCATENATE("          ", "5033", " - ", "PURCHASES @ COST-CANDY")</f>
        <v xml:space="preserve">          5033 - PURCHASES @ COST-CANDY</v>
      </c>
      <c r="C126" s="11"/>
      <c r="D126" s="2">
        <v>260.19</v>
      </c>
      <c r="E126" s="2"/>
      <c r="F126" s="19">
        <f t="shared" si="13"/>
        <v>3.9908113941216055E-4</v>
      </c>
      <c r="G126" s="2"/>
      <c r="H126" s="2">
        <v>143.51</v>
      </c>
      <c r="I126" s="2"/>
      <c r="J126" s="19">
        <f t="shared" si="14"/>
        <v>1.8511357900265345E-4</v>
      </c>
      <c r="K126" s="2"/>
      <c r="L126" s="2">
        <f t="shared" si="15"/>
        <v>116.68</v>
      </c>
      <c r="M126" s="2"/>
      <c r="N126" s="19">
        <f t="shared" si="16"/>
        <v>0.81304438715072125</v>
      </c>
      <c r="O126" s="11"/>
      <c r="P126" s="2">
        <v>6197.93</v>
      </c>
      <c r="Q126" s="2"/>
      <c r="R126" s="19">
        <f t="shared" si="17"/>
        <v>8.6781711663083986E-4</v>
      </c>
      <c r="S126" s="2"/>
      <c r="T126" s="2">
        <v>4581.87</v>
      </c>
      <c r="U126" s="2"/>
      <c r="V126" s="19">
        <f t="shared" si="18"/>
        <v>6.1360952573670069E-4</v>
      </c>
      <c r="W126" s="2"/>
      <c r="X126" s="2">
        <f t="shared" si="19"/>
        <v>1616.0600000000004</v>
      </c>
      <c r="Y126" s="2"/>
      <c r="Z126" s="19">
        <f t="shared" si="20"/>
        <v>0.35270751898242431</v>
      </c>
    </row>
    <row r="127" spans="1:26" s="24" customFormat="1" hidden="1" outlineLevel="1" x14ac:dyDescent="0.25">
      <c r="A127" s="44"/>
      <c r="B127" s="11" t="str">
        <f>CONCATENATE("          ", "5034", " - ", "PURCHASES @ COST-SODA")</f>
        <v xml:space="preserve">          5034 - PURCHASES @ COST-SODA</v>
      </c>
      <c r="C127" s="11"/>
      <c r="D127" s="2">
        <v>42.24</v>
      </c>
      <c r="E127" s="2"/>
      <c r="F127" s="19">
        <f t="shared" si="13"/>
        <v>6.4787990809676249E-5</v>
      </c>
      <c r="G127" s="2"/>
      <c r="H127" s="2">
        <v>401.72</v>
      </c>
      <c r="I127" s="2"/>
      <c r="J127" s="19">
        <f t="shared" si="14"/>
        <v>5.1817871198485085E-4</v>
      </c>
      <c r="K127" s="2"/>
      <c r="L127" s="2">
        <f t="shared" si="15"/>
        <v>-359.48</v>
      </c>
      <c r="M127" s="2"/>
      <c r="N127" s="19">
        <f t="shared" si="16"/>
        <v>-0.89485213581599121</v>
      </c>
      <c r="O127" s="11"/>
      <c r="P127" s="2">
        <v>2124.16</v>
      </c>
      <c r="Q127" s="2"/>
      <c r="R127" s="19">
        <f t="shared" si="17"/>
        <v>2.9741904256139787E-4</v>
      </c>
      <c r="S127" s="2"/>
      <c r="T127" s="2">
        <v>2062.34</v>
      </c>
      <c r="U127" s="2"/>
      <c r="V127" s="19">
        <f t="shared" si="18"/>
        <v>2.7619104629939901E-4</v>
      </c>
      <c r="W127" s="2"/>
      <c r="X127" s="2">
        <f t="shared" si="19"/>
        <v>61.819999999999709</v>
      </c>
      <c r="Y127" s="2"/>
      <c r="Z127" s="19">
        <f t="shared" si="20"/>
        <v>2.9975658717767053E-2</v>
      </c>
    </row>
    <row r="128" spans="1:26" s="24" customFormat="1" hidden="1" outlineLevel="1" x14ac:dyDescent="0.25">
      <c r="A128" s="44"/>
      <c r="B128" s="11" t="str">
        <f>CONCATENATE("          ", "5035", " - ", "PURCHASES @ COST-HEALTH &amp; BEAU")</f>
        <v xml:space="preserve">          5035 - PURCHASES @ COST-HEALTH &amp; BEAU</v>
      </c>
      <c r="C128" s="11"/>
      <c r="D128" s="2">
        <v>23.17</v>
      </c>
      <c r="E128" s="2"/>
      <c r="F128" s="19">
        <f t="shared" si="13"/>
        <v>3.5538298936084244E-5</v>
      </c>
      <c r="G128" s="2"/>
      <c r="H128" s="2">
        <v>42.48</v>
      </c>
      <c r="I128" s="2"/>
      <c r="J128" s="19">
        <f t="shared" si="14"/>
        <v>5.4794960881002841E-5</v>
      </c>
      <c r="K128" s="2"/>
      <c r="L128" s="2">
        <f t="shared" si="15"/>
        <v>-19.309999999999995</v>
      </c>
      <c r="M128" s="2"/>
      <c r="N128" s="19">
        <f t="shared" si="16"/>
        <v>-0.45456685499058375</v>
      </c>
      <c r="O128" s="11"/>
      <c r="P128" s="2">
        <v>824.38</v>
      </c>
      <c r="Q128" s="2"/>
      <c r="R128" s="19">
        <f t="shared" si="17"/>
        <v>1.1542742086602007E-4</v>
      </c>
      <c r="S128" s="2"/>
      <c r="T128" s="2">
        <v>600.35</v>
      </c>
      <c r="U128" s="2"/>
      <c r="V128" s="19">
        <f t="shared" si="18"/>
        <v>8.0399592039064461E-5</v>
      </c>
      <c r="W128" s="2"/>
      <c r="X128" s="2">
        <f t="shared" si="19"/>
        <v>224.02999999999997</v>
      </c>
      <c r="Y128" s="2"/>
      <c r="Z128" s="19">
        <f t="shared" si="20"/>
        <v>0.37316565336886809</v>
      </c>
    </row>
    <row r="129" spans="1:26" s="24" customFormat="1" hidden="1" outlineLevel="1" x14ac:dyDescent="0.25">
      <c r="A129" s="44"/>
      <c r="B129" s="11" t="str">
        <f>CONCATENATE("          ", "5037", " - ", "PURCHASES @ COST-WATER")</f>
        <v xml:space="preserve">          5037 - PURCHASES @ COST-WATER</v>
      </c>
      <c r="C129" s="11"/>
      <c r="D129" s="2">
        <v>235.9</v>
      </c>
      <c r="E129" s="2"/>
      <c r="F129" s="19">
        <f t="shared" si="13"/>
        <v>3.6182497708339549E-4</v>
      </c>
      <c r="G129" s="2"/>
      <c r="H129" s="2">
        <v>424.48</v>
      </c>
      <c r="I129" s="2"/>
      <c r="J129" s="19">
        <f t="shared" si="14"/>
        <v>5.4753684074312827E-4</v>
      </c>
      <c r="K129" s="2"/>
      <c r="L129" s="2">
        <f t="shared" si="15"/>
        <v>-188.58</v>
      </c>
      <c r="M129" s="2"/>
      <c r="N129" s="19">
        <f t="shared" si="16"/>
        <v>-0.44426121372031663</v>
      </c>
      <c r="O129" s="11"/>
      <c r="P129" s="2">
        <v>3759.27</v>
      </c>
      <c r="Q129" s="2"/>
      <c r="R129" s="19">
        <f t="shared" si="17"/>
        <v>5.2636264882578818E-4</v>
      </c>
      <c r="S129" s="2"/>
      <c r="T129" s="2">
        <v>3896.09</v>
      </c>
      <c r="U129" s="2"/>
      <c r="V129" s="19">
        <f t="shared" si="18"/>
        <v>5.2176904563584346E-4</v>
      </c>
      <c r="W129" s="2"/>
      <c r="X129" s="2">
        <f t="shared" si="19"/>
        <v>-136.82000000000016</v>
      </c>
      <c r="Y129" s="2"/>
      <c r="Z129" s="19">
        <f t="shared" si="20"/>
        <v>-3.5117258584888997E-2</v>
      </c>
    </row>
    <row r="130" spans="1:26" s="24" customFormat="1" hidden="1" outlineLevel="1" x14ac:dyDescent="0.25">
      <c r="A130" s="44"/>
      <c r="B130" s="11" t="str">
        <f>CONCATENATE("          ", "5040", " - ", "PURCHASES @ COST-LOGO CLOTHING")</f>
        <v xml:space="preserve">          5040 - PURCHASES @ COST-LOGO CLOTHING</v>
      </c>
      <c r="C130" s="11"/>
      <c r="D130" s="2">
        <v>97946.53</v>
      </c>
      <c r="E130" s="2"/>
      <c r="F130" s="19">
        <f t="shared" si="13"/>
        <v>0.15023103422063633</v>
      </c>
      <c r="G130" s="2"/>
      <c r="H130" s="2">
        <v>62222.17</v>
      </c>
      <c r="I130" s="2"/>
      <c r="J130" s="19">
        <f t="shared" si="14"/>
        <v>8.026039009136321E-2</v>
      </c>
      <c r="K130" s="2"/>
      <c r="L130" s="2">
        <f t="shared" si="15"/>
        <v>35724.36</v>
      </c>
      <c r="M130" s="2"/>
      <c r="N130" s="19">
        <f t="shared" si="16"/>
        <v>0.57414198186916343</v>
      </c>
      <c r="O130" s="11"/>
      <c r="P130" s="2">
        <v>716238.84000000008</v>
      </c>
      <c r="Q130" s="2"/>
      <c r="R130" s="19">
        <f t="shared" si="17"/>
        <v>0.10028579299021084</v>
      </c>
      <c r="S130" s="2"/>
      <c r="T130" s="2">
        <v>610458.11</v>
      </c>
      <c r="U130" s="2"/>
      <c r="V130" s="19">
        <f t="shared" si="18"/>
        <v>8.1753282253582638E-2</v>
      </c>
      <c r="W130" s="2"/>
      <c r="X130" s="2">
        <f t="shared" si="19"/>
        <v>105780.7300000001</v>
      </c>
      <c r="Y130" s="2"/>
      <c r="Z130" s="19">
        <f t="shared" si="20"/>
        <v>0.17328089883186268</v>
      </c>
    </row>
    <row r="131" spans="1:26" s="24" customFormat="1" hidden="1" outlineLevel="1" x14ac:dyDescent="0.25">
      <c r="A131" s="44"/>
      <c r="B131" s="11" t="str">
        <f>CONCATENATE("          ", "5041", " - ", "PURCHASES @ COST-LOGO GIFTS")</f>
        <v xml:space="preserve">          5041 - PURCHASES @ COST-LOGO GIFTS</v>
      </c>
      <c r="C131" s="11"/>
      <c r="D131" s="2">
        <v>20607.12</v>
      </c>
      <c r="E131" s="2"/>
      <c r="F131" s="19">
        <f t="shared" si="13"/>
        <v>3.1607336675518356E-2</v>
      </c>
      <c r="G131" s="2"/>
      <c r="H131" s="2">
        <v>8923.84</v>
      </c>
      <c r="I131" s="2"/>
      <c r="J131" s="19">
        <f t="shared" si="14"/>
        <v>1.151086308164615E-2</v>
      </c>
      <c r="K131" s="2"/>
      <c r="L131" s="2">
        <f t="shared" si="15"/>
        <v>11683.279999999999</v>
      </c>
      <c r="M131" s="2"/>
      <c r="N131" s="19">
        <f t="shared" si="16"/>
        <v>1.3092211424678164</v>
      </c>
      <c r="O131" s="11"/>
      <c r="P131" s="2">
        <v>109403.67</v>
      </c>
      <c r="Q131" s="2"/>
      <c r="R131" s="19">
        <f t="shared" si="17"/>
        <v>1.5318401054583049E-2</v>
      </c>
      <c r="S131" s="2"/>
      <c r="T131" s="2">
        <v>105443.35</v>
      </c>
      <c r="U131" s="2"/>
      <c r="V131" s="19">
        <f t="shared" si="18"/>
        <v>1.4121099897113829E-2</v>
      </c>
      <c r="W131" s="2"/>
      <c r="X131" s="2">
        <f t="shared" si="19"/>
        <v>3960.3199999999924</v>
      </c>
      <c r="Y131" s="2"/>
      <c r="Z131" s="19">
        <f t="shared" si="20"/>
        <v>3.7558745999629113E-2</v>
      </c>
    </row>
    <row r="132" spans="1:26" s="24" customFormat="1" hidden="1" outlineLevel="1" x14ac:dyDescent="0.25">
      <c r="A132" s="44"/>
      <c r="B132" s="11" t="str">
        <f>CONCATENATE("          ", "5042", " - ", "PURCHASES @ COST-EVERYDAY GIFT")</f>
        <v xml:space="preserve">          5042 - PURCHASES @ COST-EVERYDAY GIFT</v>
      </c>
      <c r="C132" s="11"/>
      <c r="D132" s="2">
        <v>7822.79</v>
      </c>
      <c r="E132" s="2"/>
      <c r="F132" s="19">
        <f t="shared" si="13"/>
        <v>1.1998646937169205E-2</v>
      </c>
      <c r="G132" s="2"/>
      <c r="H132" s="2">
        <v>6183.21</v>
      </c>
      <c r="I132" s="2"/>
      <c r="J132" s="19">
        <f t="shared" si="14"/>
        <v>7.9757238716813943E-3</v>
      </c>
      <c r="K132" s="2"/>
      <c r="L132" s="2">
        <f t="shared" si="15"/>
        <v>1639.58</v>
      </c>
      <c r="M132" s="2"/>
      <c r="N132" s="19">
        <f t="shared" si="16"/>
        <v>0.26516647501863916</v>
      </c>
      <c r="O132" s="11"/>
      <c r="P132" s="2">
        <v>88388.11</v>
      </c>
      <c r="Q132" s="2"/>
      <c r="R132" s="19">
        <f t="shared" si="17"/>
        <v>1.237586012824435E-2</v>
      </c>
      <c r="S132" s="2"/>
      <c r="T132" s="2">
        <v>80573.990000000005</v>
      </c>
      <c r="U132" s="2"/>
      <c r="V132" s="19">
        <f t="shared" si="18"/>
        <v>1.0790565378461996E-2</v>
      </c>
      <c r="W132" s="2"/>
      <c r="X132" s="2">
        <f t="shared" si="19"/>
        <v>7814.1199999999953</v>
      </c>
      <c r="Y132" s="2"/>
      <c r="Z132" s="19">
        <f t="shared" si="20"/>
        <v>9.6980675773906622E-2</v>
      </c>
    </row>
    <row r="133" spans="1:26" s="24" customFormat="1" hidden="1" outlineLevel="1" x14ac:dyDescent="0.25">
      <c r="A133" s="44"/>
      <c r="B133" s="11" t="str">
        <f>CONCATENATE("          ", "5043", " - ", "PURCHASES @ COST-CARDS")</f>
        <v xml:space="preserve">          5043 - PURCHASES @ COST-CARDS</v>
      </c>
      <c r="C133" s="11"/>
      <c r="D133" s="2">
        <v>3256.15</v>
      </c>
      <c r="E133" s="2"/>
      <c r="F133" s="19">
        <f t="shared" si="13"/>
        <v>4.9943043625693016E-3</v>
      </c>
      <c r="G133" s="2"/>
      <c r="H133" s="2">
        <v>280.19</v>
      </c>
      <c r="I133" s="2"/>
      <c r="J133" s="19">
        <f t="shared" si="14"/>
        <v>3.6141713957740557E-4</v>
      </c>
      <c r="K133" s="2"/>
      <c r="L133" s="2">
        <f t="shared" si="15"/>
        <v>2975.96</v>
      </c>
      <c r="M133" s="2"/>
      <c r="N133" s="19">
        <f t="shared" si="16"/>
        <v>10.621221314108285</v>
      </c>
      <c r="O133" s="11"/>
      <c r="P133" s="2">
        <v>6784.89</v>
      </c>
      <c r="Q133" s="2"/>
      <c r="R133" s="19">
        <f t="shared" si="17"/>
        <v>9.5000164191228669E-4</v>
      </c>
      <c r="S133" s="2"/>
      <c r="T133" s="2">
        <v>2544.06</v>
      </c>
      <c r="U133" s="2"/>
      <c r="V133" s="19">
        <f t="shared" si="18"/>
        <v>3.4070356645773687E-4</v>
      </c>
      <c r="W133" s="2"/>
      <c r="X133" s="2">
        <f t="shared" si="19"/>
        <v>4240.83</v>
      </c>
      <c r="Y133" s="2"/>
      <c r="Z133" s="19">
        <f t="shared" si="20"/>
        <v>1.6669536095846795</v>
      </c>
    </row>
    <row r="134" spans="1:26" s="24" customFormat="1" hidden="1" outlineLevel="1" x14ac:dyDescent="0.25">
      <c r="A134" s="44"/>
      <c r="B134" s="11" t="str">
        <f>CONCATENATE("          ", "5044", " - ", "PURCHASES @ COST-ACCESSORIES")</f>
        <v xml:space="preserve">          5044 - PURCHASES @ COST-ACCESSORIES</v>
      </c>
      <c r="C134" s="11"/>
      <c r="D134" s="2">
        <v>432</v>
      </c>
      <c r="E134" s="2"/>
      <c r="F134" s="19">
        <f t="shared" si="13"/>
        <v>6.626044514625979E-4</v>
      </c>
      <c r="G134" s="2"/>
      <c r="H134" s="2">
        <v>836</v>
      </c>
      <c r="I134" s="2"/>
      <c r="J134" s="19">
        <f t="shared" si="14"/>
        <v>1.0783565747767981E-3</v>
      </c>
      <c r="K134" s="2"/>
      <c r="L134" s="2">
        <f t="shared" si="15"/>
        <v>-404</v>
      </c>
      <c r="M134" s="2"/>
      <c r="N134" s="19">
        <f t="shared" si="16"/>
        <v>-0.48325358851674644</v>
      </c>
      <c r="O134" s="11"/>
      <c r="P134" s="2">
        <v>17687.580000000002</v>
      </c>
      <c r="Q134" s="2"/>
      <c r="R134" s="19">
        <f t="shared" si="17"/>
        <v>2.4765663174281271E-3</v>
      </c>
      <c r="S134" s="2"/>
      <c r="T134" s="2">
        <v>20975.030000000002</v>
      </c>
      <c r="U134" s="2"/>
      <c r="V134" s="19">
        <f t="shared" si="18"/>
        <v>2.8090011743268735E-3</v>
      </c>
      <c r="W134" s="2"/>
      <c r="X134" s="2">
        <f t="shared" si="19"/>
        <v>-3287.4500000000007</v>
      </c>
      <c r="Y134" s="2"/>
      <c r="Z134" s="19">
        <f t="shared" si="20"/>
        <v>-0.15673159943037032</v>
      </c>
    </row>
    <row r="135" spans="1:26" s="24" customFormat="1" hidden="1" outlineLevel="1" x14ac:dyDescent="0.25">
      <c r="A135" s="44"/>
      <c r="B135" s="11" t="str">
        <f>CONCATENATE("          ", "5045", " - ", "PURCHASES @ COST-SPECIAL ORDER")</f>
        <v xml:space="preserve">          5045 - PURCHASES @ COST-SPECIAL ORDER</v>
      </c>
      <c r="C135" s="11"/>
      <c r="D135" s="2">
        <v>-1045.9100000000001</v>
      </c>
      <c r="E135" s="2"/>
      <c r="F135" s="19">
        <f t="shared" si="13"/>
        <v>-1.6042236616417727E-3</v>
      </c>
      <c r="G135" s="2"/>
      <c r="H135" s="2">
        <v>2360.23</v>
      </c>
      <c r="I135" s="2"/>
      <c r="J135" s="19">
        <f t="shared" si="14"/>
        <v>3.0444611704371319E-3</v>
      </c>
      <c r="K135" s="2"/>
      <c r="L135" s="2">
        <f t="shared" si="15"/>
        <v>-3406.1400000000003</v>
      </c>
      <c r="M135" s="2"/>
      <c r="N135" s="19">
        <f t="shared" si="16"/>
        <v>-1.4431390161128366</v>
      </c>
      <c r="O135" s="11"/>
      <c r="P135" s="2">
        <v>41180.579999999994</v>
      </c>
      <c r="Q135" s="2"/>
      <c r="R135" s="19">
        <f t="shared" si="17"/>
        <v>5.7659915805415079E-3</v>
      </c>
      <c r="S135" s="2"/>
      <c r="T135" s="2">
        <v>51672.310000000005</v>
      </c>
      <c r="U135" s="2"/>
      <c r="V135" s="19">
        <f t="shared" si="18"/>
        <v>6.9200177291847608E-3</v>
      </c>
      <c r="W135" s="2"/>
      <c r="X135" s="2">
        <f t="shared" si="19"/>
        <v>-10491.73000000001</v>
      </c>
      <c r="Y135" s="2"/>
      <c r="Z135" s="19">
        <f t="shared" si="20"/>
        <v>-0.20304356433842438</v>
      </c>
    </row>
    <row r="136" spans="1:26" s="24" customFormat="1" hidden="1" outlineLevel="1" x14ac:dyDescent="0.25">
      <c r="A136" s="44"/>
      <c r="B136" s="11" t="str">
        <f>CONCATENATE("          ", "5053", " - ", "PURCHASES @ COST-FOOD")</f>
        <v xml:space="preserve">          5053 - PURCHASES @ COST-FOOD</v>
      </c>
      <c r="C136" s="11"/>
      <c r="D136" s="2">
        <v>70856.59</v>
      </c>
      <c r="E136" s="2"/>
      <c r="F136" s="19">
        <f t="shared" si="13"/>
        <v>0.10868030543856527</v>
      </c>
      <c r="G136" s="2"/>
      <c r="H136" s="2">
        <v>68729.549999999988</v>
      </c>
      <c r="I136" s="2"/>
      <c r="J136" s="19">
        <f t="shared" si="14"/>
        <v>8.865426091381659E-2</v>
      </c>
      <c r="K136" s="2"/>
      <c r="L136" s="2">
        <f t="shared" si="15"/>
        <v>2127.0400000000081</v>
      </c>
      <c r="M136" s="2"/>
      <c r="N136" s="19">
        <f t="shared" si="16"/>
        <v>3.0947969250489905E-2</v>
      </c>
      <c r="O136" s="11"/>
      <c r="P136" s="2">
        <v>783872.38</v>
      </c>
      <c r="Q136" s="2"/>
      <c r="R136" s="19">
        <f t="shared" si="17"/>
        <v>0.10975565529429246</v>
      </c>
      <c r="S136" s="2"/>
      <c r="T136" s="2">
        <v>704947.51</v>
      </c>
      <c r="U136" s="2"/>
      <c r="V136" s="19">
        <f t="shared" si="18"/>
        <v>9.4407416028906996E-2</v>
      </c>
      <c r="W136" s="2"/>
      <c r="X136" s="2">
        <f t="shared" si="19"/>
        <v>78924.87</v>
      </c>
      <c r="Y136" s="2"/>
      <c r="Z136" s="19">
        <f t="shared" si="20"/>
        <v>0.11195850596025227</v>
      </c>
    </row>
    <row r="137" spans="1:26" s="24" customFormat="1" hidden="1" outlineLevel="1" x14ac:dyDescent="0.25">
      <c r="A137" s="44"/>
      <c r="B137" s="11" t="str">
        <f>CONCATENATE("          ", "5059", " - ", "PURCHASES @ COST-FOOD")</f>
        <v xml:space="preserve">          5059 - PURCHASES @ COST-FOOD</v>
      </c>
      <c r="C137" s="11"/>
      <c r="D137" s="2">
        <v>24547.37</v>
      </c>
      <c r="E137" s="2"/>
      <c r="F137" s="19">
        <f t="shared" si="13"/>
        <v>3.7650918133563499E-2</v>
      </c>
      <c r="G137" s="2"/>
      <c r="H137" s="2">
        <v>33182.060000000005</v>
      </c>
      <c r="I137" s="2"/>
      <c r="J137" s="19">
        <f t="shared" si="14"/>
        <v>4.280154613114618E-2</v>
      </c>
      <c r="K137" s="2"/>
      <c r="L137" s="2">
        <f t="shared" si="15"/>
        <v>-8634.690000000006</v>
      </c>
      <c r="M137" s="2"/>
      <c r="N137" s="19">
        <f t="shared" si="16"/>
        <v>-0.26022163783683122</v>
      </c>
      <c r="O137" s="11"/>
      <c r="P137" s="2">
        <v>-9613.84</v>
      </c>
      <c r="Q137" s="2"/>
      <c r="R137" s="19">
        <f t="shared" si="17"/>
        <v>-1.3461034423670861E-3</v>
      </c>
      <c r="S137" s="2"/>
      <c r="T137" s="2">
        <v>22306.28</v>
      </c>
      <c r="U137" s="2"/>
      <c r="V137" s="19">
        <f t="shared" si="18"/>
        <v>2.9872837709821647E-3</v>
      </c>
      <c r="W137" s="2"/>
      <c r="X137" s="2">
        <f t="shared" si="19"/>
        <v>-31920.12</v>
      </c>
      <c r="Y137" s="2"/>
      <c r="Z137" s="19">
        <f t="shared" si="20"/>
        <v>-1.430992527664855</v>
      </c>
    </row>
    <row r="138" spans="1:26" s="24" customFormat="1" hidden="1" outlineLevel="1" x14ac:dyDescent="0.25">
      <c r="A138" s="44"/>
      <c r="B138" s="11" t="str">
        <f>CONCATENATE("          ", "5081", " - ", "PURCHASES @ COST-ELECTRONICS")</f>
        <v xml:space="preserve">          5081 - PURCHASES @ COST-ELECTRONICS</v>
      </c>
      <c r="C138" s="11"/>
      <c r="D138" s="2">
        <v>526.74</v>
      </c>
      <c r="E138" s="2"/>
      <c r="F138" s="19">
        <f t="shared" si="13"/>
        <v>8.0791728880418717E-4</v>
      </c>
      <c r="G138" s="2"/>
      <c r="H138" s="2">
        <v>84.08</v>
      </c>
      <c r="I138" s="2"/>
      <c r="J138" s="19">
        <f t="shared" si="14"/>
        <v>1.0845480957803012E-4</v>
      </c>
      <c r="K138" s="2"/>
      <c r="L138" s="2">
        <f t="shared" si="15"/>
        <v>442.66</v>
      </c>
      <c r="M138" s="2"/>
      <c r="N138" s="19">
        <f t="shared" si="16"/>
        <v>5.2647478591817318</v>
      </c>
      <c r="O138" s="11"/>
      <c r="P138" s="2">
        <v>1771.55</v>
      </c>
      <c r="Q138" s="2"/>
      <c r="R138" s="19">
        <f t="shared" si="17"/>
        <v>2.4804755990586602E-4</v>
      </c>
      <c r="S138" s="2"/>
      <c r="T138" s="2">
        <v>1928.88</v>
      </c>
      <c r="U138" s="2"/>
      <c r="V138" s="19">
        <f t="shared" si="18"/>
        <v>2.5831792303208239E-4</v>
      </c>
      <c r="W138" s="2"/>
      <c r="X138" s="2">
        <f t="shared" si="19"/>
        <v>-157.33000000000015</v>
      </c>
      <c r="Y138" s="2"/>
      <c r="Z138" s="19">
        <f t="shared" si="20"/>
        <v>-8.1565468043631614E-2</v>
      </c>
    </row>
    <row r="139" spans="1:26" s="24" customFormat="1" hidden="1" outlineLevel="1" x14ac:dyDescent="0.25">
      <c r="A139" s="44"/>
      <c r="B139" s="11" t="str">
        <f>CONCATENATE("          ", "5082", " - ", "PURCHASES @ COST-COMPUTER HARD")</f>
        <v xml:space="preserve">          5082 - PURCHASES @ COST-COMPUTER HARD</v>
      </c>
      <c r="C139" s="11"/>
      <c r="D139" s="2">
        <v>105</v>
      </c>
      <c r="E139" s="2"/>
      <c r="F139" s="19">
        <f t="shared" si="13"/>
        <v>1.6104969306382589E-4</v>
      </c>
      <c r="G139" s="2"/>
      <c r="H139" s="2">
        <v>183</v>
      </c>
      <c r="I139" s="2"/>
      <c r="J139" s="19">
        <f t="shared" si="14"/>
        <v>2.3605173825855746E-4</v>
      </c>
      <c r="K139" s="2"/>
      <c r="L139" s="2">
        <f t="shared" si="15"/>
        <v>-78</v>
      </c>
      <c r="M139" s="2"/>
      <c r="N139" s="19">
        <f t="shared" si="16"/>
        <v>-0.42622950819672129</v>
      </c>
      <c r="O139" s="11"/>
      <c r="P139" s="2">
        <v>349.6</v>
      </c>
      <c r="Q139" s="2"/>
      <c r="R139" s="19">
        <f t="shared" si="17"/>
        <v>4.8950030731896232E-5</v>
      </c>
      <c r="S139" s="2"/>
      <c r="T139" s="2">
        <v>683</v>
      </c>
      <c r="U139" s="2"/>
      <c r="V139" s="19">
        <f t="shared" si="18"/>
        <v>9.1468179166621181E-5</v>
      </c>
      <c r="W139" s="2"/>
      <c r="X139" s="2">
        <f t="shared" si="19"/>
        <v>-333.4</v>
      </c>
      <c r="Y139" s="2"/>
      <c r="Z139" s="19">
        <f t="shared" si="20"/>
        <v>-0.48814055636896042</v>
      </c>
    </row>
    <row r="140" spans="1:26" s="24" customFormat="1" hidden="1" outlineLevel="1" x14ac:dyDescent="0.25">
      <c r="A140" s="44"/>
      <c r="B140" s="11" t="str">
        <f>CONCATENATE("          ", "5083", " - ", "PURCHASES @ COST-COMPUTER EQUI")</f>
        <v xml:space="preserve">          5083 - PURCHASES @ COST-COMPUTER EQUI</v>
      </c>
      <c r="C140" s="11"/>
      <c r="D140" s="2">
        <v>147.19999999999999</v>
      </c>
      <c r="E140" s="2"/>
      <c r="F140" s="19">
        <f t="shared" si="13"/>
        <v>2.2577633160947779E-4</v>
      </c>
      <c r="G140" s="2"/>
      <c r="H140" s="2">
        <v>95.15</v>
      </c>
      <c r="I140" s="2"/>
      <c r="J140" s="19">
        <f t="shared" si="14"/>
        <v>1.2273400489235927E-4</v>
      </c>
      <c r="K140" s="2"/>
      <c r="L140" s="2">
        <f t="shared" si="15"/>
        <v>52.049999999999983</v>
      </c>
      <c r="M140" s="2"/>
      <c r="N140" s="19">
        <f t="shared" si="16"/>
        <v>0.54703100367840229</v>
      </c>
      <c r="O140" s="11"/>
      <c r="P140" s="2">
        <v>379.35</v>
      </c>
      <c r="Q140" s="2"/>
      <c r="R140" s="19">
        <f t="shared" si="17"/>
        <v>5.311554393062024E-5</v>
      </c>
      <c r="S140" s="2"/>
      <c r="T140" s="2">
        <v>533.84</v>
      </c>
      <c r="U140" s="2"/>
      <c r="V140" s="19">
        <f t="shared" si="18"/>
        <v>7.1492493069266554E-5</v>
      </c>
      <c r="W140" s="2"/>
      <c r="X140" s="2">
        <f t="shared" si="19"/>
        <v>-154.49</v>
      </c>
      <c r="Y140" s="2"/>
      <c r="Z140" s="19">
        <f t="shared" si="20"/>
        <v>-0.28939382586542783</v>
      </c>
    </row>
    <row r="141" spans="1:26" s="24" customFormat="1" hidden="1" outlineLevel="1" x14ac:dyDescent="0.25">
      <c r="A141" s="44"/>
      <c r="B141" s="11" t="str">
        <f>CONCATENATE("          ", "5086", " - ", "PURCHASES @ COST-COMPUTER SUPP")</f>
        <v xml:space="preserve">          5086 - PURCHASES @ COST-COMPUTER SUPP</v>
      </c>
      <c r="C141" s="11"/>
      <c r="D141" s="2">
        <v>151.26</v>
      </c>
      <c r="E141" s="2"/>
      <c r="F141" s="19">
        <f t="shared" si="13"/>
        <v>2.3200358640794574E-4</v>
      </c>
      <c r="G141" s="2"/>
      <c r="H141" s="2">
        <v>146.41999999999999</v>
      </c>
      <c r="I141" s="2"/>
      <c r="J141" s="19">
        <f t="shared" si="14"/>
        <v>1.8886718861102722E-4</v>
      </c>
      <c r="K141" s="2"/>
      <c r="L141" s="2">
        <f t="shared" si="15"/>
        <v>4.8400000000000034</v>
      </c>
      <c r="M141" s="2"/>
      <c r="N141" s="19">
        <f t="shared" si="16"/>
        <v>3.3055593498156018E-2</v>
      </c>
      <c r="O141" s="11"/>
      <c r="P141" s="2">
        <v>379.26</v>
      </c>
      <c r="Q141" s="2"/>
      <c r="R141" s="19">
        <f t="shared" si="17"/>
        <v>5.3102942378086286E-5</v>
      </c>
      <c r="S141" s="2"/>
      <c r="T141" s="2">
        <v>635.17999999999995</v>
      </c>
      <c r="U141" s="2"/>
      <c r="V141" s="19">
        <f t="shared" si="18"/>
        <v>8.5064067412964029E-5</v>
      </c>
      <c r="W141" s="2"/>
      <c r="X141" s="2">
        <f t="shared" si="19"/>
        <v>-255.91999999999996</v>
      </c>
      <c r="Y141" s="2"/>
      <c r="Z141" s="19">
        <f t="shared" si="20"/>
        <v>-0.40290941150539999</v>
      </c>
    </row>
    <row r="142" spans="1:26" s="24" customFormat="1" hidden="1" outlineLevel="1" x14ac:dyDescent="0.25">
      <c r="A142" s="44"/>
      <c r="B142" s="11" t="str">
        <f>CONCATENATE("          ", "5092", " - ", "PURCHASES @ COST-GRAD MERCH")</f>
        <v xml:space="preserve">          5092 - PURCHASES @ COST-GRAD MERCH</v>
      </c>
      <c r="C142" s="11"/>
      <c r="D142" s="2"/>
      <c r="E142" s="2"/>
      <c r="F142" s="19">
        <f t="shared" si="13"/>
        <v>0</v>
      </c>
      <c r="G142" s="2"/>
      <c r="H142" s="2">
        <v>828</v>
      </c>
      <c r="I142" s="2"/>
      <c r="J142" s="19">
        <f t="shared" si="14"/>
        <v>1.0680373731042929E-3</v>
      </c>
      <c r="K142" s="2"/>
      <c r="L142" s="2">
        <f t="shared" si="15"/>
        <v>-828</v>
      </c>
      <c r="M142" s="2"/>
      <c r="N142" s="19">
        <f t="shared" si="16"/>
        <v>-1</v>
      </c>
      <c r="O142" s="11"/>
      <c r="P142" s="2">
        <v>1924.14</v>
      </c>
      <c r="Q142" s="2"/>
      <c r="R142" s="19">
        <f t="shared" si="17"/>
        <v>2.6941279214093484E-4</v>
      </c>
      <c r="S142" s="2"/>
      <c r="T142" s="2">
        <v>-1870.04</v>
      </c>
      <c r="U142" s="2"/>
      <c r="V142" s="19">
        <f t="shared" si="18"/>
        <v>-2.5043799966141766E-4</v>
      </c>
      <c r="W142" s="2"/>
      <c r="X142" s="2">
        <f t="shared" si="19"/>
        <v>3794.1800000000003</v>
      </c>
      <c r="Y142" s="2"/>
      <c r="Z142" s="19">
        <f t="shared" si="20"/>
        <v>-2.0289298624628351</v>
      </c>
    </row>
    <row r="143" spans="1:26" s="24" customFormat="1" hidden="1" outlineLevel="1" x14ac:dyDescent="0.25">
      <c r="A143" s="44"/>
      <c r="B143" s="11" t="str">
        <f>CONCATENATE("          ", "5095", " - ", "PURCHASES @ COST-CUSTOMER SERV")</f>
        <v xml:space="preserve">          5095 - PURCHASES @ COST-CUSTOMER SERV</v>
      </c>
      <c r="C143" s="11"/>
      <c r="D143" s="2"/>
      <c r="E143" s="2"/>
      <c r="F143" s="19">
        <f t="shared" si="13"/>
        <v>0</v>
      </c>
      <c r="G143" s="2"/>
      <c r="H143" s="2">
        <v>0</v>
      </c>
      <c r="I143" s="2"/>
      <c r="J143" s="19">
        <f t="shared" si="14"/>
        <v>0</v>
      </c>
      <c r="K143" s="2"/>
      <c r="L143" s="2">
        <f t="shared" si="15"/>
        <v>0</v>
      </c>
      <c r="M143" s="2"/>
      <c r="N143" s="19">
        <f t="shared" si="16"/>
        <v>0</v>
      </c>
      <c r="O143" s="11"/>
      <c r="P143" s="2">
        <v>0</v>
      </c>
      <c r="Q143" s="2"/>
      <c r="R143" s="19">
        <f t="shared" si="17"/>
        <v>0</v>
      </c>
      <c r="S143" s="2"/>
      <c r="T143" s="2">
        <v>0</v>
      </c>
      <c r="U143" s="2"/>
      <c r="V143" s="19">
        <f t="shared" si="18"/>
        <v>0</v>
      </c>
      <c r="W143" s="2"/>
      <c r="X143" s="2">
        <f t="shared" si="19"/>
        <v>0</v>
      </c>
      <c r="Y143" s="2"/>
      <c r="Z143" s="19">
        <f t="shared" si="20"/>
        <v>0</v>
      </c>
    </row>
    <row r="144" spans="1:26" s="24" customFormat="1" hidden="1" outlineLevel="1" x14ac:dyDescent="0.25">
      <c r="A144" s="44"/>
      <c r="B144" s="11" t="str">
        <f>CONCATENATE("          ", "5200", " - ", "PURCHASES OFFSET")</f>
        <v xml:space="preserve">          5200 - PURCHASES OFFSET</v>
      </c>
      <c r="C144" s="11"/>
      <c r="D144" s="2">
        <v>-362376</v>
      </c>
      <c r="E144" s="2"/>
      <c r="F144" s="19">
        <f t="shared" si="13"/>
        <v>-0.55581470070187589</v>
      </c>
      <c r="G144" s="2"/>
      <c r="H144" s="2">
        <v>-559376</v>
      </c>
      <c r="I144" s="2"/>
      <c r="J144" s="19">
        <f t="shared" si="14"/>
        <v>-0.72153921934491172</v>
      </c>
      <c r="K144" s="2"/>
      <c r="L144" s="2">
        <f t="shared" si="15"/>
        <v>197000</v>
      </c>
      <c r="M144" s="2"/>
      <c r="N144" s="19">
        <f t="shared" si="16"/>
        <v>-0.35217814135751263</v>
      </c>
      <c r="O144" s="11"/>
      <c r="P144" s="2">
        <v>-2986522</v>
      </c>
      <c r="Q144" s="2"/>
      <c r="R144" s="19">
        <f t="shared" si="17"/>
        <v>-0.41816459863124772</v>
      </c>
      <c r="S144" s="2"/>
      <c r="T144" s="2">
        <v>-3195223</v>
      </c>
      <c r="U144" s="2"/>
      <c r="V144" s="19">
        <f t="shared" si="18"/>
        <v>-0.42790809640015931</v>
      </c>
      <c r="W144" s="2"/>
      <c r="X144" s="2">
        <f t="shared" si="19"/>
        <v>208701</v>
      </c>
      <c r="Y144" s="2"/>
      <c r="Z144" s="19">
        <f t="shared" si="20"/>
        <v>-6.5316567889001795E-2</v>
      </c>
    </row>
    <row r="145" spans="1:26" s="24" customFormat="1" hidden="1" outlineLevel="1" x14ac:dyDescent="0.25">
      <c r="A145" s="44"/>
      <c r="B145" s="11" t="str">
        <f>CONCATENATE("          ", "5300", " - ", "COG$ OFFSET")</f>
        <v xml:space="preserve">          5300 - COG$ OFFSET</v>
      </c>
      <c r="C145" s="11"/>
      <c r="D145" s="2">
        <v>170192.47</v>
      </c>
      <c r="E145" s="2"/>
      <c r="F145" s="19">
        <f t="shared" si="13"/>
        <v>0.26104233385975617</v>
      </c>
      <c r="G145" s="2"/>
      <c r="H145" s="2">
        <v>250353</v>
      </c>
      <c r="I145" s="2"/>
      <c r="J145" s="19">
        <f t="shared" si="14"/>
        <v>0.32293038703958821</v>
      </c>
      <c r="K145" s="2"/>
      <c r="L145" s="2">
        <f t="shared" si="15"/>
        <v>-80160.53</v>
      </c>
      <c r="M145" s="2"/>
      <c r="N145" s="19">
        <f t="shared" si="16"/>
        <v>-0.32019001170347466</v>
      </c>
      <c r="O145" s="11"/>
      <c r="P145" s="2">
        <v>2513090.4700000002</v>
      </c>
      <c r="Q145" s="2"/>
      <c r="R145" s="19">
        <f t="shared" si="17"/>
        <v>0.35187601755874015</v>
      </c>
      <c r="S145" s="2"/>
      <c r="T145" s="2">
        <v>2772491</v>
      </c>
      <c r="U145" s="2"/>
      <c r="V145" s="19">
        <f t="shared" si="18"/>
        <v>0.37129531994999226</v>
      </c>
      <c r="W145" s="2"/>
      <c r="X145" s="2">
        <f t="shared" si="19"/>
        <v>-259400.5299999998</v>
      </c>
      <c r="Y145" s="2"/>
      <c r="Z145" s="19">
        <f t="shared" si="20"/>
        <v>-9.3562262239985552E-2</v>
      </c>
    </row>
    <row r="146" spans="1:26" s="24" customFormat="1" hidden="1" outlineLevel="1" x14ac:dyDescent="0.25">
      <c r="A146" s="44"/>
      <c r="B146" s="11" t="str">
        <f>CONCATENATE("          ", "5500", " - ", "FREIGHT-IN")</f>
        <v xml:space="preserve">          5500 - FREIGHT-IN</v>
      </c>
      <c r="C146" s="11"/>
      <c r="D146" s="2">
        <v>80</v>
      </c>
      <c r="E146" s="2"/>
      <c r="F146" s="19">
        <f t="shared" si="13"/>
        <v>1.2270452804862925E-4</v>
      </c>
      <c r="G146" s="2"/>
      <c r="H146" s="2">
        <v>10.5</v>
      </c>
      <c r="I146" s="2"/>
      <c r="J146" s="19">
        <f t="shared" si="14"/>
        <v>1.3543952195163133E-5</v>
      </c>
      <c r="K146" s="2"/>
      <c r="L146" s="2">
        <f t="shared" si="15"/>
        <v>69.5</v>
      </c>
      <c r="M146" s="2"/>
      <c r="N146" s="19">
        <f t="shared" si="16"/>
        <v>6.6190476190476186</v>
      </c>
      <c r="O146" s="11"/>
      <c r="P146" s="2">
        <v>115.23</v>
      </c>
      <c r="Q146" s="2"/>
      <c r="R146" s="19">
        <f t="shared" si="17"/>
        <v>1.6134187760973692E-5</v>
      </c>
      <c r="S146" s="2"/>
      <c r="T146" s="2">
        <v>10.5</v>
      </c>
      <c r="U146" s="2"/>
      <c r="V146" s="19">
        <f t="shared" si="18"/>
        <v>1.4061725933375144E-6</v>
      </c>
      <c r="W146" s="2"/>
      <c r="X146" s="2">
        <f t="shared" si="19"/>
        <v>104.73</v>
      </c>
      <c r="Y146" s="2"/>
      <c r="Z146" s="19">
        <f t="shared" si="20"/>
        <v>9.9742857142857151</v>
      </c>
    </row>
    <row r="147" spans="1:26" s="24" customFormat="1" hidden="1" outlineLevel="1" x14ac:dyDescent="0.25">
      <c r="A147" s="44"/>
      <c r="B147" s="11" t="str">
        <f>CONCATENATE("          ", "5501", " - ", "FREIGHT-IN-NEW TEXT")</f>
        <v xml:space="preserve">          5501 - FREIGHT-IN-NEW TEXT</v>
      </c>
      <c r="C147" s="11"/>
      <c r="D147" s="2">
        <v>4162.3900000000003</v>
      </c>
      <c r="E147" s="2"/>
      <c r="F147" s="19">
        <f t="shared" si="13"/>
        <v>6.3843012563041743E-3</v>
      </c>
      <c r="G147" s="2"/>
      <c r="H147" s="2">
        <v>2096.16</v>
      </c>
      <c r="I147" s="2"/>
      <c r="J147" s="19">
        <f t="shared" si="14"/>
        <v>2.7038372222298241E-3</v>
      </c>
      <c r="K147" s="2"/>
      <c r="L147" s="2">
        <f t="shared" si="15"/>
        <v>2066.2300000000005</v>
      </c>
      <c r="M147" s="2"/>
      <c r="N147" s="19">
        <f t="shared" si="16"/>
        <v>0.98572150980841189</v>
      </c>
      <c r="O147" s="11"/>
      <c r="P147" s="2">
        <v>38669.939999999995</v>
      </c>
      <c r="Q147" s="2"/>
      <c r="R147" s="19">
        <f t="shared" si="17"/>
        <v>5.4144586710542994E-3</v>
      </c>
      <c r="S147" s="2"/>
      <c r="T147" s="2">
        <v>38895.120000000003</v>
      </c>
      <c r="U147" s="2"/>
      <c r="V147" s="19">
        <f t="shared" si="18"/>
        <v>5.2088811198641744E-3</v>
      </c>
      <c r="W147" s="2"/>
      <c r="X147" s="2">
        <f t="shared" si="19"/>
        <v>-225.18000000000757</v>
      </c>
      <c r="Y147" s="2"/>
      <c r="Z147" s="19">
        <f t="shared" si="20"/>
        <v>-5.7894152274117561E-3</v>
      </c>
    </row>
    <row r="148" spans="1:26" s="24" customFormat="1" hidden="1" outlineLevel="1" x14ac:dyDescent="0.25">
      <c r="A148" s="44"/>
      <c r="B148" s="11" t="str">
        <f>CONCATENATE("          ", "5502", " - ", "FREIGHT-IN-USED TEXT")</f>
        <v xml:space="preserve">          5502 - FREIGHT-IN-USED TEXT</v>
      </c>
      <c r="C148" s="11"/>
      <c r="D148" s="2">
        <v>563.29999999999995</v>
      </c>
      <c r="E148" s="2"/>
      <c r="F148" s="19">
        <f t="shared" si="13"/>
        <v>8.6399325812241056E-4</v>
      </c>
      <c r="G148" s="2"/>
      <c r="H148" s="2">
        <v>119.04</v>
      </c>
      <c r="I148" s="2"/>
      <c r="J148" s="19">
        <f t="shared" si="14"/>
        <v>1.5354972088687805E-4</v>
      </c>
      <c r="K148" s="2"/>
      <c r="L148" s="2">
        <f t="shared" si="15"/>
        <v>444.25999999999993</v>
      </c>
      <c r="M148" s="2"/>
      <c r="N148" s="19">
        <f t="shared" si="16"/>
        <v>3.7320228494623646</v>
      </c>
      <c r="O148" s="11"/>
      <c r="P148" s="2">
        <v>7653.42</v>
      </c>
      <c r="Q148" s="2"/>
      <c r="R148" s="19">
        <f t="shared" si="17"/>
        <v>1.0716108243824635E-3</v>
      </c>
      <c r="S148" s="2"/>
      <c r="T148" s="2">
        <v>7870.09</v>
      </c>
      <c r="U148" s="2"/>
      <c r="V148" s="19">
        <f t="shared" si="18"/>
        <v>1.0539718919142513E-3</v>
      </c>
      <c r="W148" s="2"/>
      <c r="X148" s="2">
        <f t="shared" si="19"/>
        <v>-216.67000000000007</v>
      </c>
      <c r="Y148" s="2"/>
      <c r="Z148" s="19">
        <f t="shared" si="20"/>
        <v>-2.7530816038952549E-2</v>
      </c>
    </row>
    <row r="149" spans="1:26" s="24" customFormat="1" hidden="1" outlineLevel="1" x14ac:dyDescent="0.25">
      <c r="A149" s="44"/>
      <c r="B149" s="11" t="str">
        <f>CONCATENATE("          ", "5504", " - ", "FREIGHT-IN-DIGITAL TEXT")</f>
        <v xml:space="preserve">          5504 - FREIGHT-IN-DIGITAL TEXT</v>
      </c>
      <c r="C149" s="11"/>
      <c r="D149" s="2"/>
      <c r="E149" s="2"/>
      <c r="F149" s="19">
        <f t="shared" si="13"/>
        <v>0</v>
      </c>
      <c r="G149" s="2"/>
      <c r="H149" s="2"/>
      <c r="I149" s="2"/>
      <c r="J149" s="19">
        <f t="shared" si="14"/>
        <v>0</v>
      </c>
      <c r="K149" s="2"/>
      <c r="L149" s="2">
        <f t="shared" si="15"/>
        <v>0</v>
      </c>
      <c r="M149" s="2"/>
      <c r="N149" s="19">
        <f t="shared" si="16"/>
        <v>0</v>
      </c>
      <c r="O149" s="11"/>
      <c r="P149" s="2">
        <v>105.97</v>
      </c>
      <c r="Q149" s="2"/>
      <c r="R149" s="19">
        <f t="shared" si="17"/>
        <v>1.4837628022480102E-5</v>
      </c>
      <c r="S149" s="2"/>
      <c r="T149" s="2">
        <v>166.22</v>
      </c>
      <c r="U149" s="2"/>
      <c r="V149" s="19">
        <f t="shared" si="18"/>
        <v>2.2260381758529682E-5</v>
      </c>
      <c r="W149" s="2"/>
      <c r="X149" s="2">
        <f t="shared" si="19"/>
        <v>-60.25</v>
      </c>
      <c r="Y149" s="2"/>
      <c r="Z149" s="19">
        <f t="shared" si="20"/>
        <v>-0.36247142341475153</v>
      </c>
    </row>
    <row r="150" spans="1:26" s="24" customFormat="1" hidden="1" outlineLevel="1" x14ac:dyDescent="0.25">
      <c r="A150" s="44"/>
      <c r="B150" s="11" t="str">
        <f>CONCATENATE("          ", "5513", " - ", "FREIGHT-IN-TRADE BOOKS")</f>
        <v xml:space="preserve">          5513 - FREIGHT-IN-TRADE BOOKS</v>
      </c>
      <c r="C150" s="11"/>
      <c r="D150" s="2">
        <v>9.08</v>
      </c>
      <c r="E150" s="2"/>
      <c r="F150" s="19">
        <f t="shared" si="13"/>
        <v>1.392696393351942E-5</v>
      </c>
      <c r="G150" s="2"/>
      <c r="H150" s="2"/>
      <c r="I150" s="2"/>
      <c r="J150" s="19">
        <f t="shared" si="14"/>
        <v>0</v>
      </c>
      <c r="K150" s="2"/>
      <c r="L150" s="2">
        <f t="shared" si="15"/>
        <v>9.08</v>
      </c>
      <c r="M150" s="2"/>
      <c r="N150" s="19">
        <f t="shared" si="16"/>
        <v>0</v>
      </c>
      <c r="O150" s="11"/>
      <c r="P150" s="2">
        <v>21.41</v>
      </c>
      <c r="Q150" s="2"/>
      <c r="R150" s="19">
        <f t="shared" si="17"/>
        <v>2.9977693305775124E-6</v>
      </c>
      <c r="S150" s="2"/>
      <c r="T150" s="2">
        <v>12.22</v>
      </c>
      <c r="U150" s="2"/>
      <c r="V150" s="19">
        <f t="shared" si="18"/>
        <v>1.6365170562461359E-6</v>
      </c>
      <c r="W150" s="2"/>
      <c r="X150" s="2">
        <f t="shared" si="19"/>
        <v>9.19</v>
      </c>
      <c r="Y150" s="2"/>
      <c r="Z150" s="19">
        <f t="shared" si="20"/>
        <v>0.7520458265139115</v>
      </c>
    </row>
    <row r="151" spans="1:26" s="24" customFormat="1" hidden="1" outlineLevel="1" x14ac:dyDescent="0.25">
      <c r="A151" s="44"/>
      <c r="B151" s="11" t="str">
        <f>CONCATENATE("          ", "5518", " - ", "FREIGHT-IN-STUDY GUIDES")</f>
        <v xml:space="preserve">          5518 - FREIGHT-IN-STUDY GUIDES</v>
      </c>
      <c r="C151" s="11"/>
      <c r="D151" s="2">
        <v>8.8699999999999992</v>
      </c>
      <c r="E151" s="2"/>
      <c r="F151" s="19">
        <f t="shared" si="13"/>
        <v>1.3604864547391767E-5</v>
      </c>
      <c r="G151" s="2"/>
      <c r="H151" s="2"/>
      <c r="I151" s="2"/>
      <c r="J151" s="19">
        <f t="shared" si="14"/>
        <v>0</v>
      </c>
      <c r="K151" s="2"/>
      <c r="L151" s="2">
        <f t="shared" si="15"/>
        <v>8.8699999999999992</v>
      </c>
      <c r="M151" s="2"/>
      <c r="N151" s="19">
        <f t="shared" si="16"/>
        <v>0</v>
      </c>
      <c r="O151" s="11"/>
      <c r="P151" s="2">
        <v>21.13</v>
      </c>
      <c r="Q151" s="2"/>
      <c r="R151" s="19">
        <f t="shared" si="17"/>
        <v>2.9585645004718743E-6</v>
      </c>
      <c r="S151" s="2"/>
      <c r="T151" s="2"/>
      <c r="U151" s="2"/>
      <c r="V151" s="19">
        <f t="shared" si="18"/>
        <v>0</v>
      </c>
      <c r="W151" s="2"/>
      <c r="X151" s="2">
        <f t="shared" si="19"/>
        <v>21.13</v>
      </c>
      <c r="Y151" s="2"/>
      <c r="Z151" s="19">
        <f t="shared" si="20"/>
        <v>0</v>
      </c>
    </row>
    <row r="152" spans="1:26" s="24" customFormat="1" hidden="1" outlineLevel="1" x14ac:dyDescent="0.25">
      <c r="A152" s="44"/>
      <c r="B152" s="11" t="str">
        <f>CONCATENATE("          ", "5525", " - ", "FREIGHT-IN-TEST FORMS")</f>
        <v xml:space="preserve">          5525 - FREIGHT-IN-TEST FORMS</v>
      </c>
      <c r="C152" s="11"/>
      <c r="D152" s="2">
        <v>247.49</v>
      </c>
      <c r="E152" s="2"/>
      <c r="F152" s="19">
        <f t="shared" si="13"/>
        <v>3.7960179558444064E-4</v>
      </c>
      <c r="G152" s="2"/>
      <c r="H152" s="2"/>
      <c r="I152" s="2"/>
      <c r="J152" s="19">
        <f t="shared" si="14"/>
        <v>0</v>
      </c>
      <c r="K152" s="2"/>
      <c r="L152" s="2">
        <f t="shared" si="15"/>
        <v>247.49</v>
      </c>
      <c r="M152" s="2"/>
      <c r="N152" s="19">
        <f t="shared" si="16"/>
        <v>0</v>
      </c>
      <c r="O152" s="11"/>
      <c r="P152" s="2">
        <v>622.41</v>
      </c>
      <c r="Q152" s="2"/>
      <c r="R152" s="19">
        <f t="shared" si="17"/>
        <v>8.7148136807321317E-5</v>
      </c>
      <c r="S152" s="2"/>
      <c r="T152" s="2">
        <v>50.92</v>
      </c>
      <c r="U152" s="2"/>
      <c r="V152" s="19">
        <f t="shared" si="18"/>
        <v>6.8192674716901179E-6</v>
      </c>
      <c r="W152" s="2"/>
      <c r="X152" s="2">
        <f t="shared" si="19"/>
        <v>571.49</v>
      </c>
      <c r="Y152" s="2"/>
      <c r="Z152" s="19">
        <f t="shared" si="20"/>
        <v>11.223291437549097</v>
      </c>
    </row>
    <row r="153" spans="1:26" s="24" customFormat="1" hidden="1" outlineLevel="1" x14ac:dyDescent="0.25">
      <c r="A153" s="44"/>
      <c r="B153" s="11" t="str">
        <f>CONCATENATE("          ", "5526", " - ", "FREIGHT-IN-WRITING INSTRUMENTS")</f>
        <v xml:space="preserve">          5526 - FREIGHT-IN-WRITING INSTRUMENTS</v>
      </c>
      <c r="C153" s="11"/>
      <c r="D153" s="2">
        <v>42.86</v>
      </c>
      <c r="E153" s="2"/>
      <c r="F153" s="19">
        <f t="shared" si="13"/>
        <v>6.5738950902053116E-5</v>
      </c>
      <c r="G153" s="2"/>
      <c r="H153" s="2">
        <v>13.98</v>
      </c>
      <c r="I153" s="2"/>
      <c r="J153" s="19">
        <f t="shared" si="14"/>
        <v>1.8032804922702916E-5</v>
      </c>
      <c r="K153" s="2"/>
      <c r="L153" s="2">
        <f t="shared" si="15"/>
        <v>28.88</v>
      </c>
      <c r="M153" s="2"/>
      <c r="N153" s="19">
        <f t="shared" si="16"/>
        <v>2.0658082975679539</v>
      </c>
      <c r="O153" s="11"/>
      <c r="P153" s="2">
        <v>260.35000000000002</v>
      </c>
      <c r="Q153" s="2"/>
      <c r="R153" s="19">
        <f t="shared" si="17"/>
        <v>3.6453491135724217E-5</v>
      </c>
      <c r="S153" s="2"/>
      <c r="T153" s="2">
        <v>114.3</v>
      </c>
      <c r="U153" s="2"/>
      <c r="V153" s="19">
        <f t="shared" si="18"/>
        <v>1.5307193087474084E-5</v>
      </c>
      <c r="W153" s="2"/>
      <c r="X153" s="2">
        <f t="shared" si="19"/>
        <v>146.05000000000001</v>
      </c>
      <c r="Y153" s="2"/>
      <c r="Z153" s="19">
        <f t="shared" si="20"/>
        <v>1.2777777777777779</v>
      </c>
    </row>
    <row r="154" spans="1:26" s="24" customFormat="1" hidden="1" outlineLevel="1" x14ac:dyDescent="0.25">
      <c r="A154" s="44"/>
      <c r="B154" s="11" t="str">
        <f>CONCATENATE("          ", "5527", " - ", "FREIGHT-IN-SCHOOL SUPPLIES")</f>
        <v xml:space="preserve">          5527 - FREIGHT-IN-SCHOOL SUPPLIES</v>
      </c>
      <c r="C154" s="11"/>
      <c r="D154" s="2">
        <v>25.34</v>
      </c>
      <c r="E154" s="2"/>
      <c r="F154" s="19">
        <f t="shared" si="13"/>
        <v>3.8866659259403311E-5</v>
      </c>
      <c r="G154" s="2"/>
      <c r="H154" s="2">
        <v>215.94</v>
      </c>
      <c r="I154" s="2"/>
      <c r="J154" s="19">
        <f t="shared" si="14"/>
        <v>2.785410511450978E-4</v>
      </c>
      <c r="K154" s="2"/>
      <c r="L154" s="2">
        <f t="shared" si="15"/>
        <v>-190.6</v>
      </c>
      <c r="M154" s="2"/>
      <c r="N154" s="19">
        <f t="shared" si="16"/>
        <v>-0.88265258868204133</v>
      </c>
      <c r="O154" s="11"/>
      <c r="P154" s="2">
        <v>897.92</v>
      </c>
      <c r="Q154" s="2"/>
      <c r="R154" s="19">
        <f t="shared" si="17"/>
        <v>1.2572428945876505E-4</v>
      </c>
      <c r="S154" s="2"/>
      <c r="T154" s="2">
        <v>1225.6500000000001</v>
      </c>
      <c r="U154" s="2"/>
      <c r="V154" s="19">
        <f t="shared" si="18"/>
        <v>1.6414051800229759E-4</v>
      </c>
      <c r="W154" s="2"/>
      <c r="X154" s="2">
        <f t="shared" si="19"/>
        <v>-327.73000000000013</v>
      </c>
      <c r="Y154" s="2"/>
      <c r="Z154" s="19">
        <f t="shared" si="20"/>
        <v>-0.26739281197731823</v>
      </c>
    </row>
    <row r="155" spans="1:26" s="24" customFormat="1" hidden="1" outlineLevel="1" x14ac:dyDescent="0.25">
      <c r="A155" s="44"/>
      <c r="B155" s="11" t="str">
        <f>CONCATENATE("          ", "5528", " - ", "FREIGHT-IN-ART/TECH")</f>
        <v xml:space="preserve">          5528 - FREIGHT-IN-ART/TECH</v>
      </c>
      <c r="C155" s="11"/>
      <c r="D155" s="2">
        <v>187.14</v>
      </c>
      <c r="E155" s="2"/>
      <c r="F155" s="19">
        <f t="shared" si="13"/>
        <v>2.8703656723775596E-4</v>
      </c>
      <c r="G155" s="2"/>
      <c r="H155" s="2">
        <v>152.88</v>
      </c>
      <c r="I155" s="2"/>
      <c r="J155" s="19">
        <f t="shared" si="14"/>
        <v>1.9719994396157523E-4</v>
      </c>
      <c r="K155" s="2"/>
      <c r="L155" s="2">
        <f t="shared" si="15"/>
        <v>34.259999999999991</v>
      </c>
      <c r="M155" s="2"/>
      <c r="N155" s="19">
        <f t="shared" si="16"/>
        <v>0.22409733124018832</v>
      </c>
      <c r="O155" s="11"/>
      <c r="P155" s="2">
        <v>1110.6400000000001</v>
      </c>
      <c r="Q155" s="2"/>
      <c r="R155" s="19">
        <f t="shared" si="17"/>
        <v>1.5550875895901955E-4</v>
      </c>
      <c r="S155" s="2"/>
      <c r="T155" s="2">
        <v>4657.53</v>
      </c>
      <c r="U155" s="2"/>
      <c r="V155" s="19">
        <f t="shared" si="18"/>
        <v>6.2374200368069273E-4</v>
      </c>
      <c r="W155" s="2"/>
      <c r="X155" s="2">
        <f t="shared" si="19"/>
        <v>-3546.8899999999994</v>
      </c>
      <c r="Y155" s="2"/>
      <c r="Z155" s="19">
        <f t="shared" si="20"/>
        <v>-0.76153884140306116</v>
      </c>
    </row>
    <row r="156" spans="1:26" s="24" customFormat="1" hidden="1" outlineLevel="1" x14ac:dyDescent="0.25">
      <c r="A156" s="44"/>
      <c r="B156" s="11" t="str">
        <f>CONCATENATE("          ", "5540", " - ", "FREIGHT-IN-LOGO CLOTHING")</f>
        <v xml:space="preserve">          5540 - FREIGHT-IN-LOGO CLOTHING</v>
      </c>
      <c r="C156" s="11"/>
      <c r="D156" s="2">
        <v>4036.06</v>
      </c>
      <c r="E156" s="2"/>
      <c r="F156" s="19">
        <f t="shared" si="13"/>
        <v>6.1905354684493822E-3</v>
      </c>
      <c r="G156" s="2"/>
      <c r="H156" s="2">
        <v>4053.14</v>
      </c>
      <c r="I156" s="2"/>
      <c r="J156" s="19">
        <f t="shared" si="14"/>
        <v>5.2281461333622383E-3</v>
      </c>
      <c r="K156" s="2"/>
      <c r="L156" s="2">
        <f t="shared" si="15"/>
        <v>-17.079999999999927</v>
      </c>
      <c r="M156" s="2"/>
      <c r="N156" s="19">
        <f t="shared" si="16"/>
        <v>-4.214016786984888E-3</v>
      </c>
      <c r="O156" s="11"/>
      <c r="P156" s="2">
        <v>24277.390000000003</v>
      </c>
      <c r="Q156" s="2"/>
      <c r="R156" s="19">
        <f t="shared" si="17"/>
        <v>3.3992533941368148E-3</v>
      </c>
      <c r="S156" s="2"/>
      <c r="T156" s="2">
        <v>16252.329999999998</v>
      </c>
      <c r="U156" s="2"/>
      <c r="V156" s="19">
        <f t="shared" si="18"/>
        <v>2.176531526083532E-3</v>
      </c>
      <c r="W156" s="2"/>
      <c r="X156" s="2">
        <f t="shared" si="19"/>
        <v>8025.0600000000049</v>
      </c>
      <c r="Y156" s="2"/>
      <c r="Z156" s="19">
        <f t="shared" si="20"/>
        <v>0.49377904583527443</v>
      </c>
    </row>
    <row r="157" spans="1:26" s="24" customFormat="1" hidden="1" outlineLevel="1" x14ac:dyDescent="0.25">
      <c r="A157" s="44"/>
      <c r="B157" s="11" t="str">
        <f>CONCATENATE("          ", "5541", " - ", "FREIGHT-IN-LOGO GIFTS")</f>
        <v xml:space="preserve">          5541 - FREIGHT-IN-LOGO GIFTS</v>
      </c>
      <c r="C157" s="11"/>
      <c r="D157" s="2">
        <v>709.94</v>
      </c>
      <c r="E157" s="2"/>
      <c r="F157" s="19">
        <f t="shared" si="13"/>
        <v>1.0889106580355482E-3</v>
      </c>
      <c r="G157" s="2"/>
      <c r="H157" s="2">
        <v>788.21</v>
      </c>
      <c r="I157" s="2"/>
      <c r="J157" s="19">
        <f t="shared" si="14"/>
        <v>1.0167122437856699E-3</v>
      </c>
      <c r="K157" s="2"/>
      <c r="L157" s="2">
        <f t="shared" si="15"/>
        <v>-78.269999999999982</v>
      </c>
      <c r="M157" s="2"/>
      <c r="N157" s="19">
        <f t="shared" si="16"/>
        <v>-9.9300947716978949E-2</v>
      </c>
      <c r="O157" s="11"/>
      <c r="P157" s="2">
        <v>3562.77</v>
      </c>
      <c r="Q157" s="2"/>
      <c r="R157" s="19">
        <f t="shared" si="17"/>
        <v>4.9884925912665318E-4</v>
      </c>
      <c r="S157" s="2"/>
      <c r="T157" s="2">
        <v>4756.21</v>
      </c>
      <c r="U157" s="2"/>
      <c r="V157" s="19">
        <f t="shared" si="18"/>
        <v>6.3695734763407805E-4</v>
      </c>
      <c r="W157" s="2"/>
      <c r="X157" s="2">
        <f t="shared" si="19"/>
        <v>-1193.44</v>
      </c>
      <c r="Y157" s="2"/>
      <c r="Z157" s="19">
        <f t="shared" si="20"/>
        <v>-0.25092247819166941</v>
      </c>
    </row>
    <row r="158" spans="1:26" s="24" customFormat="1" hidden="1" outlineLevel="1" x14ac:dyDescent="0.25">
      <c r="A158" s="44"/>
      <c r="B158" s="11" t="str">
        <f>CONCATENATE("          ", "5542", " - ", "FREIGHT-IN-EVERYDAY GIFTS")</f>
        <v xml:space="preserve">          5542 - FREIGHT-IN-EVERYDAY GIFTS</v>
      </c>
      <c r="C158" s="11"/>
      <c r="D158" s="2">
        <v>194.82</v>
      </c>
      <c r="E158" s="2"/>
      <c r="F158" s="19">
        <f t="shared" si="13"/>
        <v>2.9881620193042435E-4</v>
      </c>
      <c r="G158" s="2"/>
      <c r="H158" s="2">
        <v>92.11</v>
      </c>
      <c r="I158" s="2"/>
      <c r="J158" s="19">
        <f t="shared" si="14"/>
        <v>1.1881270825680726E-4</v>
      </c>
      <c r="K158" s="2"/>
      <c r="L158" s="2">
        <f t="shared" si="15"/>
        <v>102.71</v>
      </c>
      <c r="M158" s="2"/>
      <c r="N158" s="19">
        <f t="shared" si="16"/>
        <v>1.1150797958962111</v>
      </c>
      <c r="O158" s="11"/>
      <c r="P158" s="2">
        <v>1708.33</v>
      </c>
      <c r="Q158" s="2"/>
      <c r="R158" s="19">
        <f t="shared" si="17"/>
        <v>2.3919566933701454E-4</v>
      </c>
      <c r="S158" s="2"/>
      <c r="T158" s="2">
        <v>1221.55</v>
      </c>
      <c r="U158" s="2"/>
      <c r="V158" s="19">
        <f t="shared" si="18"/>
        <v>1.6359144108489911E-4</v>
      </c>
      <c r="W158" s="2"/>
      <c r="X158" s="2">
        <f t="shared" si="19"/>
        <v>486.78</v>
      </c>
      <c r="Y158" s="2"/>
      <c r="Z158" s="19">
        <f t="shared" si="20"/>
        <v>0.39849371699889485</v>
      </c>
    </row>
    <row r="159" spans="1:26" s="24" customFormat="1" hidden="1" outlineLevel="1" x14ac:dyDescent="0.25">
      <c r="A159" s="44"/>
      <c r="B159" s="11" t="str">
        <f>CONCATENATE("          ", "5543", " - ", "FREIGHT-IN-CARDS")</f>
        <v xml:space="preserve">          5543 - FREIGHT-IN-CARDS</v>
      </c>
      <c r="C159" s="11"/>
      <c r="D159" s="2">
        <v>77.760000000000005</v>
      </c>
      <c r="E159" s="2"/>
      <c r="F159" s="19">
        <f t="shared" si="13"/>
        <v>1.1926880126326763E-4</v>
      </c>
      <c r="G159" s="2"/>
      <c r="H159" s="2"/>
      <c r="I159" s="2"/>
      <c r="J159" s="19">
        <f t="shared" si="14"/>
        <v>0</v>
      </c>
      <c r="K159" s="2"/>
      <c r="L159" s="2">
        <f t="shared" si="15"/>
        <v>77.760000000000005</v>
      </c>
      <c r="M159" s="2"/>
      <c r="N159" s="19">
        <f t="shared" si="16"/>
        <v>0</v>
      </c>
      <c r="O159" s="11"/>
      <c r="P159" s="2">
        <v>121.35</v>
      </c>
      <c r="Q159" s="2"/>
      <c r="R159" s="19">
        <f t="shared" si="17"/>
        <v>1.6991093333282631E-5</v>
      </c>
      <c r="S159" s="2"/>
      <c r="T159" s="2">
        <v>12.47</v>
      </c>
      <c r="U159" s="2"/>
      <c r="V159" s="19">
        <f t="shared" si="18"/>
        <v>1.6699973560875053E-6</v>
      </c>
      <c r="W159" s="2"/>
      <c r="X159" s="2">
        <f t="shared" si="19"/>
        <v>108.88</v>
      </c>
      <c r="Y159" s="2"/>
      <c r="Z159" s="19">
        <f t="shared" si="20"/>
        <v>8.7313552526062548</v>
      </c>
    </row>
    <row r="160" spans="1:26" s="24" customFormat="1" hidden="1" outlineLevel="1" x14ac:dyDescent="0.25">
      <c r="A160" s="44"/>
      <c r="B160" s="11" t="str">
        <f>CONCATENATE("          ", "5544", " - ", "FREIGHT-IN-ACCESSORIES")</f>
        <v xml:space="preserve">          5544 - FREIGHT-IN-ACCESSORIES</v>
      </c>
      <c r="C160" s="11"/>
      <c r="D160" s="2">
        <v>28.4</v>
      </c>
      <c r="E160" s="2"/>
      <c r="F160" s="19">
        <f t="shared" si="13"/>
        <v>4.356010745726338E-5</v>
      </c>
      <c r="G160" s="2"/>
      <c r="H160" s="2"/>
      <c r="I160" s="2"/>
      <c r="J160" s="19">
        <f t="shared" si="14"/>
        <v>0</v>
      </c>
      <c r="K160" s="2"/>
      <c r="L160" s="2">
        <f t="shared" si="15"/>
        <v>28.4</v>
      </c>
      <c r="M160" s="2"/>
      <c r="N160" s="19">
        <f t="shared" si="16"/>
        <v>0</v>
      </c>
      <c r="O160" s="11"/>
      <c r="P160" s="2">
        <v>442.31</v>
      </c>
      <c r="Q160" s="2"/>
      <c r="R160" s="19">
        <f t="shared" si="17"/>
        <v>6.1931030014373637E-5</v>
      </c>
      <c r="S160" s="2"/>
      <c r="T160" s="2">
        <v>590.45000000000005</v>
      </c>
      <c r="U160" s="2"/>
      <c r="V160" s="19">
        <f t="shared" si="18"/>
        <v>7.9073772165346237E-5</v>
      </c>
      <c r="W160" s="2"/>
      <c r="X160" s="2">
        <f t="shared" si="19"/>
        <v>-148.14000000000004</v>
      </c>
      <c r="Y160" s="2"/>
      <c r="Z160" s="19">
        <f t="shared" si="20"/>
        <v>-0.25089338640020331</v>
      </c>
    </row>
    <row r="161" spans="1:26" s="24" customFormat="1" hidden="1" outlineLevel="1" x14ac:dyDescent="0.25">
      <c r="A161" s="44"/>
      <c r="B161" s="11" t="str">
        <f>CONCATENATE("          ", "5545", " - ", "FREIGHT-IN-SPECIAL ORDERS")</f>
        <v xml:space="preserve">          5545 - FREIGHT-IN-SPECIAL ORDERS</v>
      </c>
      <c r="C161" s="11"/>
      <c r="D161" s="2">
        <v>322.61</v>
      </c>
      <c r="E161" s="2"/>
      <c r="F161" s="19">
        <f t="shared" si="13"/>
        <v>4.9482134742210356E-4</v>
      </c>
      <c r="G161" s="2"/>
      <c r="H161" s="2">
        <v>14.93</v>
      </c>
      <c r="I161" s="2"/>
      <c r="J161" s="19">
        <f t="shared" si="14"/>
        <v>1.9258210121312911E-5</v>
      </c>
      <c r="K161" s="2"/>
      <c r="L161" s="2">
        <f t="shared" si="15"/>
        <v>307.68</v>
      </c>
      <c r="M161" s="2"/>
      <c r="N161" s="19">
        <f t="shared" si="16"/>
        <v>20.608171466845278</v>
      </c>
      <c r="O161" s="11"/>
      <c r="P161" s="2">
        <v>827.67</v>
      </c>
      <c r="Q161" s="2"/>
      <c r="R161" s="19">
        <f t="shared" si="17"/>
        <v>1.1588807761976131E-4</v>
      </c>
      <c r="S161" s="2"/>
      <c r="T161" s="2">
        <v>1322.53</v>
      </c>
      <c r="U161" s="2"/>
      <c r="V161" s="19">
        <f t="shared" si="18"/>
        <v>1.7711480379682505E-4</v>
      </c>
      <c r="W161" s="2"/>
      <c r="X161" s="2">
        <f t="shared" si="19"/>
        <v>-494.86</v>
      </c>
      <c r="Y161" s="2"/>
      <c r="Z161" s="19">
        <f t="shared" si="20"/>
        <v>-0.37417676725669741</v>
      </c>
    </row>
    <row r="162" spans="1:26" s="24" customFormat="1" hidden="1" outlineLevel="1" x14ac:dyDescent="0.25">
      <c r="A162" s="44"/>
      <c r="B162" s="11" t="str">
        <f>CONCATENATE("          ", "5592", " - ", "FREIGHT-IN-GRAD MERCH")</f>
        <v xml:space="preserve">          5592 - FREIGHT-IN-GRAD MERCH</v>
      </c>
      <c r="C162" s="11"/>
      <c r="D162" s="2"/>
      <c r="E162" s="2"/>
      <c r="F162" s="19">
        <f t="shared" si="13"/>
        <v>0</v>
      </c>
      <c r="G162" s="2"/>
      <c r="H162" s="2"/>
      <c r="I162" s="2"/>
      <c r="J162" s="19">
        <f t="shared" si="14"/>
        <v>0</v>
      </c>
      <c r="K162" s="2"/>
      <c r="L162" s="2">
        <f t="shared" si="15"/>
        <v>0</v>
      </c>
      <c r="M162" s="2"/>
      <c r="N162" s="19">
        <f t="shared" si="16"/>
        <v>0</v>
      </c>
      <c r="O162" s="11"/>
      <c r="P162" s="2">
        <v>105.78</v>
      </c>
      <c r="Q162" s="2"/>
      <c r="R162" s="19">
        <f t="shared" si="17"/>
        <v>1.4811024744908419E-5</v>
      </c>
      <c r="S162" s="2"/>
      <c r="T162" s="2">
        <v>114.3</v>
      </c>
      <c r="U162" s="2"/>
      <c r="V162" s="19">
        <f t="shared" si="18"/>
        <v>1.5307193087474084E-5</v>
      </c>
      <c r="W162" s="2"/>
      <c r="X162" s="2">
        <f t="shared" si="19"/>
        <v>-8.519999999999996</v>
      </c>
      <c r="Y162" s="2"/>
      <c r="Z162" s="19">
        <f t="shared" si="20"/>
        <v>-7.4540682414698134E-2</v>
      </c>
    </row>
    <row r="163" spans="1:26" x14ac:dyDescent="0.25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10"/>
      <c r="B164" s="29" t="s">
        <v>6</v>
      </c>
      <c r="C164" s="29"/>
      <c r="D164" s="20">
        <f>D12-D110</f>
        <v>362405.66000000003</v>
      </c>
      <c r="E164" s="14"/>
      <c r="F164" s="21">
        <f>IF(D$12=0,0,D164/D$12)</f>
        <v>0.55586019340564996</v>
      </c>
      <c r="G164" s="14"/>
      <c r="H164" s="20">
        <f>H12-H110</f>
        <v>429028.41000000056</v>
      </c>
      <c r="I164" s="14"/>
      <c r="J164" s="21">
        <f>IF(H$12=0,0,H164/H$12)</f>
        <v>0.55340383575303398</v>
      </c>
      <c r="K164" s="15"/>
      <c r="L164" s="20">
        <f>+D164-H164</f>
        <v>-66622.750000000524</v>
      </c>
      <c r="M164" s="15"/>
      <c r="N164" s="21">
        <f>IF(H164=0,0,L164/H164)</f>
        <v>-0.15528750182301548</v>
      </c>
      <c r="O164" s="28"/>
      <c r="P164" s="20">
        <f>P12-P110</f>
        <v>3147291.6299999994</v>
      </c>
      <c r="Q164" s="14"/>
      <c r="R164" s="21">
        <f>IF(P$12=0,0,P164/P$12)</f>
        <v>0.44067512016801991</v>
      </c>
      <c r="S164" s="14"/>
      <c r="T164" s="20">
        <f>T12-T110</f>
        <v>3177458.8200000031</v>
      </c>
      <c r="U164" s="14"/>
      <c r="V164" s="21">
        <f>IF(T$12=0,0,T164/T$12)</f>
        <v>0.42552909610881551</v>
      </c>
      <c r="W164" s="15"/>
      <c r="X164" s="20">
        <f>+P164-T164</f>
        <v>-30167.190000003669</v>
      </c>
      <c r="Y164" s="15"/>
      <c r="Z164" s="21">
        <f>IF(T164=0,0,X164/T164)</f>
        <v>-9.4941246162251261E-3</v>
      </c>
    </row>
    <row r="165" spans="1:26" x14ac:dyDescent="0.25">
      <c r="A165" s="9"/>
      <c r="B165" s="10"/>
      <c r="C165" s="9"/>
      <c r="D165" s="1"/>
      <c r="E165" s="1"/>
      <c r="F165" s="5"/>
      <c r="G165" s="1"/>
      <c r="H165" s="1"/>
      <c r="I165" s="1"/>
      <c r="J165" s="5"/>
      <c r="K165" s="1"/>
      <c r="L165" s="1"/>
      <c r="M165" s="1"/>
      <c r="N165" s="5"/>
      <c r="O165" s="37"/>
      <c r="P165" s="1"/>
      <c r="Q165" s="1"/>
      <c r="R165" s="5"/>
      <c r="S165" s="1"/>
      <c r="T165" s="1"/>
      <c r="U165" s="1"/>
      <c r="V165" s="5"/>
      <c r="W165" s="1"/>
      <c r="X165" s="1"/>
      <c r="Y165" s="1"/>
      <c r="Z165" s="5"/>
    </row>
    <row r="166" spans="1:26" s="23" customFormat="1" x14ac:dyDescent="0.25">
      <c r="A166" s="10"/>
      <c r="B166" s="28" t="s">
        <v>9</v>
      </c>
      <c r="C166" s="10"/>
      <c r="D166" s="22">
        <f>SUM(OSRRefD22x_0)</f>
        <v>443824.78000000009</v>
      </c>
      <c r="E166" s="22"/>
      <c r="F166" s="33">
        <f t="shared" ref="F166:F176" si="21">IF(D$12=0,0,D166/D$12)</f>
        <v>0.68074137707733395</v>
      </c>
      <c r="G166" s="22"/>
      <c r="H166" s="22">
        <f>SUM(OSRRefH22x_0)</f>
        <v>459750.50000000006</v>
      </c>
      <c r="I166" s="22"/>
      <c r="J166" s="33">
        <f t="shared" ref="J166:J176" si="22">IF(H$12=0,0,H166/H$12)</f>
        <v>0.59303226606689041</v>
      </c>
      <c r="K166" s="4"/>
      <c r="L166" s="22">
        <f t="shared" ref="L166:L176" si="23">+D166-H166</f>
        <v>-15925.719999999972</v>
      </c>
      <c r="M166" s="4"/>
      <c r="N166" s="33">
        <f t="shared" ref="N166:N176" si="24">IF(H166=0,0,L166/H166)</f>
        <v>-3.4639918825536832E-2</v>
      </c>
      <c r="O166" s="10"/>
      <c r="P166" s="22">
        <f>SUM(OSRRefP22x_0)</f>
        <v>2878760.8899999992</v>
      </c>
      <c r="Q166" s="22"/>
      <c r="R166" s="33">
        <f t="shared" ref="R166:R176" si="25">IF(P$12=0,0,P166/P$12)</f>
        <v>0.40307618431144426</v>
      </c>
      <c r="S166" s="22"/>
      <c r="T166" s="22">
        <f>SUM(OSRRefT22x_0)</f>
        <v>2941938.8800000018</v>
      </c>
      <c r="U166" s="22"/>
      <c r="V166" s="33">
        <f t="shared" ref="V166:V176" si="26">IF(T$12=0,0,T166/T$12)</f>
        <v>0.39398798326953</v>
      </c>
      <c r="W166" s="4"/>
      <c r="X166" s="22">
        <f t="shared" ref="X166:X176" si="27">+P166-T166</f>
        <v>-63177.990000002552</v>
      </c>
      <c r="Y166" s="4"/>
      <c r="Z166" s="33">
        <f t="shared" ref="Z166:Z176" si="28">IF(T166=0,0,X166/T166)</f>
        <v>-2.1474949880672747E-2</v>
      </c>
    </row>
    <row r="167" spans="1:26" s="27" customFormat="1" outlineLevel="1" collapsed="1" x14ac:dyDescent="0.25">
      <c r="A167" s="25"/>
      <c r="B167" s="13" t="str">
        <f>CONCATENATE("     ","*Benefits                                         ")</f>
        <v xml:space="preserve">     *Benefits                                         </v>
      </c>
      <c r="C167" s="13"/>
      <c r="D167" s="1">
        <f>SUM(OSRRefD22_0x_0)</f>
        <v>52799.060000000005</v>
      </c>
      <c r="E167" s="1"/>
      <c r="F167" s="5">
        <f t="shared" si="21"/>
        <v>8.0983546733890743E-2</v>
      </c>
      <c r="G167" s="1"/>
      <c r="H167" s="1">
        <f>SUM(OSRRefH22_0x_0)</f>
        <v>61432.549999999996</v>
      </c>
      <c r="I167" s="1"/>
      <c r="J167" s="5">
        <f t="shared" si="22"/>
        <v>7.9241859088282754E-2</v>
      </c>
      <c r="K167" s="1"/>
      <c r="L167" s="1">
        <f t="shared" si="23"/>
        <v>-8633.4899999999907</v>
      </c>
      <c r="M167" s="1"/>
      <c r="N167" s="5">
        <f t="shared" si="24"/>
        <v>-0.14053608388386923</v>
      </c>
      <c r="O167" s="13"/>
      <c r="P167" s="1">
        <f>SUM(OSRRefP22_0x_0)</f>
        <v>385790.86000000004</v>
      </c>
      <c r="Q167" s="1"/>
      <c r="R167" s="5">
        <f t="shared" si="25"/>
        <v>5.4017375437885234E-2</v>
      </c>
      <c r="S167" s="1"/>
      <c r="T167" s="1">
        <f>SUM(OSRRefT22_0x_0)</f>
        <v>393556.37999999989</v>
      </c>
      <c r="U167" s="1"/>
      <c r="V167" s="5">
        <f t="shared" si="26"/>
        <v>5.2705542427535633E-2</v>
      </c>
      <c r="W167" s="1"/>
      <c r="X167" s="1">
        <f t="shared" si="27"/>
        <v>-7765.519999999844</v>
      </c>
      <c r="Y167" s="1"/>
      <c r="Z167" s="5">
        <f t="shared" si="28"/>
        <v>-1.9731658269648292E-2</v>
      </c>
    </row>
    <row r="168" spans="1:26" s="24" customFormat="1" hidden="1" outlineLevel="2" x14ac:dyDescent="0.25">
      <c r="A168" s="26"/>
      <c r="B168" s="11" t="str">
        <f>CONCATENATE("          ", "6111", " - ", "F.I.C.A.")</f>
        <v xml:space="preserve">          6111 - F.I.C.A.</v>
      </c>
      <c r="C168" s="11"/>
      <c r="D168" s="6">
        <v>7919.71</v>
      </c>
      <c r="E168" s="2"/>
      <c r="F168" s="7">
        <f t="shared" si="21"/>
        <v>1.2147303472900118E-2</v>
      </c>
      <c r="G168" s="2"/>
      <c r="H168" s="6">
        <v>8445.8799999999992</v>
      </c>
      <c r="I168" s="2"/>
      <c r="J168" s="7">
        <f t="shared" si="22"/>
        <v>1.0894342377722323E-2</v>
      </c>
      <c r="K168" s="2"/>
      <c r="L168" s="6">
        <f t="shared" si="23"/>
        <v>-526.16999999999916</v>
      </c>
      <c r="M168" s="2"/>
      <c r="N168" s="7">
        <f t="shared" si="24"/>
        <v>-6.2299014430704583E-2</v>
      </c>
      <c r="O168" s="11"/>
      <c r="P168" s="6">
        <v>74928.08</v>
      </c>
      <c r="Q168" s="2"/>
      <c r="R168" s="7">
        <f t="shared" si="25"/>
        <v>1.0491223737648683E-2</v>
      </c>
      <c r="S168" s="2"/>
      <c r="T168" s="6">
        <v>75715.03</v>
      </c>
      <c r="U168" s="2"/>
      <c r="V168" s="7">
        <f t="shared" si="26"/>
        <v>1.0139847627593115E-2</v>
      </c>
      <c r="W168" s="2"/>
      <c r="X168" s="6">
        <f t="shared" si="27"/>
        <v>-786.94999999999709</v>
      </c>
      <c r="Y168" s="2"/>
      <c r="Z168" s="7">
        <f t="shared" si="28"/>
        <v>-1.0393577074459287E-2</v>
      </c>
    </row>
    <row r="169" spans="1:26" s="24" customFormat="1" hidden="1" outlineLevel="2" x14ac:dyDescent="0.25">
      <c r="A169" s="26"/>
      <c r="B169" s="11" t="str">
        <f>CONCATENATE("          ", "6112", " - ", "COMPENSATION INSURANCE")</f>
        <v xml:space="preserve">          6112 - COMPENSATION INSURANCE</v>
      </c>
      <c r="C169" s="11"/>
      <c r="D169" s="6">
        <v>4389.6899999999996</v>
      </c>
      <c r="E169" s="2"/>
      <c r="F169" s="7">
        <f t="shared" si="21"/>
        <v>6.7329354966223411E-3</v>
      </c>
      <c r="G169" s="2"/>
      <c r="H169" s="6">
        <v>2806.02</v>
      </c>
      <c r="I169" s="2"/>
      <c r="J169" s="7">
        <f t="shared" si="22"/>
        <v>3.6194857846353957E-3</v>
      </c>
      <c r="K169" s="2"/>
      <c r="L169" s="6">
        <f t="shared" si="23"/>
        <v>1583.6699999999996</v>
      </c>
      <c r="M169" s="2"/>
      <c r="N169" s="7">
        <f t="shared" si="24"/>
        <v>0.56438300511044104</v>
      </c>
      <c r="O169" s="11"/>
      <c r="P169" s="6">
        <v>18835.580000000002</v>
      </c>
      <c r="Q169" s="2"/>
      <c r="R169" s="7">
        <f t="shared" si="25"/>
        <v>2.6373061208612419E-3</v>
      </c>
      <c r="S169" s="2"/>
      <c r="T169" s="6">
        <v>15308.21</v>
      </c>
      <c r="U169" s="2"/>
      <c r="V169" s="7">
        <f t="shared" si="26"/>
        <v>2.0500938433385971E-3</v>
      </c>
      <c r="W169" s="2"/>
      <c r="X169" s="6">
        <f t="shared" si="27"/>
        <v>3527.3700000000026</v>
      </c>
      <c r="Y169" s="2"/>
      <c r="Z169" s="7">
        <f t="shared" si="28"/>
        <v>0.2304234133187357</v>
      </c>
    </row>
    <row r="170" spans="1:26" s="24" customFormat="1" hidden="1" outlineLevel="2" x14ac:dyDescent="0.25">
      <c r="A170" s="26"/>
      <c r="B170" s="11" t="str">
        <f>CONCATENATE("          ", "6113", " - ", "GROUP INSURANCE")</f>
        <v xml:space="preserve">          6113 - GROUP INSURANCE</v>
      </c>
      <c r="C170" s="11"/>
      <c r="D170" s="6">
        <v>21144.53</v>
      </c>
      <c r="E170" s="2"/>
      <c r="F170" s="7">
        <f t="shared" si="21"/>
        <v>3.2431619680751027E-2</v>
      </c>
      <c r="G170" s="2"/>
      <c r="H170" s="6">
        <v>29432.489999999998</v>
      </c>
      <c r="I170" s="2"/>
      <c r="J170" s="7">
        <f t="shared" si="22"/>
        <v>3.7964975004249231E-2</v>
      </c>
      <c r="K170" s="2"/>
      <c r="L170" s="6">
        <f t="shared" si="23"/>
        <v>-8287.9599999999991</v>
      </c>
      <c r="M170" s="2"/>
      <c r="N170" s="7">
        <f t="shared" si="24"/>
        <v>-0.28159221323102462</v>
      </c>
      <c r="O170" s="11"/>
      <c r="P170" s="6">
        <v>147755.35999999999</v>
      </c>
      <c r="Q170" s="2"/>
      <c r="R170" s="7">
        <f t="shared" si="25"/>
        <v>2.0688299235704779E-2</v>
      </c>
      <c r="S170" s="2"/>
      <c r="T170" s="6">
        <v>151272.69</v>
      </c>
      <c r="U170" s="2"/>
      <c r="V170" s="7">
        <f t="shared" si="26"/>
        <v>2.0258620076042084E-2</v>
      </c>
      <c r="W170" s="2"/>
      <c r="X170" s="6">
        <f t="shared" si="27"/>
        <v>-3517.3300000000163</v>
      </c>
      <c r="Y170" s="2"/>
      <c r="Z170" s="7">
        <f t="shared" si="28"/>
        <v>-2.3251586257902971E-2</v>
      </c>
    </row>
    <row r="171" spans="1:26" s="24" customFormat="1" hidden="1" outlineLevel="2" x14ac:dyDescent="0.25">
      <c r="A171" s="26"/>
      <c r="B171" s="11" t="str">
        <f>CONCATENATE("          ", "6114", " - ", "STATE UNEMPLOYMENT INSURANCE")</f>
        <v xml:space="preserve">          6114 - STATE UNEMPLOYMENT INSURANCE</v>
      </c>
      <c r="C171" s="11"/>
      <c r="D171" s="6">
        <v>737.07</v>
      </c>
      <c r="E171" s="2"/>
      <c r="F171" s="7">
        <f t="shared" si="21"/>
        <v>1.1305228311100396E-3</v>
      </c>
      <c r="G171" s="2"/>
      <c r="H171" s="6">
        <v>718.42</v>
      </c>
      <c r="I171" s="2"/>
      <c r="J171" s="7">
        <f t="shared" si="22"/>
        <v>9.2669010819515214E-4</v>
      </c>
      <c r="K171" s="2"/>
      <c r="L171" s="6">
        <f t="shared" si="23"/>
        <v>18.650000000000091</v>
      </c>
      <c r="M171" s="2"/>
      <c r="N171" s="7">
        <f t="shared" si="24"/>
        <v>2.5959744995963492E-2</v>
      </c>
      <c r="O171" s="11"/>
      <c r="P171" s="6">
        <v>3827.42</v>
      </c>
      <c r="Q171" s="2"/>
      <c r="R171" s="7">
        <f t="shared" si="25"/>
        <v>5.3590482443899962E-4</v>
      </c>
      <c r="S171" s="2"/>
      <c r="T171" s="6">
        <v>3926.28</v>
      </c>
      <c r="U171" s="2"/>
      <c r="V171" s="7">
        <f t="shared" si="26"/>
        <v>5.2581212664468732E-4</v>
      </c>
      <c r="W171" s="2"/>
      <c r="X171" s="6">
        <f t="shared" si="27"/>
        <v>-98.860000000000127</v>
      </c>
      <c r="Y171" s="2"/>
      <c r="Z171" s="7">
        <f t="shared" si="28"/>
        <v>-2.5179049889462832E-2</v>
      </c>
    </row>
    <row r="172" spans="1:26" s="24" customFormat="1" hidden="1" outlineLevel="2" x14ac:dyDescent="0.25">
      <c r="A172" s="26"/>
      <c r="B172" s="11" t="str">
        <f>CONCATENATE("          ", "6115", " - ", "P.E.R.S.")</f>
        <v xml:space="preserve">          6115 - P.E.R.S.</v>
      </c>
      <c r="C172" s="11"/>
      <c r="D172" s="6">
        <v>7308.37</v>
      </c>
      <c r="E172" s="2"/>
      <c r="F172" s="7">
        <f t="shared" si="21"/>
        <v>1.1209626145684506E-2</v>
      </c>
      <c r="G172" s="2"/>
      <c r="H172" s="6">
        <v>6967.5</v>
      </c>
      <c r="I172" s="2"/>
      <c r="J172" s="7">
        <f t="shared" si="22"/>
        <v>8.9873797066475358E-3</v>
      </c>
      <c r="K172" s="2"/>
      <c r="L172" s="6">
        <f t="shared" si="23"/>
        <v>340.86999999999989</v>
      </c>
      <c r="M172" s="2"/>
      <c r="N172" s="7">
        <f t="shared" si="24"/>
        <v>4.8922856117689255E-2</v>
      </c>
      <c r="O172" s="11"/>
      <c r="P172" s="6">
        <v>51418.71</v>
      </c>
      <c r="Q172" s="2"/>
      <c r="R172" s="7">
        <f t="shared" si="25"/>
        <v>7.1995063921466247E-3</v>
      </c>
      <c r="S172" s="2"/>
      <c r="T172" s="6">
        <v>50496</v>
      </c>
      <c r="U172" s="2"/>
      <c r="V172" s="7">
        <f t="shared" si="26"/>
        <v>6.7624848831591552E-3</v>
      </c>
      <c r="W172" s="2"/>
      <c r="X172" s="6">
        <f t="shared" si="27"/>
        <v>922.70999999999913</v>
      </c>
      <c r="Y172" s="2"/>
      <c r="Z172" s="7">
        <f t="shared" si="28"/>
        <v>1.8272932509505686E-2</v>
      </c>
    </row>
    <row r="173" spans="1:26" s="24" customFormat="1" hidden="1" outlineLevel="2" x14ac:dyDescent="0.25">
      <c r="A173" s="26"/>
      <c r="B173" s="11" t="str">
        <f>CONCATENATE("          ", "6117", " - ", "RETIREMENT STAFF HOURLY")</f>
        <v xml:space="preserve">          6117 - RETIREMENT STAFF HOURLY</v>
      </c>
      <c r="C173" s="11"/>
      <c r="D173" s="6">
        <v>92.54</v>
      </c>
      <c r="E173" s="2"/>
      <c r="F173" s="7">
        <f t="shared" si="21"/>
        <v>1.4193846282025189E-4</v>
      </c>
      <c r="G173" s="2"/>
      <c r="H173" s="6">
        <v>86.61</v>
      </c>
      <c r="I173" s="2"/>
      <c r="J173" s="7">
        <f t="shared" si="22"/>
        <v>1.117182571069599E-4</v>
      </c>
      <c r="K173" s="2"/>
      <c r="L173" s="6">
        <f t="shared" si="23"/>
        <v>5.9300000000000068</v>
      </c>
      <c r="M173" s="2"/>
      <c r="N173" s="7">
        <f t="shared" si="24"/>
        <v>6.846784435977378E-2</v>
      </c>
      <c r="O173" s="11"/>
      <c r="P173" s="6">
        <v>738.74</v>
      </c>
      <c r="Q173" s="2"/>
      <c r="R173" s="7">
        <f t="shared" si="25"/>
        <v>1.0343634354371002E-4</v>
      </c>
      <c r="S173" s="2"/>
      <c r="T173" s="6">
        <v>1742.63</v>
      </c>
      <c r="U173" s="2"/>
      <c r="V173" s="7">
        <f t="shared" si="26"/>
        <v>2.3337509965026218E-4</v>
      </c>
      <c r="W173" s="2"/>
      <c r="X173" s="6">
        <f t="shared" si="27"/>
        <v>-1003.8900000000001</v>
      </c>
      <c r="Y173" s="2"/>
      <c r="Z173" s="7">
        <f t="shared" si="28"/>
        <v>-0.57607753797421146</v>
      </c>
    </row>
    <row r="174" spans="1:26" s="24" customFormat="1" hidden="1" outlineLevel="2" x14ac:dyDescent="0.25">
      <c r="A174" s="26"/>
      <c r="B174" s="11" t="str">
        <f>CONCATENATE("          ", "6118", " - ", "VACATION")</f>
        <v xml:space="preserve">          6118 - VACATION</v>
      </c>
      <c r="C174" s="11"/>
      <c r="D174" s="6">
        <v>5041.07</v>
      </c>
      <c r="E174" s="2"/>
      <c r="F174" s="7">
        <f t="shared" si="21"/>
        <v>7.7320264401262925E-3</v>
      </c>
      <c r="G174" s="2"/>
      <c r="H174" s="6">
        <v>6332.84</v>
      </c>
      <c r="I174" s="2"/>
      <c r="J174" s="7">
        <f t="shared" si="22"/>
        <v>8.1687316399635147E-3</v>
      </c>
      <c r="K174" s="2"/>
      <c r="L174" s="6">
        <f t="shared" si="23"/>
        <v>-1291.7700000000004</v>
      </c>
      <c r="M174" s="2"/>
      <c r="N174" s="7">
        <f t="shared" si="24"/>
        <v>-0.20397957314569773</v>
      </c>
      <c r="O174" s="11"/>
      <c r="P174" s="6">
        <v>41438.879999999997</v>
      </c>
      <c r="Q174" s="2"/>
      <c r="R174" s="7">
        <f t="shared" si="25"/>
        <v>5.8021580363139588E-3</v>
      </c>
      <c r="S174" s="2"/>
      <c r="T174" s="6">
        <v>45080.1</v>
      </c>
      <c r="U174" s="2"/>
      <c r="V174" s="7">
        <f t="shared" si="26"/>
        <v>6.0371810595156649E-3</v>
      </c>
      <c r="W174" s="2"/>
      <c r="X174" s="6">
        <f t="shared" si="27"/>
        <v>-3641.2200000000012</v>
      </c>
      <c r="Y174" s="2"/>
      <c r="Z174" s="7">
        <f t="shared" si="28"/>
        <v>-8.0772225438719106E-2</v>
      </c>
    </row>
    <row r="175" spans="1:26" s="24" customFormat="1" hidden="1" outlineLevel="2" x14ac:dyDescent="0.25">
      <c r="A175" s="26"/>
      <c r="B175" s="11" t="str">
        <f>CONCATENATE("          ", "6119", " - ", "SICK LEAVE")</f>
        <v xml:space="preserve">          6119 - SICK LEAVE</v>
      </c>
      <c r="C175" s="11"/>
      <c r="D175" s="6">
        <v>3745.75</v>
      </c>
      <c r="E175" s="2"/>
      <c r="F175" s="7">
        <f t="shared" si="21"/>
        <v>5.7452560742269126E-3</v>
      </c>
      <c r="G175" s="2"/>
      <c r="H175" s="6">
        <v>4033.06</v>
      </c>
      <c r="I175" s="2"/>
      <c r="J175" s="7">
        <f t="shared" si="22"/>
        <v>5.2022449371642498E-3</v>
      </c>
      <c r="K175" s="2"/>
      <c r="L175" s="6">
        <f t="shared" si="23"/>
        <v>-287.30999999999995</v>
      </c>
      <c r="M175" s="2"/>
      <c r="N175" s="7">
        <f t="shared" si="24"/>
        <v>-7.1238712044948485E-2</v>
      </c>
      <c r="O175" s="11"/>
      <c r="P175" s="6">
        <v>31539.329999999998</v>
      </c>
      <c r="Q175" s="2"/>
      <c r="R175" s="7">
        <f t="shared" si="25"/>
        <v>4.4160502653415807E-3</v>
      </c>
      <c r="S175" s="2"/>
      <c r="T175" s="6">
        <v>34609.97</v>
      </c>
      <c r="U175" s="2"/>
      <c r="V175" s="7">
        <f t="shared" si="26"/>
        <v>4.6350086924031976E-3</v>
      </c>
      <c r="W175" s="2"/>
      <c r="X175" s="6">
        <f t="shared" si="27"/>
        <v>-3070.6400000000031</v>
      </c>
      <c r="Y175" s="2"/>
      <c r="Z175" s="7">
        <f t="shared" si="28"/>
        <v>-8.8721255753761219E-2</v>
      </c>
    </row>
    <row r="176" spans="1:26" s="24" customFormat="1" hidden="1" outlineLevel="2" x14ac:dyDescent="0.25">
      <c r="A176" s="26"/>
      <c r="B176" s="11" t="str">
        <f>CONCATENATE("          ", "6156", " - ", "EMPLOYEE MEALS")</f>
        <v xml:space="preserve">          6156 - EMPLOYEE MEALS</v>
      </c>
      <c r="C176" s="11"/>
      <c r="D176" s="6">
        <v>2420.33</v>
      </c>
      <c r="E176" s="2"/>
      <c r="F176" s="7">
        <f t="shared" si="21"/>
        <v>3.712318129649235E-3</v>
      </c>
      <c r="G176" s="2"/>
      <c r="H176" s="6">
        <v>2609.73</v>
      </c>
      <c r="I176" s="2"/>
      <c r="J176" s="7">
        <f t="shared" si="22"/>
        <v>3.3662912725983892E-3</v>
      </c>
      <c r="K176" s="2"/>
      <c r="L176" s="6">
        <f t="shared" si="23"/>
        <v>-189.40000000000009</v>
      </c>
      <c r="M176" s="2"/>
      <c r="N176" s="7">
        <f t="shared" si="24"/>
        <v>-7.2574557521276187E-2</v>
      </c>
      <c r="O176" s="11"/>
      <c r="P176" s="6">
        <v>15308.76</v>
      </c>
      <c r="Q176" s="2"/>
      <c r="R176" s="7">
        <f t="shared" si="25"/>
        <v>2.1434904818856517E-3</v>
      </c>
      <c r="S176" s="2"/>
      <c r="T176" s="6">
        <v>15405.470000000001</v>
      </c>
      <c r="U176" s="2"/>
      <c r="V176" s="7">
        <f t="shared" si="26"/>
        <v>2.063119019188884E-3</v>
      </c>
      <c r="W176" s="2"/>
      <c r="X176" s="6">
        <f t="shared" si="27"/>
        <v>-96.710000000000946</v>
      </c>
      <c r="Y176" s="2"/>
      <c r="Z176" s="7">
        <f t="shared" si="28"/>
        <v>-6.2776403446308969E-3</v>
      </c>
    </row>
    <row r="177" spans="1:26" s="27" customFormat="1" outlineLevel="1" collapsed="1" x14ac:dyDescent="0.25">
      <c r="A177" s="25"/>
      <c r="B177" s="13" t="str">
        <f>CONCATENATE("     ","*Payroll                                          ")</f>
        <v xml:space="preserve">     *Payroll                                          </v>
      </c>
      <c r="C177" s="13"/>
      <c r="D177" s="1">
        <f>SUM(OSRRefD22_1x_0)</f>
        <v>187908.85</v>
      </c>
      <c r="E177" s="1"/>
      <c r="F177" s="5">
        <f t="shared" ref="F177:F184" si="29">IF(D$12=0,0,D177/D$12)</f>
        <v>0.28821583444263332</v>
      </c>
      <c r="G177" s="1"/>
      <c r="H177" s="1">
        <f>SUM(OSRRefH22_1x_0)</f>
        <v>191773.18</v>
      </c>
      <c r="I177" s="1"/>
      <c r="J177" s="5">
        <f t="shared" ref="J177:J184" si="30">IF(H$12=0,0,H177/H$12)</f>
        <v>0.24736826497470615</v>
      </c>
      <c r="K177" s="1"/>
      <c r="L177" s="1">
        <f t="shared" ref="L177:L184" si="31">+D177-H177</f>
        <v>-3864.3299999999872</v>
      </c>
      <c r="M177" s="1"/>
      <c r="N177" s="5">
        <f t="shared" ref="N177:N184" si="32">IF(H177=0,0,L177/H177)</f>
        <v>-2.0150523655080379E-2</v>
      </c>
      <c r="O177" s="13"/>
      <c r="P177" s="1">
        <f>SUM(OSRRefP22_1x_0)</f>
        <v>1351809.29</v>
      </c>
      <c r="Q177" s="1"/>
      <c r="R177" s="5">
        <f t="shared" ref="R177:R184" si="33">IF(P$12=0,0,P177/P$12)</f>
        <v>0.18927661982025981</v>
      </c>
      <c r="S177" s="1"/>
      <c r="T177" s="1">
        <f>SUM(OSRRefT22_1x_0)</f>
        <v>1299851.9000000001</v>
      </c>
      <c r="U177" s="1"/>
      <c r="V177" s="5">
        <f t="shared" ref="V177:V184" si="34">IF(T$12=0,0,T177/T$12)</f>
        <v>0.17407772544549482</v>
      </c>
      <c r="W177" s="1"/>
      <c r="X177" s="1">
        <f t="shared" ref="X177:X184" si="35">+P177-T177</f>
        <v>51957.389999999898</v>
      </c>
      <c r="Y177" s="1"/>
      <c r="Z177" s="5">
        <f t="shared" ref="Z177:Z184" si="36">IF(T177=0,0,X177/T177)</f>
        <v>3.997177678472439E-2</v>
      </c>
    </row>
    <row r="178" spans="1:26" s="24" customFormat="1" hidden="1" outlineLevel="2" x14ac:dyDescent="0.25">
      <c r="A178" s="26"/>
      <c r="B178" s="11" t="str">
        <f>CONCATENATE("          ", "6001", " - ", "ADMINISTRATIVE SALARIES")</f>
        <v xml:space="preserve">          6001 - ADMINISTRATIVE SALARIES</v>
      </c>
      <c r="C178" s="11"/>
      <c r="D178" s="6">
        <v>10181.280000000001</v>
      </c>
      <c r="E178" s="2"/>
      <c r="F178" s="7">
        <f t="shared" si="29"/>
        <v>1.5616114466636851E-2</v>
      </c>
      <c r="G178" s="2"/>
      <c r="H178" s="6">
        <v>10405</v>
      </c>
      <c r="I178" s="2"/>
      <c r="J178" s="7">
        <f t="shared" si="30"/>
        <v>1.3421411675302133E-2</v>
      </c>
      <c r="K178" s="2"/>
      <c r="L178" s="6">
        <f t="shared" si="31"/>
        <v>-223.71999999999935</v>
      </c>
      <c r="M178" s="2"/>
      <c r="N178" s="7">
        <f t="shared" si="32"/>
        <v>-2.1501201345506905E-2</v>
      </c>
      <c r="O178" s="11"/>
      <c r="P178" s="6">
        <v>66982.11</v>
      </c>
      <c r="Q178" s="2"/>
      <c r="R178" s="7">
        <f t="shared" si="33"/>
        <v>9.378650866668347E-3</v>
      </c>
      <c r="S178" s="2"/>
      <c r="T178" s="6">
        <v>67112.25</v>
      </c>
      <c r="U178" s="2"/>
      <c r="V178" s="7">
        <f t="shared" si="34"/>
        <v>8.9877530121157713E-3</v>
      </c>
      <c r="W178" s="2"/>
      <c r="X178" s="6">
        <f t="shared" si="35"/>
        <v>-130.13999999999942</v>
      </c>
      <c r="Y178" s="2"/>
      <c r="Z178" s="7">
        <f t="shared" si="36"/>
        <v>-1.9391392778516502E-3</v>
      </c>
    </row>
    <row r="179" spans="1:26" s="24" customFormat="1" hidden="1" outlineLevel="2" x14ac:dyDescent="0.25">
      <c r="A179" s="26"/>
      <c r="B179" s="11" t="str">
        <f>CONCATENATE("          ", "6002", " - ", "STAFF SALARIES")</f>
        <v xml:space="preserve">          6002 - STAFF SALARIES</v>
      </c>
      <c r="C179" s="11"/>
      <c r="D179" s="6">
        <v>64347.6</v>
      </c>
      <c r="E179" s="2"/>
      <c r="F179" s="7">
        <f t="shared" si="29"/>
        <v>9.8696773613274683E-2</v>
      </c>
      <c r="G179" s="2"/>
      <c r="H179" s="6">
        <v>70457.77</v>
      </c>
      <c r="I179" s="2"/>
      <c r="J179" s="7">
        <f t="shared" si="30"/>
        <v>9.088349225312374E-2</v>
      </c>
      <c r="K179" s="2"/>
      <c r="L179" s="6">
        <f t="shared" si="31"/>
        <v>-6110.1700000000055</v>
      </c>
      <c r="M179" s="2"/>
      <c r="N179" s="7">
        <f t="shared" si="32"/>
        <v>-8.6721024522916426E-2</v>
      </c>
      <c r="O179" s="11"/>
      <c r="P179" s="6">
        <v>448129.45</v>
      </c>
      <c r="Q179" s="2"/>
      <c r="R179" s="7">
        <f t="shared" si="33"/>
        <v>6.2745853402081678E-2</v>
      </c>
      <c r="S179" s="2"/>
      <c r="T179" s="6">
        <v>426540.72000000003</v>
      </c>
      <c r="U179" s="2"/>
      <c r="V179" s="7">
        <f t="shared" si="34"/>
        <v>5.7122844800614352E-2</v>
      </c>
      <c r="W179" s="2"/>
      <c r="X179" s="6">
        <f t="shared" si="35"/>
        <v>21588.729999999981</v>
      </c>
      <c r="Y179" s="2"/>
      <c r="Z179" s="7">
        <f t="shared" si="36"/>
        <v>5.0613526417829416E-2</v>
      </c>
    </row>
    <row r="180" spans="1:26" s="24" customFormat="1" hidden="1" outlineLevel="2" x14ac:dyDescent="0.25">
      <c r="A180" s="26"/>
      <c r="B180" s="11" t="str">
        <f>CONCATENATE("          ", "6004", " - ", "STAFF HOURLY")</f>
        <v xml:space="preserve">          6004 - STAFF HOURLY</v>
      </c>
      <c r="C180" s="11"/>
      <c r="D180" s="6">
        <v>3238.83</v>
      </c>
      <c r="E180" s="2"/>
      <c r="F180" s="7">
        <f t="shared" si="29"/>
        <v>4.9677388322467734E-3</v>
      </c>
      <c r="G180" s="2"/>
      <c r="H180" s="6">
        <v>4771.4799999999996</v>
      </c>
      <c r="I180" s="2"/>
      <c r="J180" s="7">
        <f t="shared" si="30"/>
        <v>6.1547330495406649E-3</v>
      </c>
      <c r="K180" s="2"/>
      <c r="L180" s="6">
        <f t="shared" si="31"/>
        <v>-1532.6499999999996</v>
      </c>
      <c r="M180" s="2"/>
      <c r="N180" s="7">
        <f t="shared" si="32"/>
        <v>-0.32121060970600313</v>
      </c>
      <c r="O180" s="11"/>
      <c r="P180" s="6">
        <v>16198.88</v>
      </c>
      <c r="Q180" s="2"/>
      <c r="R180" s="7">
        <f t="shared" si="33"/>
        <v>2.2681226367914737E-3</v>
      </c>
      <c r="S180" s="2"/>
      <c r="T180" s="6">
        <v>35868.800000000003</v>
      </c>
      <c r="U180" s="2"/>
      <c r="V180" s="7">
        <f t="shared" si="34"/>
        <v>4.8035927158004421E-3</v>
      </c>
      <c r="W180" s="2"/>
      <c r="X180" s="6">
        <f t="shared" si="35"/>
        <v>-19669.920000000006</v>
      </c>
      <c r="Y180" s="2"/>
      <c r="Z180" s="7">
        <f t="shared" si="36"/>
        <v>-0.54838522615755203</v>
      </c>
    </row>
    <row r="181" spans="1:26" s="24" customFormat="1" hidden="1" outlineLevel="2" x14ac:dyDescent="0.25">
      <c r="A181" s="26"/>
      <c r="B181" s="11" t="str">
        <f>CONCATENATE("          ", "6005", " - ", "TEMPORARY WAGES-HOURLY")</f>
        <v xml:space="preserve">          6005 - TEMPORARY WAGES-HOURLY</v>
      </c>
      <c r="C181" s="11"/>
      <c r="D181" s="6">
        <v>23411.83</v>
      </c>
      <c r="E181" s="2"/>
      <c r="F181" s="7">
        <f t="shared" si="29"/>
        <v>3.5909219386309248E-2</v>
      </c>
      <c r="G181" s="2"/>
      <c r="H181" s="6">
        <v>23303.79</v>
      </c>
      <c r="I181" s="2"/>
      <c r="J181" s="7">
        <f t="shared" si="30"/>
        <v>3.0059563592963877E-2</v>
      </c>
      <c r="K181" s="2"/>
      <c r="L181" s="6">
        <f t="shared" si="31"/>
        <v>108.04000000000087</v>
      </c>
      <c r="M181" s="2"/>
      <c r="N181" s="7">
        <f t="shared" si="32"/>
        <v>4.6361557497729281E-3</v>
      </c>
      <c r="O181" s="11"/>
      <c r="P181" s="6">
        <v>147658</v>
      </c>
      <c r="Q181" s="2"/>
      <c r="R181" s="7">
        <f t="shared" si="33"/>
        <v>2.0674667156208047E-2</v>
      </c>
      <c r="S181" s="2"/>
      <c r="T181" s="6">
        <v>147791.43999999997</v>
      </c>
      <c r="U181" s="2"/>
      <c r="V181" s="7">
        <f t="shared" si="34"/>
        <v>1.9792406900751014E-2</v>
      </c>
      <c r="W181" s="2"/>
      <c r="X181" s="6">
        <f t="shared" si="35"/>
        <v>-133.43999999997322</v>
      </c>
      <c r="Y181" s="2"/>
      <c r="Z181" s="7">
        <f t="shared" si="36"/>
        <v>-9.0289397004300956E-4</v>
      </c>
    </row>
    <row r="182" spans="1:26" s="24" customFormat="1" hidden="1" outlineLevel="2" x14ac:dyDescent="0.25">
      <c r="A182" s="26"/>
      <c r="B182" s="11" t="str">
        <f>CONCATENATE("          ", "6006", " - ", "TEMPORARY PART TIME")</f>
        <v xml:space="preserve">          6006 - TEMPORARY PART TIME</v>
      </c>
      <c r="C182" s="11"/>
      <c r="D182" s="6">
        <v>2224.13</v>
      </c>
      <c r="E182" s="2"/>
      <c r="F182" s="7">
        <f t="shared" si="29"/>
        <v>3.4113852746099722E-3</v>
      </c>
      <c r="G182" s="2"/>
      <c r="H182" s="6">
        <v>3694.97</v>
      </c>
      <c r="I182" s="2"/>
      <c r="J182" s="7">
        <f t="shared" si="30"/>
        <v>4.7661425754820875E-3</v>
      </c>
      <c r="K182" s="2"/>
      <c r="L182" s="6">
        <f t="shared" si="31"/>
        <v>-1470.8399999999997</v>
      </c>
      <c r="M182" s="2"/>
      <c r="N182" s="7">
        <f t="shared" si="32"/>
        <v>-0.39806547820415317</v>
      </c>
      <c r="O182" s="11"/>
      <c r="P182" s="6">
        <v>30541.180000000004</v>
      </c>
      <c r="Q182" s="2"/>
      <c r="R182" s="7">
        <f t="shared" si="33"/>
        <v>4.276292046877502E-3</v>
      </c>
      <c r="S182" s="2"/>
      <c r="T182" s="6">
        <v>61400.79</v>
      </c>
      <c r="U182" s="2"/>
      <c r="V182" s="7">
        <f t="shared" si="34"/>
        <v>8.2228674387878221E-3</v>
      </c>
      <c r="W182" s="2"/>
      <c r="X182" s="6">
        <f t="shared" si="35"/>
        <v>-30859.609999999997</v>
      </c>
      <c r="Y182" s="2"/>
      <c r="Z182" s="7">
        <f t="shared" si="36"/>
        <v>-0.50259304481261557</v>
      </c>
    </row>
    <row r="183" spans="1:26" s="24" customFormat="1" hidden="1" outlineLevel="2" x14ac:dyDescent="0.25">
      <c r="A183" s="26"/>
      <c r="B183" s="11" t="str">
        <f>CONCATENATE("          ", "6007", " - ", "STUDENT HOURLY")</f>
        <v xml:space="preserve">          6007 - STUDENT HOURLY</v>
      </c>
      <c r="C183" s="11"/>
      <c r="D183" s="6">
        <v>82297.929999999993</v>
      </c>
      <c r="E183" s="2"/>
      <c r="F183" s="7">
        <f t="shared" si="29"/>
        <v>0.12622910825036407</v>
      </c>
      <c r="G183" s="2"/>
      <c r="H183" s="6">
        <v>75441.11</v>
      </c>
      <c r="I183" s="2"/>
      <c r="J183" s="7">
        <f t="shared" si="30"/>
        <v>9.7311503560956511E-2</v>
      </c>
      <c r="K183" s="2"/>
      <c r="L183" s="6">
        <f t="shared" si="31"/>
        <v>6856.8199999999924</v>
      </c>
      <c r="M183" s="2"/>
      <c r="N183" s="7">
        <f t="shared" si="32"/>
        <v>9.0889701914513094E-2</v>
      </c>
      <c r="O183" s="11"/>
      <c r="P183" s="6">
        <v>627025.63</v>
      </c>
      <c r="Q183" s="2"/>
      <c r="R183" s="7">
        <f t="shared" si="33"/>
        <v>8.7794404628680198E-2</v>
      </c>
      <c r="S183" s="2"/>
      <c r="T183" s="6">
        <v>536004.57000000007</v>
      </c>
      <c r="U183" s="2"/>
      <c r="V183" s="7">
        <f t="shared" si="34"/>
        <v>7.1782374879777081E-2</v>
      </c>
      <c r="W183" s="2"/>
      <c r="X183" s="6">
        <f t="shared" si="35"/>
        <v>91021.059999999939</v>
      </c>
      <c r="Y183" s="2"/>
      <c r="Z183" s="7">
        <f t="shared" si="36"/>
        <v>0.16981396259363971</v>
      </c>
    </row>
    <row r="184" spans="1:26" s="24" customFormat="1" hidden="1" outlineLevel="2" x14ac:dyDescent="0.25">
      <c r="A184" s="26"/>
      <c r="B184" s="11" t="str">
        <f>CONCATENATE("          ", "6008", " - ", "STUDENT HOURLY-FICA EXEMPT")</f>
        <v xml:space="preserve">          6008 - STUDENT HOURLY-FICA EXEMPT</v>
      </c>
      <c r="C184" s="11"/>
      <c r="D184" s="6">
        <v>2207.25</v>
      </c>
      <c r="E184" s="2"/>
      <c r="F184" s="7">
        <f t="shared" si="29"/>
        <v>3.3854946191917111E-3</v>
      </c>
      <c r="G184" s="2"/>
      <c r="H184" s="6">
        <v>3699.06</v>
      </c>
      <c r="I184" s="2"/>
      <c r="J184" s="7">
        <f t="shared" si="30"/>
        <v>4.7714182673371562E-3</v>
      </c>
      <c r="K184" s="2"/>
      <c r="L184" s="6">
        <f t="shared" si="31"/>
        <v>-1491.81</v>
      </c>
      <c r="M184" s="2"/>
      <c r="N184" s="7">
        <f t="shared" si="32"/>
        <v>-0.4032943504566025</v>
      </c>
      <c r="O184" s="11"/>
      <c r="P184" s="6">
        <v>15274.04</v>
      </c>
      <c r="Q184" s="2"/>
      <c r="R184" s="7">
        <f t="shared" si="33"/>
        <v>2.1386290829525523E-3</v>
      </c>
      <c r="S184" s="2"/>
      <c r="T184" s="6">
        <v>25133.329999999998</v>
      </c>
      <c r="U184" s="2"/>
      <c r="V184" s="7">
        <f t="shared" si="34"/>
        <v>3.3658856976483379E-3</v>
      </c>
      <c r="W184" s="2"/>
      <c r="X184" s="6">
        <f t="shared" si="35"/>
        <v>-9859.2899999999972</v>
      </c>
      <c r="Y184" s="2"/>
      <c r="Z184" s="7">
        <f t="shared" si="36"/>
        <v>-0.39227949499728043</v>
      </c>
    </row>
    <row r="185" spans="1:26" s="27" customFormat="1" outlineLevel="1" collapsed="1" x14ac:dyDescent="0.25">
      <c r="A185" s="25"/>
      <c r="B185" s="13" t="str">
        <f>CONCATENATE("     ","Advertising/Promo                                 ")</f>
        <v xml:space="preserve">     Advertising/Promo                                 </v>
      </c>
      <c r="C185" s="13"/>
      <c r="D185" s="1">
        <f>SUM(OSRRefD22_2x_0)</f>
        <v>5299.49</v>
      </c>
      <c r="E185" s="1"/>
      <c r="F185" s="5">
        <f t="shared" ref="F185:F189" si="37">IF(D$12=0,0,D185/D$12)</f>
        <v>8.1283927418553774E-3</v>
      </c>
      <c r="G185" s="1"/>
      <c r="H185" s="1">
        <f>SUM(OSRRefH22_2x_0)</f>
        <v>3728.02</v>
      </c>
      <c r="I185" s="1"/>
      <c r="J185" s="5">
        <f t="shared" ref="J185:J189" si="38">IF(H$12=0,0,H185/H$12)</f>
        <v>4.8087737773916256E-3</v>
      </c>
      <c r="K185" s="1"/>
      <c r="L185" s="1">
        <f t="shared" ref="L185:L189" si="39">+D185-H185</f>
        <v>1571.4699999999998</v>
      </c>
      <c r="M185" s="1"/>
      <c r="N185" s="5">
        <f t="shared" ref="N185:N189" si="40">IF(H185=0,0,L185/H185)</f>
        <v>0.42152939093674385</v>
      </c>
      <c r="O185" s="13"/>
      <c r="P185" s="1">
        <f>SUM(OSRRefP22_2x_0)</f>
        <v>39734.94</v>
      </c>
      <c r="Q185" s="1"/>
      <c r="R185" s="5">
        <f t="shared" ref="R185:R189" si="41">IF(P$12=0,0,P185/P$12)</f>
        <v>5.5635770427061009E-3</v>
      </c>
      <c r="S185" s="1"/>
      <c r="T185" s="1">
        <f>SUM(OSRRefT22_2x_0)</f>
        <v>43897.09</v>
      </c>
      <c r="U185" s="1"/>
      <c r="V185" s="5">
        <f t="shared" ref="V185:V189" si="42">IF(T$12=0,0,T185/T$12)</f>
        <v>5.8787509414543115E-3</v>
      </c>
      <c r="W185" s="1"/>
      <c r="X185" s="1">
        <f t="shared" ref="X185:X189" si="43">+P185-T185</f>
        <v>-4162.1499999999942</v>
      </c>
      <c r="Y185" s="1"/>
      <c r="Z185" s="5">
        <f t="shared" ref="Z185:Z189" si="44">IF(T185=0,0,X185/T185)</f>
        <v>-9.4816080063621411E-2</v>
      </c>
    </row>
    <row r="186" spans="1:26" s="24" customFormat="1" hidden="1" outlineLevel="2" x14ac:dyDescent="0.25">
      <c r="A186" s="26"/>
      <c r="B186" s="11" t="str">
        <f>CONCATENATE("          ", "6362", " - ", "ADVERTISING EXPENSE")</f>
        <v xml:space="preserve">          6362 - ADVERTISING EXPENSE</v>
      </c>
      <c r="C186" s="11"/>
      <c r="D186" s="6">
        <v>5299.49</v>
      </c>
      <c r="E186" s="2"/>
      <c r="F186" s="7">
        <f t="shared" si="37"/>
        <v>8.1283927418553774E-3</v>
      </c>
      <c r="G186" s="2"/>
      <c r="H186" s="6">
        <v>3728.02</v>
      </c>
      <c r="I186" s="2"/>
      <c r="J186" s="7">
        <f t="shared" si="38"/>
        <v>4.8087737773916256E-3</v>
      </c>
      <c r="K186" s="2"/>
      <c r="L186" s="6">
        <f t="shared" si="39"/>
        <v>1571.4699999999998</v>
      </c>
      <c r="M186" s="2"/>
      <c r="N186" s="7">
        <f t="shared" si="40"/>
        <v>0.42152939093674385</v>
      </c>
      <c r="O186" s="11"/>
      <c r="P186" s="6">
        <v>39734.94</v>
      </c>
      <c r="Q186" s="2"/>
      <c r="R186" s="7">
        <f t="shared" si="41"/>
        <v>5.5635770427061009E-3</v>
      </c>
      <c r="S186" s="2"/>
      <c r="T186" s="6">
        <v>43897.09</v>
      </c>
      <c r="U186" s="2"/>
      <c r="V186" s="7">
        <f t="shared" si="42"/>
        <v>5.8787509414543115E-3</v>
      </c>
      <c r="W186" s="2"/>
      <c r="X186" s="6">
        <f t="shared" si="43"/>
        <v>-4162.1499999999942</v>
      </c>
      <c r="Y186" s="2"/>
      <c r="Z186" s="7">
        <f t="shared" si="44"/>
        <v>-9.4816080063621411E-2</v>
      </c>
    </row>
    <row r="187" spans="1:26" s="27" customFormat="1" outlineLevel="1" collapsed="1" x14ac:dyDescent="0.25">
      <c r="A187" s="25"/>
      <c r="B187" s="13" t="str">
        <f>CONCATENATE("     ","Bad Debts/Over/Short                              ")</f>
        <v xml:space="preserve">     Bad Debts/Over/Short                              </v>
      </c>
      <c r="C187" s="13"/>
      <c r="D187" s="1">
        <f>SUM(OSRRefD22_3x_0)</f>
        <v>49.77</v>
      </c>
      <c r="E187" s="1"/>
      <c r="F187" s="5">
        <f t="shared" si="37"/>
        <v>7.6337554512253468E-5</v>
      </c>
      <c r="G187" s="1"/>
      <c r="H187" s="1">
        <f>SUM(OSRRefH22_3x_0)</f>
        <v>-148.78</v>
      </c>
      <c r="I187" s="1"/>
      <c r="J187" s="5">
        <f t="shared" si="38"/>
        <v>-1.919113531044163E-4</v>
      </c>
      <c r="K187" s="1"/>
      <c r="L187" s="1">
        <f t="shared" si="39"/>
        <v>198.55</v>
      </c>
      <c r="M187" s="1"/>
      <c r="N187" s="5">
        <f t="shared" si="40"/>
        <v>-1.3345207689205538</v>
      </c>
      <c r="O187" s="13"/>
      <c r="P187" s="1">
        <f>SUM(OSRRefP22_3x_0)</f>
        <v>-132.86000000000001</v>
      </c>
      <c r="Q187" s="1"/>
      <c r="R187" s="5">
        <f t="shared" si="41"/>
        <v>-1.8602691885125099E-5</v>
      </c>
      <c r="S187" s="1"/>
      <c r="T187" s="1">
        <f>SUM(OSRRefT22_3x_0)</f>
        <v>440.34</v>
      </c>
      <c r="U187" s="1"/>
      <c r="V187" s="5">
        <f t="shared" si="42"/>
        <v>5.8970860928594385E-5</v>
      </c>
      <c r="W187" s="1"/>
      <c r="X187" s="1">
        <f t="shared" si="43"/>
        <v>-573.20000000000005</v>
      </c>
      <c r="Y187" s="1"/>
      <c r="Z187" s="5">
        <f t="shared" si="44"/>
        <v>-1.3017213971022394</v>
      </c>
    </row>
    <row r="188" spans="1:26" s="24" customFormat="1" hidden="1" outlineLevel="2" x14ac:dyDescent="0.25">
      <c r="A188" s="26"/>
      <c r="B188" s="11" t="str">
        <f>CONCATENATE("          ", "6272", " - ", "CASH (OVER/SHORT)")</f>
        <v xml:space="preserve">          6272 - CASH (OVER/SHORT)</v>
      </c>
      <c r="C188" s="11"/>
      <c r="D188" s="6">
        <v>49.77</v>
      </c>
      <c r="E188" s="2"/>
      <c r="F188" s="7">
        <f t="shared" si="37"/>
        <v>7.6337554512253468E-5</v>
      </c>
      <c r="G188" s="2"/>
      <c r="H188" s="6">
        <v>-148.78</v>
      </c>
      <c r="I188" s="2"/>
      <c r="J188" s="7">
        <f t="shared" si="38"/>
        <v>-1.919113531044163E-4</v>
      </c>
      <c r="K188" s="2"/>
      <c r="L188" s="6">
        <f t="shared" si="39"/>
        <v>198.55</v>
      </c>
      <c r="M188" s="2"/>
      <c r="N188" s="7">
        <f t="shared" si="40"/>
        <v>-1.3345207689205538</v>
      </c>
      <c r="O188" s="11"/>
      <c r="P188" s="6">
        <v>-177.66</v>
      </c>
      <c r="Q188" s="2"/>
      <c r="R188" s="7">
        <f t="shared" si="41"/>
        <v>-2.4875464702027128E-5</v>
      </c>
      <c r="S188" s="2"/>
      <c r="T188" s="6">
        <v>440.34</v>
      </c>
      <c r="U188" s="2"/>
      <c r="V188" s="7">
        <f t="shared" si="42"/>
        <v>5.8970860928594385E-5</v>
      </c>
      <c r="W188" s="2"/>
      <c r="X188" s="6">
        <f t="shared" si="43"/>
        <v>-618</v>
      </c>
      <c r="Y188" s="2"/>
      <c r="Z188" s="7">
        <f t="shared" si="44"/>
        <v>-1.4034609619839216</v>
      </c>
    </row>
    <row r="189" spans="1:26" s="24" customFormat="1" hidden="1" outlineLevel="2" x14ac:dyDescent="0.25">
      <c r="A189" s="26"/>
      <c r="B189" s="11" t="str">
        <f>CONCATENATE("          ", "6342", " - ", "BAD DEBT")</f>
        <v xml:space="preserve">          6342 - BAD DEBT</v>
      </c>
      <c r="C189" s="11"/>
      <c r="D189" s="6"/>
      <c r="E189" s="2"/>
      <c r="F189" s="7">
        <f t="shared" si="37"/>
        <v>0</v>
      </c>
      <c r="G189" s="2"/>
      <c r="H189" s="6"/>
      <c r="I189" s="2"/>
      <c r="J189" s="7">
        <f t="shared" si="38"/>
        <v>0</v>
      </c>
      <c r="K189" s="2"/>
      <c r="L189" s="6">
        <f t="shared" si="39"/>
        <v>0</v>
      </c>
      <c r="M189" s="2"/>
      <c r="N189" s="7">
        <f t="shared" si="40"/>
        <v>0</v>
      </c>
      <c r="O189" s="11"/>
      <c r="P189" s="6">
        <v>44.8</v>
      </c>
      <c r="Q189" s="2"/>
      <c r="R189" s="7">
        <f t="shared" si="41"/>
        <v>6.2727728169020341E-6</v>
      </c>
      <c r="S189" s="2"/>
      <c r="T189" s="6"/>
      <c r="U189" s="2"/>
      <c r="V189" s="7">
        <f t="shared" si="42"/>
        <v>0</v>
      </c>
      <c r="W189" s="2"/>
      <c r="X189" s="6">
        <f t="shared" si="43"/>
        <v>44.8</v>
      </c>
      <c r="Y189" s="2"/>
      <c r="Z189" s="7">
        <f t="shared" si="44"/>
        <v>0</v>
      </c>
    </row>
    <row r="190" spans="1:26" s="27" customFormat="1" outlineLevel="1" collapsed="1" x14ac:dyDescent="0.25">
      <c r="A190" s="25"/>
      <c r="B190" s="13" t="str">
        <f>CONCATENATE("     ","Bank/card Fees                                    ")</f>
        <v xml:space="preserve">     Bank/card Fees                                    </v>
      </c>
      <c r="C190" s="13"/>
      <c r="D190" s="1">
        <f>SUM(OSRRefD22_4x_0)</f>
        <v>16826.95</v>
      </c>
      <c r="E190" s="1"/>
      <c r="F190" s="5">
        <f t="shared" ref="F190:F194" si="45">IF(D$12=0,0,D190/D$12)</f>
        <v>2.5809286978098523E-2</v>
      </c>
      <c r="G190" s="1"/>
      <c r="H190" s="1">
        <f>SUM(OSRRefH22_4x_0)</f>
        <v>17532.32</v>
      </c>
      <c r="I190" s="1"/>
      <c r="J190" s="5">
        <f t="shared" ref="J190:J194" si="46">IF(H$12=0,0,H190/H$12)</f>
        <v>2.2614943233362144E-2</v>
      </c>
      <c r="K190" s="1"/>
      <c r="L190" s="1">
        <f t="shared" ref="L190:L194" si="47">+D190-H190</f>
        <v>-705.36999999999898</v>
      </c>
      <c r="M190" s="1"/>
      <c r="N190" s="5">
        <f t="shared" ref="N190:N194" si="48">IF(H190=0,0,L190/H190)</f>
        <v>-4.0232553364300844E-2</v>
      </c>
      <c r="O190" s="13"/>
      <c r="P190" s="1">
        <f>SUM(OSRRefP22_4x_0)</f>
        <v>148383.18</v>
      </c>
      <c r="Q190" s="1"/>
      <c r="R190" s="5">
        <f t="shared" ref="R190:R194" si="49">IF(P$12=0,0,P190/P$12)</f>
        <v>2.0776204865836641E-2</v>
      </c>
      <c r="S190" s="1"/>
      <c r="T190" s="1">
        <f>SUM(OSRRefT22_4x_0)</f>
        <v>141955.69</v>
      </c>
      <c r="U190" s="1"/>
      <c r="V190" s="5">
        <f t="shared" ref="V190:V194" si="50">IF(T$12=0,0,T190/T$12)</f>
        <v>1.9010876261553931E-2</v>
      </c>
      <c r="W190" s="1"/>
      <c r="X190" s="1">
        <f t="shared" ref="X190:X194" si="51">+P190-T190</f>
        <v>6427.4899999999907</v>
      </c>
      <c r="Y190" s="1"/>
      <c r="Z190" s="5">
        <f t="shared" ref="Z190:Z194" si="52">IF(T190=0,0,X190/T190)</f>
        <v>4.5278142778214743E-2</v>
      </c>
    </row>
    <row r="191" spans="1:26" s="24" customFormat="1" hidden="1" outlineLevel="2" x14ac:dyDescent="0.25">
      <c r="A191" s="26"/>
      <c r="B191" s="11" t="str">
        <f>CONCATENATE("          ", "6381", " - ", "BANK/CREDIT CARD FEES")</f>
        <v xml:space="preserve">          6381 - BANK/CREDIT CARD FEES</v>
      </c>
      <c r="C191" s="11"/>
      <c r="D191" s="6">
        <v>16826.95</v>
      </c>
      <c r="E191" s="2"/>
      <c r="F191" s="7">
        <f t="shared" si="45"/>
        <v>2.5809286978098523E-2</v>
      </c>
      <c r="G191" s="2"/>
      <c r="H191" s="6">
        <v>17532.32</v>
      </c>
      <c r="I191" s="2"/>
      <c r="J191" s="7">
        <f t="shared" si="46"/>
        <v>2.2614943233362144E-2</v>
      </c>
      <c r="K191" s="2"/>
      <c r="L191" s="6">
        <f t="shared" si="47"/>
        <v>-705.36999999999898</v>
      </c>
      <c r="M191" s="2"/>
      <c r="N191" s="7">
        <f t="shared" si="48"/>
        <v>-4.0232553364300844E-2</v>
      </c>
      <c r="O191" s="11"/>
      <c r="P191" s="6">
        <v>148383.18</v>
      </c>
      <c r="Q191" s="2"/>
      <c r="R191" s="7">
        <f t="shared" si="49"/>
        <v>2.0776204865836641E-2</v>
      </c>
      <c r="S191" s="2"/>
      <c r="T191" s="6">
        <v>141955.69</v>
      </c>
      <c r="U191" s="2"/>
      <c r="V191" s="7">
        <f t="shared" si="50"/>
        <v>1.9010876261553931E-2</v>
      </c>
      <c r="W191" s="2"/>
      <c r="X191" s="6">
        <f t="shared" si="51"/>
        <v>6427.4899999999907</v>
      </c>
      <c r="Y191" s="2"/>
      <c r="Z191" s="7">
        <f t="shared" si="52"/>
        <v>4.5278142778214743E-2</v>
      </c>
    </row>
    <row r="192" spans="1:26" s="27" customFormat="1" outlineLevel="1" collapsed="1" x14ac:dyDescent="0.25">
      <c r="A192" s="25"/>
      <c r="B192" s="13" t="str">
        <f>CONCATENATE("     ","Depreciation                                      ")</f>
        <v xml:space="preserve">     Depreciation                                      </v>
      </c>
      <c r="C192" s="13"/>
      <c r="D192" s="1">
        <f>SUM(OSRRefD22_5x_0)</f>
        <v>38324.210000000006</v>
      </c>
      <c r="E192" s="1"/>
      <c r="F192" s="5">
        <f t="shared" si="45"/>
        <v>5.8781926261081981E-2</v>
      </c>
      <c r="G192" s="1"/>
      <c r="H192" s="1">
        <f>SUM(OSRRefH22_5x_0)</f>
        <v>37694.15</v>
      </c>
      <c r="I192" s="1"/>
      <c r="J192" s="5">
        <f t="shared" si="46"/>
        <v>4.8621691965457944E-2</v>
      </c>
      <c r="K192" s="1"/>
      <c r="L192" s="1">
        <f t="shared" si="47"/>
        <v>630.06000000000495</v>
      </c>
      <c r="M192" s="1"/>
      <c r="N192" s="5">
        <f t="shared" si="48"/>
        <v>1.6715060559795217E-2</v>
      </c>
      <c r="O192" s="13"/>
      <c r="P192" s="1">
        <f>SUM(OSRRefP22_5x_0)</f>
        <v>228378.76</v>
      </c>
      <c r="Q192" s="1"/>
      <c r="R192" s="5">
        <f t="shared" si="49"/>
        <v>3.1976966019772179E-2</v>
      </c>
      <c r="S192" s="1"/>
      <c r="T192" s="1">
        <f>SUM(OSRRefT22_5x_0)</f>
        <v>226164.90000000002</v>
      </c>
      <c r="U192" s="1"/>
      <c r="V192" s="5">
        <f t="shared" si="50"/>
        <v>3.0288274662373299E-2</v>
      </c>
      <c r="W192" s="1"/>
      <c r="X192" s="1">
        <f t="shared" si="51"/>
        <v>2213.859999999986</v>
      </c>
      <c r="Y192" s="1"/>
      <c r="Z192" s="5">
        <f t="shared" si="52"/>
        <v>9.7886984231416365E-3</v>
      </c>
    </row>
    <row r="193" spans="1:26" s="24" customFormat="1" hidden="1" outlineLevel="2" x14ac:dyDescent="0.25">
      <c r="A193" s="26"/>
      <c r="B193" s="11" t="str">
        <f>CONCATENATE("          ", "6321", " - ", "BUILDING DEPRECIATION")</f>
        <v xml:space="preserve">          6321 - BUILDING DEPRECIATION</v>
      </c>
      <c r="C193" s="11"/>
      <c r="D193" s="6">
        <v>21477.030000000002</v>
      </c>
      <c r="E193" s="2"/>
      <c r="F193" s="7">
        <f t="shared" si="45"/>
        <v>3.2941610375453151E-2</v>
      </c>
      <c r="G193" s="2"/>
      <c r="H193" s="6">
        <v>21533.89</v>
      </c>
      <c r="I193" s="2"/>
      <c r="J193" s="7">
        <f t="shared" si="46"/>
        <v>2.7776569212942994E-2</v>
      </c>
      <c r="K193" s="2"/>
      <c r="L193" s="6">
        <f t="shared" si="47"/>
        <v>-56.859999999996944</v>
      </c>
      <c r="M193" s="2"/>
      <c r="N193" s="7">
        <f t="shared" si="48"/>
        <v>-2.6404890152219103E-3</v>
      </c>
      <c r="O193" s="11"/>
      <c r="P193" s="6">
        <v>128862.18000000001</v>
      </c>
      <c r="Q193" s="2"/>
      <c r="R193" s="7">
        <f t="shared" si="49"/>
        <v>1.804292812122181E-2</v>
      </c>
      <c r="S193" s="2"/>
      <c r="T193" s="6">
        <v>129203.34</v>
      </c>
      <c r="U193" s="2"/>
      <c r="V193" s="7">
        <f t="shared" si="50"/>
        <v>1.7303066254825583E-2</v>
      </c>
      <c r="W193" s="2"/>
      <c r="X193" s="6">
        <f t="shared" si="51"/>
        <v>-341.15999999998894</v>
      </c>
      <c r="Y193" s="2"/>
      <c r="Z193" s="7">
        <f t="shared" si="52"/>
        <v>-2.6404890152219667E-3</v>
      </c>
    </row>
    <row r="194" spans="1:26" s="24" customFormat="1" hidden="1" outlineLevel="2" x14ac:dyDescent="0.25">
      <c r="A194" s="26"/>
      <c r="B194" s="11" t="str">
        <f>CONCATENATE("          ", "6322", " - ", "EQUIPMENT DEPRECIATION EXPENSE")</f>
        <v xml:space="preserve">          6322 - EQUIPMENT DEPRECIATION EXPENSE</v>
      </c>
      <c r="C194" s="11"/>
      <c r="D194" s="6">
        <v>16847.18</v>
      </c>
      <c r="E194" s="2"/>
      <c r="F194" s="7">
        <f t="shared" si="45"/>
        <v>2.5840315885628819E-2</v>
      </c>
      <c r="G194" s="2"/>
      <c r="H194" s="6">
        <v>16160.26</v>
      </c>
      <c r="I194" s="2"/>
      <c r="J194" s="7">
        <f t="shared" si="46"/>
        <v>2.084512275251495E-2</v>
      </c>
      <c r="K194" s="2"/>
      <c r="L194" s="6">
        <f t="shared" si="47"/>
        <v>686.92000000000007</v>
      </c>
      <c r="M194" s="2"/>
      <c r="N194" s="7">
        <f t="shared" si="48"/>
        <v>4.2506741846975241E-2</v>
      </c>
      <c r="O194" s="11"/>
      <c r="P194" s="6">
        <v>99516.58</v>
      </c>
      <c r="Q194" s="2"/>
      <c r="R194" s="7">
        <f t="shared" si="49"/>
        <v>1.3934037898550371E-2</v>
      </c>
      <c r="S194" s="2"/>
      <c r="T194" s="6">
        <v>96961.560000000012</v>
      </c>
      <c r="U194" s="2"/>
      <c r="V194" s="7">
        <f t="shared" si="50"/>
        <v>1.2985208407547716E-2</v>
      </c>
      <c r="W194" s="2"/>
      <c r="X194" s="6">
        <f t="shared" si="51"/>
        <v>2555.0199999999895</v>
      </c>
      <c r="Y194" s="2"/>
      <c r="Z194" s="7">
        <f t="shared" si="52"/>
        <v>2.6350854916113036E-2</v>
      </c>
    </row>
    <row r="195" spans="1:26" s="27" customFormat="1" outlineLevel="1" collapsed="1" x14ac:dyDescent="0.25">
      <c r="A195" s="25"/>
      <c r="B195" s="13" t="str">
        <f>CONCATENATE("     ","Discounts and Markdowns                           ")</f>
        <v xml:space="preserve">     Discounts and Markdowns                           </v>
      </c>
      <c r="C195" s="13"/>
      <c r="D195" s="1">
        <f>SUM(OSRRefD22_6x_0)</f>
        <v>40836.03</v>
      </c>
      <c r="E195" s="1"/>
      <c r="F195" s="5">
        <f t="shared" ref="F195:F197" si="53">IF(D$12=0,0,D195/D$12)</f>
        <v>6.2634572356620816E-2</v>
      </c>
      <c r="G195" s="1"/>
      <c r="H195" s="1">
        <f>SUM(OSRRefH22_6x_0)</f>
        <v>53177.9</v>
      </c>
      <c r="I195" s="1"/>
      <c r="J195" s="5">
        <f t="shared" ref="J195:J197" si="54">IF(H$12=0,0,H195/H$12)</f>
        <v>6.8594184327539581E-2</v>
      </c>
      <c r="K195" s="1"/>
      <c r="L195" s="1">
        <f t="shared" ref="L195:L197" si="55">+D195-H195</f>
        <v>-12341.870000000003</v>
      </c>
      <c r="M195" s="1"/>
      <c r="N195" s="5">
        <f t="shared" ref="N195:N197" si="56">IF(H195=0,0,L195/H195)</f>
        <v>-0.23208644944610454</v>
      </c>
      <c r="O195" s="13"/>
      <c r="P195" s="1">
        <f>SUM(OSRRefP22_6x_0)</f>
        <v>187780.71000000002</v>
      </c>
      <c r="Q195" s="1"/>
      <c r="R195" s="5">
        <f t="shared" ref="R195:R197" si="57">IF(P$12=0,0,P195/P$12)</f>
        <v>2.6292538688092948E-2</v>
      </c>
      <c r="S195" s="1"/>
      <c r="T195" s="1">
        <f>SUM(OSRRefT22_6x_0)</f>
        <v>169429.71</v>
      </c>
      <c r="U195" s="1"/>
      <c r="V195" s="5">
        <f t="shared" ref="V195:V197" si="58">IF(T$12=0,0,T195/T$12)</f>
        <v>2.2690229971345049E-2</v>
      </c>
      <c r="W195" s="1"/>
      <c r="X195" s="1">
        <f t="shared" ref="X195:X197" si="59">+P195-T195</f>
        <v>18351.000000000029</v>
      </c>
      <c r="Y195" s="1"/>
      <c r="Z195" s="5">
        <f t="shared" ref="Z195:Z197" si="60">IF(T195=0,0,X195/T195)</f>
        <v>0.10831040199502219</v>
      </c>
    </row>
    <row r="196" spans="1:26" s="24" customFormat="1" hidden="1" outlineLevel="2" x14ac:dyDescent="0.25">
      <c r="A196" s="26"/>
      <c r="B196" s="11" t="str">
        <f>CONCATENATE("          ", "6382", " - ", "DISCOUNTS/MARK DOWNS")</f>
        <v xml:space="preserve">          6382 - DISCOUNTS/MARK DOWNS</v>
      </c>
      <c r="C196" s="11"/>
      <c r="D196" s="6">
        <v>40957.279999999999</v>
      </c>
      <c r="E196" s="2"/>
      <c r="F196" s="7">
        <f t="shared" si="53"/>
        <v>6.2820546406944525E-2</v>
      </c>
      <c r="G196" s="2"/>
      <c r="H196" s="6">
        <v>53325.599999999999</v>
      </c>
      <c r="I196" s="2"/>
      <c r="J196" s="7">
        <f t="shared" si="54"/>
        <v>6.8784702588418206E-2</v>
      </c>
      <c r="K196" s="2"/>
      <c r="L196" s="6">
        <f t="shared" si="55"/>
        <v>-12368.32</v>
      </c>
      <c r="M196" s="2"/>
      <c r="N196" s="7">
        <f t="shared" si="56"/>
        <v>-0.23193963124653075</v>
      </c>
      <c r="O196" s="11"/>
      <c r="P196" s="6">
        <v>190267.21000000002</v>
      </c>
      <c r="Q196" s="2"/>
      <c r="R196" s="7">
        <f t="shared" si="57"/>
        <v>2.6640691581156051E-2</v>
      </c>
      <c r="S196" s="2"/>
      <c r="T196" s="6">
        <v>172256.4</v>
      </c>
      <c r="U196" s="2"/>
      <c r="V196" s="7">
        <f t="shared" si="58"/>
        <v>2.3068783686379449E-2</v>
      </c>
      <c r="W196" s="2"/>
      <c r="X196" s="6">
        <f t="shared" si="59"/>
        <v>18010.810000000027</v>
      </c>
      <c r="Y196" s="2"/>
      <c r="Z196" s="7">
        <f t="shared" si="60"/>
        <v>0.1045581470412712</v>
      </c>
    </row>
    <row r="197" spans="1:26" s="24" customFormat="1" hidden="1" outlineLevel="2" x14ac:dyDescent="0.25">
      <c r="A197" s="26"/>
      <c r="B197" s="11" t="str">
        <f>CONCATENATE("          ", "9175", " - ", "EARNED DISCOUNTS")</f>
        <v xml:space="preserve">          9175 - EARNED DISCOUNTS</v>
      </c>
      <c r="C197" s="11"/>
      <c r="D197" s="6">
        <v>-121.25</v>
      </c>
      <c r="E197" s="2"/>
      <c r="F197" s="7">
        <f t="shared" si="53"/>
        <v>-1.8597405032370369E-4</v>
      </c>
      <c r="G197" s="2"/>
      <c r="H197" s="6">
        <v>-147.69999999999999</v>
      </c>
      <c r="I197" s="2"/>
      <c r="J197" s="7">
        <f t="shared" si="54"/>
        <v>-1.9051826087862806E-4</v>
      </c>
      <c r="K197" s="2"/>
      <c r="L197" s="6">
        <f t="shared" si="55"/>
        <v>26.449999999999989</v>
      </c>
      <c r="M197" s="2"/>
      <c r="N197" s="7">
        <f t="shared" si="56"/>
        <v>-0.17907921462423826</v>
      </c>
      <c r="O197" s="11"/>
      <c r="P197" s="6">
        <v>-2486.5</v>
      </c>
      <c r="Q197" s="2"/>
      <c r="R197" s="7">
        <f t="shared" si="57"/>
        <v>-3.4815289306310064E-4</v>
      </c>
      <c r="S197" s="2"/>
      <c r="T197" s="6">
        <v>-2826.69</v>
      </c>
      <c r="U197" s="2"/>
      <c r="V197" s="7">
        <f t="shared" si="58"/>
        <v>-3.7855371503440181E-4</v>
      </c>
      <c r="W197" s="2"/>
      <c r="X197" s="6">
        <f t="shared" si="59"/>
        <v>340.19000000000005</v>
      </c>
      <c r="Y197" s="2"/>
      <c r="Z197" s="7">
        <f t="shared" si="60"/>
        <v>-0.12034924240012171</v>
      </c>
    </row>
    <row r="198" spans="1:26" s="27" customFormat="1" outlineLevel="1" collapsed="1" x14ac:dyDescent="0.25">
      <c r="A198" s="25"/>
      <c r="B198" s="13" t="str">
        <f>CONCATENATE("     ","Donations                                         ")</f>
        <v xml:space="preserve">     Donations                                         </v>
      </c>
      <c r="C198" s="13"/>
      <c r="D198" s="1">
        <f>SUM(OSRRefD22_7x_0)</f>
        <v>150.84</v>
      </c>
      <c r="E198" s="1"/>
      <c r="F198" s="5">
        <f t="shared" ref="F198:F206" si="61">IF(D$12=0,0,D198/D$12)</f>
        <v>2.3135938763569044E-4</v>
      </c>
      <c r="G198" s="1"/>
      <c r="H198" s="1">
        <f>SUM(OSRRefH22_7x_0)</f>
        <v>413.22</v>
      </c>
      <c r="I198" s="1"/>
      <c r="J198" s="5">
        <f t="shared" ref="J198:J206" si="62">IF(H$12=0,0,H198/H$12)</f>
        <v>5.3301256438907717E-4</v>
      </c>
      <c r="K198" s="1"/>
      <c r="L198" s="1">
        <f t="shared" ref="L198:L206" si="63">+D198-H198</f>
        <v>-262.38</v>
      </c>
      <c r="M198" s="1"/>
      <c r="N198" s="5">
        <f t="shared" ref="N198:N206" si="64">IF(H198=0,0,L198/H198)</f>
        <v>-0.63496442572963552</v>
      </c>
      <c r="O198" s="13"/>
      <c r="P198" s="1">
        <f>SUM(OSRRefP22_7x_0)</f>
        <v>9798.2199999999993</v>
      </c>
      <c r="Q198" s="1"/>
      <c r="R198" s="5">
        <f t="shared" ref="R198:R206" si="65">IF(P$12=0,0,P198/P$12)</f>
        <v>1.3719198229916484E-3</v>
      </c>
      <c r="S198" s="1"/>
      <c r="T198" s="1">
        <f>SUM(OSRRefT22_7x_0)</f>
        <v>5400.7</v>
      </c>
      <c r="U198" s="1"/>
      <c r="V198" s="5">
        <f t="shared" ref="V198:V206" si="66">IF(T$12=0,0,T198/T$12)</f>
        <v>7.2326822141313468E-4</v>
      </c>
      <c r="W198" s="1"/>
      <c r="X198" s="1">
        <f t="shared" ref="X198:X206" si="67">+P198-T198</f>
        <v>4397.5199999999995</v>
      </c>
      <c r="Y198" s="1"/>
      <c r="Z198" s="5">
        <f t="shared" ref="Z198:Z206" si="68">IF(T198=0,0,X198/T198)</f>
        <v>0.81425000462902952</v>
      </c>
    </row>
    <row r="199" spans="1:26" s="24" customFormat="1" hidden="1" outlineLevel="2" x14ac:dyDescent="0.25">
      <c r="A199" s="26"/>
      <c r="B199" s="11" t="str">
        <f>CONCATENATE("          ", "6399", " - ", "DONATION-ON CAMPUS")</f>
        <v xml:space="preserve">          6399 - DONATION-ON CAMPUS</v>
      </c>
      <c r="C199" s="11"/>
      <c r="D199" s="6">
        <v>150.84</v>
      </c>
      <c r="E199" s="2"/>
      <c r="F199" s="7">
        <f t="shared" si="61"/>
        <v>2.3135938763569044E-4</v>
      </c>
      <c r="G199" s="2"/>
      <c r="H199" s="6">
        <v>413.22</v>
      </c>
      <c r="I199" s="2"/>
      <c r="J199" s="7">
        <f t="shared" si="62"/>
        <v>5.3301256438907717E-4</v>
      </c>
      <c r="K199" s="2"/>
      <c r="L199" s="6">
        <f t="shared" si="63"/>
        <v>-262.38</v>
      </c>
      <c r="M199" s="2"/>
      <c r="N199" s="7">
        <f t="shared" si="64"/>
        <v>-0.63496442572963552</v>
      </c>
      <c r="O199" s="11"/>
      <c r="P199" s="6">
        <v>9798.2199999999993</v>
      </c>
      <c r="Q199" s="2"/>
      <c r="R199" s="7">
        <f t="shared" si="65"/>
        <v>1.3719198229916484E-3</v>
      </c>
      <c r="S199" s="2"/>
      <c r="T199" s="6">
        <v>5400.7</v>
      </c>
      <c r="U199" s="2"/>
      <c r="V199" s="7">
        <f t="shared" si="66"/>
        <v>7.2326822141313468E-4</v>
      </c>
      <c r="W199" s="2"/>
      <c r="X199" s="6">
        <f t="shared" si="67"/>
        <v>4397.5199999999995</v>
      </c>
      <c r="Y199" s="2"/>
      <c r="Z199" s="7">
        <f t="shared" si="68"/>
        <v>0.81425000462902952</v>
      </c>
    </row>
    <row r="200" spans="1:26" s="27" customFormat="1" outlineLevel="1" collapsed="1" x14ac:dyDescent="0.25">
      <c r="A200" s="25"/>
      <c r="B200" s="13" t="str">
        <f>CONCATENATE("     ","Employees' Appreciation                           ")</f>
        <v xml:space="preserve">     Employees' Appreciation                           </v>
      </c>
      <c r="C200" s="13"/>
      <c r="D200" s="1">
        <f>SUM(OSRRefD22_8x_0)</f>
        <v>187.38</v>
      </c>
      <c r="E200" s="1"/>
      <c r="F200" s="5">
        <f t="shared" si="61"/>
        <v>2.8740468082190184E-4</v>
      </c>
      <c r="G200" s="1"/>
      <c r="H200" s="1">
        <f>SUM(OSRRefH22_8x_0)</f>
        <v>7.5</v>
      </c>
      <c r="I200" s="1"/>
      <c r="J200" s="5">
        <f t="shared" si="62"/>
        <v>9.6742515679736661E-6</v>
      </c>
      <c r="K200" s="1"/>
      <c r="L200" s="1">
        <f t="shared" si="63"/>
        <v>179.88</v>
      </c>
      <c r="M200" s="1"/>
      <c r="N200" s="5">
        <f t="shared" si="64"/>
        <v>23.983999999999998</v>
      </c>
      <c r="O200" s="13"/>
      <c r="P200" s="1">
        <f>SUM(OSRRefP22_8x_0)</f>
        <v>1290.96</v>
      </c>
      <c r="Q200" s="1"/>
      <c r="R200" s="5">
        <f t="shared" si="65"/>
        <v>1.8075666954705022E-4</v>
      </c>
      <c r="S200" s="1"/>
      <c r="T200" s="1">
        <f>SUM(OSRRefT22_8x_0)</f>
        <v>2821.88</v>
      </c>
      <c r="U200" s="1"/>
      <c r="V200" s="5">
        <f t="shared" si="66"/>
        <v>3.7790955406545384E-4</v>
      </c>
      <c r="W200" s="1"/>
      <c r="X200" s="1">
        <f t="shared" si="67"/>
        <v>-1530.92</v>
      </c>
      <c r="Y200" s="1"/>
      <c r="Z200" s="5">
        <f t="shared" si="68"/>
        <v>-0.54251775412136594</v>
      </c>
    </row>
    <row r="201" spans="1:26" s="24" customFormat="1" hidden="1" outlineLevel="2" x14ac:dyDescent="0.25">
      <c r="A201" s="26"/>
      <c r="B201" s="11" t="str">
        <f>CONCATENATE("          ", "6277", " - ", "EMPLOYEE APPRECIATION")</f>
        <v xml:space="preserve">          6277 - EMPLOYEE APPRECIATION</v>
      </c>
      <c r="C201" s="11"/>
      <c r="D201" s="6">
        <v>187.38</v>
      </c>
      <c r="E201" s="2"/>
      <c r="F201" s="7">
        <f t="shared" si="61"/>
        <v>2.8740468082190184E-4</v>
      </c>
      <c r="G201" s="2"/>
      <c r="H201" s="6">
        <v>7.5</v>
      </c>
      <c r="I201" s="2"/>
      <c r="J201" s="7">
        <f t="shared" si="62"/>
        <v>9.6742515679736661E-6</v>
      </c>
      <c r="K201" s="2"/>
      <c r="L201" s="6">
        <f t="shared" si="63"/>
        <v>179.88</v>
      </c>
      <c r="M201" s="2"/>
      <c r="N201" s="7">
        <f t="shared" si="64"/>
        <v>23.983999999999998</v>
      </c>
      <c r="O201" s="11"/>
      <c r="P201" s="6">
        <v>1290.96</v>
      </c>
      <c r="Q201" s="2"/>
      <c r="R201" s="7">
        <f t="shared" si="65"/>
        <v>1.8075666954705022E-4</v>
      </c>
      <c r="S201" s="2"/>
      <c r="T201" s="6">
        <v>2821.88</v>
      </c>
      <c r="U201" s="2"/>
      <c r="V201" s="7">
        <f t="shared" si="66"/>
        <v>3.7790955406545384E-4</v>
      </c>
      <c r="W201" s="2"/>
      <c r="X201" s="6">
        <f t="shared" si="67"/>
        <v>-1530.92</v>
      </c>
      <c r="Y201" s="2"/>
      <c r="Z201" s="7">
        <f t="shared" si="68"/>
        <v>-0.54251775412136594</v>
      </c>
    </row>
    <row r="202" spans="1:26" s="27" customFormat="1" outlineLevel="1" collapsed="1" x14ac:dyDescent="0.25">
      <c r="A202" s="25"/>
      <c r="B202" s="13" t="str">
        <f>CONCATENATE("     ","Equipment Rental                                  ")</f>
        <v xml:space="preserve">     Equipment Rental                                  </v>
      </c>
      <c r="C202" s="13"/>
      <c r="D202" s="1">
        <f>SUM(OSRRefD22_9x_0)</f>
        <v>107.04</v>
      </c>
      <c r="E202" s="1"/>
      <c r="F202" s="5">
        <f t="shared" si="61"/>
        <v>1.6417865852906595E-4</v>
      </c>
      <c r="G202" s="1"/>
      <c r="H202" s="1">
        <f>SUM(OSRRefH22_9x_0)</f>
        <v>3484.93</v>
      </c>
      <c r="I202" s="1"/>
      <c r="J202" s="5">
        <f t="shared" si="62"/>
        <v>4.4952119355704629E-3</v>
      </c>
      <c r="K202" s="1"/>
      <c r="L202" s="1">
        <f t="shared" si="63"/>
        <v>-3377.89</v>
      </c>
      <c r="M202" s="1"/>
      <c r="N202" s="5">
        <f t="shared" si="64"/>
        <v>-0.96928489237947391</v>
      </c>
      <c r="O202" s="13"/>
      <c r="P202" s="1">
        <f>SUM(OSRRefP22_9x_0)</f>
        <v>11771.11</v>
      </c>
      <c r="Q202" s="1"/>
      <c r="R202" s="5">
        <f t="shared" si="65"/>
        <v>1.6481584560884756E-3</v>
      </c>
      <c r="S202" s="1"/>
      <c r="T202" s="1">
        <f>SUM(OSRRefT22_9x_0)</f>
        <v>21227.1</v>
      </c>
      <c r="U202" s="1"/>
      <c r="V202" s="5">
        <f t="shared" si="66"/>
        <v>2.8427586910509286E-3</v>
      </c>
      <c r="W202" s="1"/>
      <c r="X202" s="1">
        <f t="shared" si="67"/>
        <v>-9455.989999999998</v>
      </c>
      <c r="Y202" s="1"/>
      <c r="Z202" s="5">
        <f t="shared" si="68"/>
        <v>-0.44546782179383893</v>
      </c>
    </row>
    <row r="203" spans="1:26" s="24" customFormat="1" hidden="1" outlineLevel="2" x14ac:dyDescent="0.25">
      <c r="A203" s="26"/>
      <c r="B203" s="11" t="str">
        <f>CONCATENATE("          ", "6351", " - ", "EQUIPMENT RENTAL")</f>
        <v xml:space="preserve">          6351 - EQUIPMENT RENTAL</v>
      </c>
      <c r="C203" s="11"/>
      <c r="D203" s="6">
        <v>107.04</v>
      </c>
      <c r="E203" s="2"/>
      <c r="F203" s="7">
        <f t="shared" si="61"/>
        <v>1.6417865852906595E-4</v>
      </c>
      <c r="G203" s="2"/>
      <c r="H203" s="6">
        <v>3484.93</v>
      </c>
      <c r="I203" s="2"/>
      <c r="J203" s="7">
        <f t="shared" si="62"/>
        <v>4.4952119355704629E-3</v>
      </c>
      <c r="K203" s="2"/>
      <c r="L203" s="6">
        <f t="shared" si="63"/>
        <v>-3377.89</v>
      </c>
      <c r="M203" s="2"/>
      <c r="N203" s="7">
        <f t="shared" si="64"/>
        <v>-0.96928489237947391</v>
      </c>
      <c r="O203" s="11"/>
      <c r="P203" s="6">
        <v>11771.11</v>
      </c>
      <c r="Q203" s="2"/>
      <c r="R203" s="7">
        <f t="shared" si="65"/>
        <v>1.6481584560884756E-3</v>
      </c>
      <c r="S203" s="2"/>
      <c r="T203" s="6">
        <v>21227.1</v>
      </c>
      <c r="U203" s="2"/>
      <c r="V203" s="7">
        <f t="shared" si="66"/>
        <v>2.8427586910509286E-3</v>
      </c>
      <c r="W203" s="2"/>
      <c r="X203" s="6">
        <f t="shared" si="67"/>
        <v>-9455.989999999998</v>
      </c>
      <c r="Y203" s="2"/>
      <c r="Z203" s="7">
        <f t="shared" si="68"/>
        <v>-0.44546782179383893</v>
      </c>
    </row>
    <row r="204" spans="1:26" s="27" customFormat="1" outlineLevel="1" collapsed="1" x14ac:dyDescent="0.25">
      <c r="A204" s="25"/>
      <c r="B204" s="13" t="str">
        <f>CONCATENATE("     ","Freight out/Postage                               ")</f>
        <v xml:space="preserve">     Freight out/Postage                               </v>
      </c>
      <c r="C204" s="13"/>
      <c r="D204" s="1">
        <f>SUM(OSRRefD22_10x_0)</f>
        <v>1921.3400000000001</v>
      </c>
      <c r="E204" s="1"/>
      <c r="F204" s="5">
        <f t="shared" si="61"/>
        <v>2.9469639740119166E-3</v>
      </c>
      <c r="G204" s="1"/>
      <c r="H204" s="1">
        <f>SUM(OSRRefH22_10x_0)</f>
        <v>1079.0400000000002</v>
      </c>
      <c r="I204" s="1"/>
      <c r="J204" s="5">
        <f t="shared" si="62"/>
        <v>1.3918539215875077E-3</v>
      </c>
      <c r="K204" s="1"/>
      <c r="L204" s="1">
        <f t="shared" si="63"/>
        <v>842.3</v>
      </c>
      <c r="M204" s="1"/>
      <c r="N204" s="5">
        <f t="shared" si="64"/>
        <v>0.7806012752075917</v>
      </c>
      <c r="O204" s="13"/>
      <c r="P204" s="1">
        <f>SUM(OSRRefP22_10x_0)</f>
        <v>6784.27</v>
      </c>
      <c r="Q204" s="1"/>
      <c r="R204" s="5">
        <f t="shared" si="65"/>
        <v>9.4991483121705282E-4</v>
      </c>
      <c r="S204" s="1"/>
      <c r="T204" s="1">
        <f>SUM(OSRRefT22_10x_0)</f>
        <v>11170.889999999996</v>
      </c>
      <c r="U204" s="1"/>
      <c r="V204" s="5">
        <f t="shared" si="66"/>
        <v>1.4960189867798191E-3</v>
      </c>
      <c r="W204" s="1"/>
      <c r="X204" s="1">
        <f t="shared" si="67"/>
        <v>-4386.6199999999953</v>
      </c>
      <c r="Y204" s="1"/>
      <c r="Z204" s="5">
        <f t="shared" si="68"/>
        <v>-0.39268312551640888</v>
      </c>
    </row>
    <row r="205" spans="1:26" s="24" customFormat="1" hidden="1" outlineLevel="2" x14ac:dyDescent="0.25">
      <c r="A205" s="26"/>
      <c r="B205" s="11" t="str">
        <f>CONCATENATE("          ", "6305", " - ", "FREIGHT OUT")</f>
        <v xml:space="preserve">          6305 - FREIGHT OUT</v>
      </c>
      <c r="C205" s="11"/>
      <c r="D205" s="6">
        <v>6027.58</v>
      </c>
      <c r="E205" s="2"/>
      <c r="F205" s="7">
        <f t="shared" si="61"/>
        <v>9.2451419896919587E-3</v>
      </c>
      <c r="G205" s="2"/>
      <c r="H205" s="6">
        <v>2869.61</v>
      </c>
      <c r="I205" s="2"/>
      <c r="J205" s="7">
        <f t="shared" si="62"/>
        <v>3.7015105389297219E-3</v>
      </c>
      <c r="K205" s="2"/>
      <c r="L205" s="6">
        <f t="shared" si="63"/>
        <v>3157.97</v>
      </c>
      <c r="M205" s="2"/>
      <c r="N205" s="7">
        <f t="shared" si="64"/>
        <v>1.1004875226947215</v>
      </c>
      <c r="O205" s="11"/>
      <c r="P205" s="6">
        <v>34938.11</v>
      </c>
      <c r="Q205" s="2"/>
      <c r="R205" s="7">
        <f t="shared" si="65"/>
        <v>4.8919380955788645E-3</v>
      </c>
      <c r="S205" s="2"/>
      <c r="T205" s="6">
        <v>36121.519999999997</v>
      </c>
      <c r="U205" s="2"/>
      <c r="V205" s="7">
        <f t="shared" si="66"/>
        <v>4.837437281304085E-3</v>
      </c>
      <c r="W205" s="2"/>
      <c r="X205" s="6">
        <f t="shared" si="67"/>
        <v>-1183.4099999999962</v>
      </c>
      <c r="Y205" s="2"/>
      <c r="Z205" s="7">
        <f t="shared" si="68"/>
        <v>-3.276191035150227E-2</v>
      </c>
    </row>
    <row r="206" spans="1:26" s="24" customFormat="1" hidden="1" outlineLevel="2" x14ac:dyDescent="0.25">
      <c r="A206" s="26"/>
      <c r="B206" s="11" t="str">
        <f>CONCATENATE("          ", "6307", " - ", "POSTAGE")</f>
        <v xml:space="preserve">          6307 - POSTAGE</v>
      </c>
      <c r="C206" s="11"/>
      <c r="D206" s="6">
        <v>-4106.24</v>
      </c>
      <c r="E206" s="2"/>
      <c r="F206" s="7">
        <f t="shared" si="61"/>
        <v>-6.2981780156800412E-3</v>
      </c>
      <c r="G206" s="2"/>
      <c r="H206" s="6">
        <v>-1790.57</v>
      </c>
      <c r="I206" s="2"/>
      <c r="J206" s="7">
        <f t="shared" si="62"/>
        <v>-2.3096566173422144E-3</v>
      </c>
      <c r="K206" s="2"/>
      <c r="L206" s="6">
        <f t="shared" si="63"/>
        <v>-2315.67</v>
      </c>
      <c r="M206" s="2"/>
      <c r="N206" s="7">
        <f t="shared" si="64"/>
        <v>1.2932585712929403</v>
      </c>
      <c r="O206" s="11"/>
      <c r="P206" s="6">
        <v>-28153.84</v>
      </c>
      <c r="Q206" s="2"/>
      <c r="R206" s="7">
        <f t="shared" si="65"/>
        <v>-3.9420232643618122E-3</v>
      </c>
      <c r="S206" s="2"/>
      <c r="T206" s="6">
        <v>-24950.63</v>
      </c>
      <c r="U206" s="2"/>
      <c r="V206" s="7">
        <f t="shared" si="66"/>
        <v>-3.3414182945242657E-3</v>
      </c>
      <c r="W206" s="2"/>
      <c r="X206" s="6">
        <f t="shared" si="67"/>
        <v>-3203.2099999999991</v>
      </c>
      <c r="Y206" s="2"/>
      <c r="Z206" s="7">
        <f t="shared" si="68"/>
        <v>0.12838192863266373</v>
      </c>
    </row>
    <row r="207" spans="1:26" s="27" customFormat="1" outlineLevel="1" collapsed="1" x14ac:dyDescent="0.25">
      <c r="A207" s="25"/>
      <c r="B207" s="13" t="str">
        <f>CONCATENATE("     ","General                                           ")</f>
        <v xml:space="preserve">     General                                           </v>
      </c>
      <c r="C207" s="13"/>
      <c r="D207" s="1">
        <f>SUM(OSRRefD22_11x_0)</f>
        <v>2971.17</v>
      </c>
      <c r="E207" s="1"/>
      <c r="F207" s="5">
        <f t="shared" ref="F207:F222" si="69">IF(D$12=0,0,D207/D$12)</f>
        <v>4.5572001575280721E-3</v>
      </c>
      <c r="G207" s="1"/>
      <c r="H207" s="1">
        <f>SUM(OSRRefH22_11x_0)</f>
        <v>580.16</v>
      </c>
      <c r="I207" s="1"/>
      <c r="J207" s="5">
        <f t="shared" ref="J207:J222" si="70">IF(H$12=0,0,H207/H$12)</f>
        <v>7.4834850529008031E-4</v>
      </c>
      <c r="K207" s="1"/>
      <c r="L207" s="1">
        <f t="shared" ref="L207:L222" si="71">+D207-H207</f>
        <v>2391.0100000000002</v>
      </c>
      <c r="M207" s="1"/>
      <c r="N207" s="5">
        <f t="shared" ref="N207:N222" si="72">IF(H207=0,0,L207/H207)</f>
        <v>4.1212941257584124</v>
      </c>
      <c r="O207" s="13"/>
      <c r="P207" s="1">
        <f>SUM(OSRRefP22_11x_0)</f>
        <v>5481.39</v>
      </c>
      <c r="Q207" s="1"/>
      <c r="R207" s="5">
        <f t="shared" ref="R207:R222" si="73">IF(P$12=0,0,P207/P$12)</f>
        <v>7.674891560455054E-4</v>
      </c>
      <c r="S207" s="1"/>
      <c r="T207" s="1">
        <f>SUM(OSRRefT22_11x_0)</f>
        <v>21004.190000000002</v>
      </c>
      <c r="U207" s="1"/>
      <c r="V207" s="5">
        <f t="shared" ref="V207:V222" si="74">IF(T$12=0,0,T207/T$12)</f>
        <v>2.8129063165003706E-3</v>
      </c>
      <c r="W207" s="1"/>
      <c r="X207" s="1">
        <f t="shared" ref="X207:X222" si="75">+P207-T207</f>
        <v>-15522.800000000003</v>
      </c>
      <c r="Y207" s="1"/>
      <c r="Z207" s="5">
        <f t="shared" ref="Z207:Z222" si="76">IF(T207=0,0,X207/T207)</f>
        <v>-0.73903349760214521</v>
      </c>
    </row>
    <row r="208" spans="1:26" s="24" customFormat="1" hidden="1" outlineLevel="2" x14ac:dyDescent="0.25">
      <c r="A208" s="26"/>
      <c r="B208" s="11" t="str">
        <f>CONCATENATE("          ", "6279", " - ", "GENERAL EXPENSE")</f>
        <v xml:space="preserve">          6279 - GENERAL EXPENSE</v>
      </c>
      <c r="C208" s="11"/>
      <c r="D208" s="6">
        <v>2971.17</v>
      </c>
      <c r="E208" s="2"/>
      <c r="F208" s="7">
        <f t="shared" si="69"/>
        <v>4.5572001575280721E-3</v>
      </c>
      <c r="G208" s="2"/>
      <c r="H208" s="6">
        <v>580.16</v>
      </c>
      <c r="I208" s="2"/>
      <c r="J208" s="7">
        <f t="shared" si="70"/>
        <v>7.4834850529008031E-4</v>
      </c>
      <c r="K208" s="2"/>
      <c r="L208" s="6">
        <f t="shared" si="71"/>
        <v>2391.0100000000002</v>
      </c>
      <c r="M208" s="2"/>
      <c r="N208" s="7">
        <f t="shared" si="72"/>
        <v>4.1212941257584124</v>
      </c>
      <c r="O208" s="11"/>
      <c r="P208" s="6">
        <v>5481.39</v>
      </c>
      <c r="Q208" s="2"/>
      <c r="R208" s="7">
        <f t="shared" si="73"/>
        <v>7.674891560455054E-4</v>
      </c>
      <c r="S208" s="2"/>
      <c r="T208" s="6">
        <v>21004.190000000002</v>
      </c>
      <c r="U208" s="2"/>
      <c r="V208" s="7">
        <f t="shared" si="74"/>
        <v>2.8129063165003706E-3</v>
      </c>
      <c r="W208" s="2"/>
      <c r="X208" s="6">
        <f t="shared" si="75"/>
        <v>-15522.800000000003</v>
      </c>
      <c r="Y208" s="2"/>
      <c r="Z208" s="7">
        <f t="shared" si="76"/>
        <v>-0.73903349760214521</v>
      </c>
    </row>
    <row r="209" spans="1:26" s="27" customFormat="1" outlineLevel="1" collapsed="1" x14ac:dyDescent="0.25">
      <c r="A209" s="25"/>
      <c r="B209" s="13" t="str">
        <f>CONCATENATE("     ","Insurance                                         ")</f>
        <v xml:space="preserve">     Insurance                                         </v>
      </c>
      <c r="C209" s="13"/>
      <c r="D209" s="1">
        <f>SUM(OSRRefD22_12x_0)</f>
        <v>4288.28</v>
      </c>
      <c r="E209" s="1"/>
      <c r="F209" s="5">
        <f t="shared" si="69"/>
        <v>6.5773921692546975E-3</v>
      </c>
      <c r="G209" s="1"/>
      <c r="H209" s="1">
        <f>SUM(OSRRefH22_12x_0)</f>
        <v>4039.41</v>
      </c>
      <c r="I209" s="1"/>
      <c r="J209" s="5">
        <f t="shared" si="70"/>
        <v>5.2104358034918011E-3</v>
      </c>
      <c r="K209" s="1"/>
      <c r="L209" s="1">
        <f t="shared" si="71"/>
        <v>248.86999999999989</v>
      </c>
      <c r="M209" s="1"/>
      <c r="N209" s="5">
        <f t="shared" si="72"/>
        <v>6.1610482719010921E-2</v>
      </c>
      <c r="O209" s="13"/>
      <c r="P209" s="1">
        <f>SUM(OSRRefP22_12x_0)</f>
        <v>25729.68</v>
      </c>
      <c r="Q209" s="1"/>
      <c r="R209" s="5">
        <f t="shared" si="73"/>
        <v>3.6025990466872306E-3</v>
      </c>
      <c r="S209" s="1"/>
      <c r="T209" s="1">
        <f>SUM(OSRRefT22_12x_0)</f>
        <v>24236.46</v>
      </c>
      <c r="U209" s="1"/>
      <c r="V209" s="5">
        <f t="shared" si="74"/>
        <v>3.2457757915734225E-3</v>
      </c>
      <c r="W209" s="1"/>
      <c r="X209" s="1">
        <f t="shared" si="75"/>
        <v>1493.2200000000012</v>
      </c>
      <c r="Y209" s="1"/>
      <c r="Z209" s="5">
        <f t="shared" si="76"/>
        <v>6.1610482719010998E-2</v>
      </c>
    </row>
    <row r="210" spans="1:26" s="24" customFormat="1" hidden="1" outlineLevel="2" x14ac:dyDescent="0.25">
      <c r="A210" s="26"/>
      <c r="B210" s="11" t="str">
        <f>CONCATENATE("          ", "6314", " - ", "LIABILITY INSURANCE")</f>
        <v xml:space="preserve">          6314 - LIABILITY INSURANCE</v>
      </c>
      <c r="C210" s="11"/>
      <c r="D210" s="6">
        <v>4288.28</v>
      </c>
      <c r="E210" s="2"/>
      <c r="F210" s="7">
        <f t="shared" si="69"/>
        <v>6.5773921692546975E-3</v>
      </c>
      <c r="G210" s="2"/>
      <c r="H210" s="6">
        <v>4039.41</v>
      </c>
      <c r="I210" s="2"/>
      <c r="J210" s="7">
        <f t="shared" si="70"/>
        <v>5.2104358034918011E-3</v>
      </c>
      <c r="K210" s="2"/>
      <c r="L210" s="6">
        <f t="shared" si="71"/>
        <v>248.86999999999989</v>
      </c>
      <c r="M210" s="2"/>
      <c r="N210" s="7">
        <f t="shared" si="72"/>
        <v>6.1610482719010921E-2</v>
      </c>
      <c r="O210" s="11"/>
      <c r="P210" s="6">
        <v>25729.68</v>
      </c>
      <c r="Q210" s="2"/>
      <c r="R210" s="7">
        <f t="shared" si="73"/>
        <v>3.6025990466872306E-3</v>
      </c>
      <c r="S210" s="2"/>
      <c r="T210" s="6">
        <v>24236.46</v>
      </c>
      <c r="U210" s="2"/>
      <c r="V210" s="7">
        <f t="shared" si="74"/>
        <v>3.2457757915734225E-3</v>
      </c>
      <c r="W210" s="2"/>
      <c r="X210" s="6">
        <f t="shared" si="75"/>
        <v>1493.2200000000012</v>
      </c>
      <c r="Y210" s="2"/>
      <c r="Z210" s="7">
        <f t="shared" si="76"/>
        <v>6.1610482719010998E-2</v>
      </c>
    </row>
    <row r="211" spans="1:26" s="27" customFormat="1" outlineLevel="1" collapsed="1" x14ac:dyDescent="0.25">
      <c r="A211" s="25"/>
      <c r="B211" s="13" t="str">
        <f>CONCATENATE("     ","Interest                                          ")</f>
        <v xml:space="preserve">     Interest                                          </v>
      </c>
      <c r="C211" s="13"/>
      <c r="D211" s="1">
        <f>SUM(OSRRefD22_13x_0)</f>
        <v>4175</v>
      </c>
      <c r="E211" s="1"/>
      <c r="F211" s="5">
        <f t="shared" si="69"/>
        <v>6.403642557537839E-3</v>
      </c>
      <c r="G211" s="1"/>
      <c r="H211" s="1">
        <f>SUM(OSRRefH22_13x_0)</f>
        <v>4280</v>
      </c>
      <c r="I211" s="1"/>
      <c r="J211" s="5">
        <f t="shared" si="70"/>
        <v>5.5207728947903063E-3</v>
      </c>
      <c r="K211" s="1"/>
      <c r="L211" s="1">
        <f t="shared" si="71"/>
        <v>-105</v>
      </c>
      <c r="M211" s="1"/>
      <c r="N211" s="5">
        <f t="shared" si="72"/>
        <v>-2.4532710280373831E-2</v>
      </c>
      <c r="O211" s="13"/>
      <c r="P211" s="1">
        <f>SUM(OSRRefP22_13x_0)</f>
        <v>24843.95</v>
      </c>
      <c r="Q211" s="1"/>
      <c r="R211" s="5">
        <f t="shared" si="73"/>
        <v>3.4785815675105647E-3</v>
      </c>
      <c r="S211" s="1"/>
      <c r="T211" s="1">
        <f>SUM(OSRRefT22_13x_0)</f>
        <v>25464.9</v>
      </c>
      <c r="U211" s="1"/>
      <c r="V211" s="5">
        <f t="shared" si="74"/>
        <v>3.4102899497219499E-3</v>
      </c>
      <c r="W211" s="1"/>
      <c r="X211" s="1">
        <f t="shared" si="75"/>
        <v>-620.95000000000073</v>
      </c>
      <c r="Y211" s="1"/>
      <c r="Z211" s="5">
        <f t="shared" si="76"/>
        <v>-2.4384545001158484E-2</v>
      </c>
    </row>
    <row r="212" spans="1:26" s="24" customFormat="1" hidden="1" outlineLevel="2" x14ac:dyDescent="0.25">
      <c r="A212" s="26"/>
      <c r="B212" s="11" t="str">
        <f>CONCATENATE("          ", "6401", " - ", "INTEREST EXPENSE")</f>
        <v xml:space="preserve">          6401 - INTEREST EXPENSE</v>
      </c>
      <c r="C212" s="11"/>
      <c r="D212" s="6">
        <v>4175</v>
      </c>
      <c r="E212" s="2"/>
      <c r="F212" s="7">
        <f t="shared" si="69"/>
        <v>6.403642557537839E-3</v>
      </c>
      <c r="G212" s="2"/>
      <c r="H212" s="6">
        <v>4280</v>
      </c>
      <c r="I212" s="2"/>
      <c r="J212" s="7">
        <f t="shared" si="70"/>
        <v>5.5207728947903063E-3</v>
      </c>
      <c r="K212" s="2"/>
      <c r="L212" s="6">
        <f t="shared" si="71"/>
        <v>-105</v>
      </c>
      <c r="M212" s="2"/>
      <c r="N212" s="7">
        <f t="shared" si="72"/>
        <v>-2.4532710280373831E-2</v>
      </c>
      <c r="O212" s="11"/>
      <c r="P212" s="6">
        <v>24843.95</v>
      </c>
      <c r="Q212" s="2"/>
      <c r="R212" s="7">
        <f t="shared" si="73"/>
        <v>3.4785815675105647E-3</v>
      </c>
      <c r="S212" s="2"/>
      <c r="T212" s="6">
        <v>25464.9</v>
      </c>
      <c r="U212" s="2"/>
      <c r="V212" s="7">
        <f t="shared" si="74"/>
        <v>3.4102899497219499E-3</v>
      </c>
      <c r="W212" s="2"/>
      <c r="X212" s="6">
        <f t="shared" si="75"/>
        <v>-620.95000000000073</v>
      </c>
      <c r="Y212" s="2"/>
      <c r="Z212" s="7">
        <f t="shared" si="76"/>
        <v>-2.4384545001158484E-2</v>
      </c>
    </row>
    <row r="213" spans="1:26" s="27" customFormat="1" outlineLevel="1" collapsed="1" x14ac:dyDescent="0.25">
      <c r="A213" s="25"/>
      <c r="B213" s="13" t="str">
        <f>CONCATENATE("     ","Inventory Adjustment                              ")</f>
        <v xml:space="preserve">     Inventory Adjustment                              </v>
      </c>
      <c r="C213" s="13"/>
      <c r="D213" s="1">
        <f>SUM(OSRRefD22_14x_0)</f>
        <v>10050</v>
      </c>
      <c r="E213" s="1"/>
      <c r="F213" s="5">
        <f t="shared" si="69"/>
        <v>1.5414756336109049E-2</v>
      </c>
      <c r="G213" s="1"/>
      <c r="H213" s="1">
        <f>SUM(OSRRefH22_14x_0)</f>
        <v>8750</v>
      </c>
      <c r="I213" s="1"/>
      <c r="J213" s="5">
        <f t="shared" si="70"/>
        <v>1.1286626829302612E-2</v>
      </c>
      <c r="K213" s="1"/>
      <c r="L213" s="1">
        <f t="shared" si="71"/>
        <v>1300</v>
      </c>
      <c r="M213" s="1"/>
      <c r="N213" s="5">
        <f t="shared" si="72"/>
        <v>0.14857142857142858</v>
      </c>
      <c r="O213" s="13"/>
      <c r="P213" s="1">
        <f>SUM(OSRRefP22_14x_0)</f>
        <v>31200</v>
      </c>
      <c r="Q213" s="1"/>
      <c r="R213" s="5">
        <f t="shared" si="73"/>
        <v>4.3685382117710598E-3</v>
      </c>
      <c r="S213" s="1"/>
      <c r="T213" s="1">
        <f>SUM(OSRRefT22_14x_0)</f>
        <v>52500</v>
      </c>
      <c r="U213" s="1"/>
      <c r="V213" s="5">
        <f t="shared" si="74"/>
        <v>7.0308629666875726E-3</v>
      </c>
      <c r="W213" s="1"/>
      <c r="X213" s="1">
        <f t="shared" si="75"/>
        <v>-21300</v>
      </c>
      <c r="Y213" s="1"/>
      <c r="Z213" s="5">
        <f t="shared" si="76"/>
        <v>-0.40571428571428569</v>
      </c>
    </row>
    <row r="214" spans="1:26" s="24" customFormat="1" hidden="1" outlineLevel="2" x14ac:dyDescent="0.25">
      <c r="A214" s="26"/>
      <c r="B214" s="11" t="str">
        <f>CONCATENATE("          ", "6408", " - ", "INVENTORY ADJUSTMENT")</f>
        <v xml:space="preserve">          6408 - INVENTORY ADJUSTMENT</v>
      </c>
      <c r="C214" s="11"/>
      <c r="D214" s="6">
        <v>10050</v>
      </c>
      <c r="E214" s="2"/>
      <c r="F214" s="7">
        <f t="shared" si="69"/>
        <v>1.5414756336109049E-2</v>
      </c>
      <c r="G214" s="2"/>
      <c r="H214" s="6">
        <v>8750</v>
      </c>
      <c r="I214" s="2"/>
      <c r="J214" s="7">
        <f t="shared" si="70"/>
        <v>1.1286626829302612E-2</v>
      </c>
      <c r="K214" s="2"/>
      <c r="L214" s="6">
        <f t="shared" si="71"/>
        <v>1300</v>
      </c>
      <c r="M214" s="2"/>
      <c r="N214" s="7">
        <f t="shared" si="72"/>
        <v>0.14857142857142858</v>
      </c>
      <c r="O214" s="11"/>
      <c r="P214" s="6">
        <v>31200</v>
      </c>
      <c r="Q214" s="2"/>
      <c r="R214" s="7">
        <f t="shared" si="73"/>
        <v>4.3685382117710598E-3</v>
      </c>
      <c r="S214" s="2"/>
      <c r="T214" s="6">
        <v>52500</v>
      </c>
      <c r="U214" s="2"/>
      <c r="V214" s="7">
        <f t="shared" si="74"/>
        <v>7.0308629666875726E-3</v>
      </c>
      <c r="W214" s="2"/>
      <c r="X214" s="6">
        <f t="shared" si="75"/>
        <v>-21300</v>
      </c>
      <c r="Y214" s="2"/>
      <c r="Z214" s="7">
        <f t="shared" si="76"/>
        <v>-0.40571428571428569</v>
      </c>
    </row>
    <row r="215" spans="1:26" s="27" customFormat="1" outlineLevel="1" collapsed="1" x14ac:dyDescent="0.25">
      <c r="A215" s="25"/>
      <c r="B215" s="13" t="str">
        <f>CONCATENATE("     ","Professional Services                             ")</f>
        <v xml:space="preserve">     Professional Services                             </v>
      </c>
      <c r="C215" s="13"/>
      <c r="D215" s="1">
        <f>SUM(OSRRefD22_15x_0)</f>
        <v>41.15</v>
      </c>
      <c r="E215" s="1"/>
      <c r="F215" s="5">
        <f t="shared" si="69"/>
        <v>6.3116141615013671E-5</v>
      </c>
      <c r="G215" s="1"/>
      <c r="H215" s="1">
        <f>SUM(OSRRefH22_15x_0)</f>
        <v>0</v>
      </c>
      <c r="I215" s="1"/>
      <c r="J215" s="5">
        <f t="shared" si="70"/>
        <v>0</v>
      </c>
      <c r="K215" s="1"/>
      <c r="L215" s="1">
        <f t="shared" si="71"/>
        <v>41.15</v>
      </c>
      <c r="M215" s="1"/>
      <c r="N215" s="5">
        <f t="shared" si="72"/>
        <v>0</v>
      </c>
      <c r="O215" s="13"/>
      <c r="P215" s="1">
        <f>SUM(OSRRefP22_15x_0)</f>
        <v>6199.56</v>
      </c>
      <c r="Q215" s="1"/>
      <c r="R215" s="5">
        <f t="shared" si="73"/>
        <v>8.6804534474895488E-4</v>
      </c>
      <c r="S215" s="1"/>
      <c r="T215" s="1">
        <f>SUM(OSRRefT22_15x_0)</f>
        <v>8276.43</v>
      </c>
      <c r="U215" s="1"/>
      <c r="V215" s="5">
        <f t="shared" si="74"/>
        <v>1.1083894320644196E-3</v>
      </c>
      <c r="W215" s="1"/>
      <c r="X215" s="1">
        <f t="shared" si="75"/>
        <v>-2076.87</v>
      </c>
      <c r="Y215" s="1"/>
      <c r="Z215" s="5">
        <f t="shared" si="76"/>
        <v>-0.25093790438631147</v>
      </c>
    </row>
    <row r="216" spans="1:26" s="24" customFormat="1" hidden="1" outlineLevel="2" x14ac:dyDescent="0.25">
      <c r="A216" s="26"/>
      <c r="B216" s="11" t="str">
        <f>CONCATENATE("          ", "6336", " - ", "PROFESSIONAL SERVICES")</f>
        <v xml:space="preserve">          6336 - PROFESSIONAL SERVICES</v>
      </c>
      <c r="C216" s="11"/>
      <c r="D216" s="6">
        <v>41.15</v>
      </c>
      <c r="E216" s="2"/>
      <c r="F216" s="7">
        <f t="shared" si="69"/>
        <v>6.3116141615013671E-5</v>
      </c>
      <c r="G216" s="2"/>
      <c r="H216" s="6"/>
      <c r="I216" s="2"/>
      <c r="J216" s="7">
        <f t="shared" si="70"/>
        <v>0</v>
      </c>
      <c r="K216" s="2"/>
      <c r="L216" s="6">
        <f t="shared" si="71"/>
        <v>41.15</v>
      </c>
      <c r="M216" s="2"/>
      <c r="N216" s="7">
        <f t="shared" si="72"/>
        <v>0</v>
      </c>
      <c r="O216" s="11"/>
      <c r="P216" s="6">
        <v>6199.56</v>
      </c>
      <c r="Q216" s="2"/>
      <c r="R216" s="7">
        <f t="shared" si="73"/>
        <v>8.6804534474895488E-4</v>
      </c>
      <c r="S216" s="2"/>
      <c r="T216" s="6">
        <v>8276.43</v>
      </c>
      <c r="U216" s="2"/>
      <c r="V216" s="7">
        <f t="shared" si="74"/>
        <v>1.1083894320644196E-3</v>
      </c>
      <c r="W216" s="2"/>
      <c r="X216" s="6">
        <f t="shared" si="75"/>
        <v>-2076.87</v>
      </c>
      <c r="Y216" s="2"/>
      <c r="Z216" s="7">
        <f t="shared" si="76"/>
        <v>-0.25093790438631147</v>
      </c>
    </row>
    <row r="217" spans="1:26" s="27" customFormat="1" outlineLevel="1" collapsed="1" x14ac:dyDescent="0.25">
      <c r="A217" s="25"/>
      <c r="B217" s="13" t="str">
        <f>CONCATENATE("     ","Rent                                              ")</f>
        <v xml:space="preserve">     Rent                                              </v>
      </c>
      <c r="C217" s="13"/>
      <c r="D217" s="1">
        <f>SUM(OSRRefD22_16x_0)</f>
        <v>7250</v>
      </c>
      <c r="E217" s="1"/>
      <c r="F217" s="5">
        <f t="shared" si="69"/>
        <v>1.1120097854407025E-2</v>
      </c>
      <c r="G217" s="1"/>
      <c r="H217" s="1">
        <f>SUM(OSRRefH22_16x_0)</f>
        <v>7250</v>
      </c>
      <c r="I217" s="1"/>
      <c r="J217" s="5">
        <f t="shared" si="70"/>
        <v>9.3517765157078783E-3</v>
      </c>
      <c r="K217" s="1"/>
      <c r="L217" s="1">
        <f t="shared" si="71"/>
        <v>0</v>
      </c>
      <c r="M217" s="1"/>
      <c r="N217" s="5">
        <f t="shared" si="72"/>
        <v>0</v>
      </c>
      <c r="O217" s="13"/>
      <c r="P217" s="1">
        <f>SUM(OSRRefP22_16x_0)</f>
        <v>43500</v>
      </c>
      <c r="Q217" s="1"/>
      <c r="R217" s="5">
        <f t="shared" si="73"/>
        <v>6.0907503914115731E-3</v>
      </c>
      <c r="S217" s="1"/>
      <c r="T217" s="1">
        <f>SUM(OSRRefT22_16x_0)</f>
        <v>44400.85</v>
      </c>
      <c r="U217" s="1"/>
      <c r="V217" s="5">
        <f t="shared" si="74"/>
        <v>5.9462150848466648E-3</v>
      </c>
      <c r="W217" s="1"/>
      <c r="X217" s="1">
        <f t="shared" si="75"/>
        <v>-900.84999999999854</v>
      </c>
      <c r="Y217" s="1"/>
      <c r="Z217" s="5">
        <f t="shared" si="76"/>
        <v>-2.0289025998376124E-2</v>
      </c>
    </row>
    <row r="218" spans="1:26" s="24" customFormat="1" hidden="1" outlineLevel="2" x14ac:dyDescent="0.25">
      <c r="A218" s="26"/>
      <c r="B218" s="11" t="str">
        <f>CONCATENATE("          ", "6273", " - ", "RENT")</f>
        <v xml:space="preserve">          6273 - RENT</v>
      </c>
      <c r="C218" s="11"/>
      <c r="D218" s="6">
        <v>7250</v>
      </c>
      <c r="E218" s="2"/>
      <c r="F218" s="7">
        <f t="shared" si="69"/>
        <v>1.1120097854407025E-2</v>
      </c>
      <c r="G218" s="2"/>
      <c r="H218" s="6">
        <v>7250</v>
      </c>
      <c r="I218" s="2"/>
      <c r="J218" s="7">
        <f t="shared" si="70"/>
        <v>9.3517765157078783E-3</v>
      </c>
      <c r="K218" s="2"/>
      <c r="L218" s="6">
        <f t="shared" si="71"/>
        <v>0</v>
      </c>
      <c r="M218" s="2"/>
      <c r="N218" s="7">
        <f t="shared" si="72"/>
        <v>0</v>
      </c>
      <c r="O218" s="11"/>
      <c r="P218" s="6">
        <v>43500</v>
      </c>
      <c r="Q218" s="2"/>
      <c r="R218" s="7">
        <f t="shared" si="73"/>
        <v>6.0907503914115731E-3</v>
      </c>
      <c r="S218" s="2"/>
      <c r="T218" s="6">
        <v>44400.85</v>
      </c>
      <c r="U218" s="2"/>
      <c r="V218" s="7">
        <f t="shared" si="74"/>
        <v>5.9462150848466648E-3</v>
      </c>
      <c r="W218" s="2"/>
      <c r="X218" s="6">
        <f t="shared" si="75"/>
        <v>-900.84999999999854</v>
      </c>
      <c r="Y218" s="2"/>
      <c r="Z218" s="7">
        <f t="shared" si="76"/>
        <v>-2.0289025998376124E-2</v>
      </c>
    </row>
    <row r="219" spans="1:26" s="27" customFormat="1" outlineLevel="1" collapsed="1" x14ac:dyDescent="0.25">
      <c r="A219" s="25"/>
      <c r="B219" s="13" t="str">
        <f>CONCATENATE("     ","Repair and Maintenance                            ")</f>
        <v xml:space="preserve">     Repair and Maintenance                            </v>
      </c>
      <c r="C219" s="13"/>
      <c r="D219" s="1">
        <f>SUM(OSRRefD22_17x_0)</f>
        <v>15170.16</v>
      </c>
      <c r="E219" s="1"/>
      <c r="F219" s="5">
        <f t="shared" si="69"/>
        <v>2.3268091540277418E-2</v>
      </c>
      <c r="G219" s="1"/>
      <c r="H219" s="1">
        <f>SUM(OSRRefH22_17x_0)</f>
        <v>9219.14</v>
      </c>
      <c r="I219" s="1"/>
      <c r="J219" s="5">
        <f t="shared" si="70"/>
        <v>1.1891770613382499E-2</v>
      </c>
      <c r="K219" s="1"/>
      <c r="L219" s="1">
        <f t="shared" si="71"/>
        <v>5951.02</v>
      </c>
      <c r="M219" s="1"/>
      <c r="N219" s="5">
        <f t="shared" si="72"/>
        <v>0.64550706465028196</v>
      </c>
      <c r="O219" s="13"/>
      <c r="P219" s="1">
        <f>SUM(OSRRefP22_17x_0)</f>
        <v>96541.109999999986</v>
      </c>
      <c r="Q219" s="1"/>
      <c r="R219" s="5">
        <f t="shared" si="73"/>
        <v>1.3517420770570292E-2</v>
      </c>
      <c r="S219" s="1"/>
      <c r="T219" s="1">
        <f>SUM(OSRRefT22_17x_0)</f>
        <v>128568.57999999999</v>
      </c>
      <c r="U219" s="1"/>
      <c r="V219" s="5">
        <f t="shared" si="74"/>
        <v>1.7218058434316352E-2</v>
      </c>
      <c r="W219" s="1"/>
      <c r="X219" s="1">
        <f t="shared" si="75"/>
        <v>-32027.47</v>
      </c>
      <c r="Y219" s="1"/>
      <c r="Z219" s="5">
        <f t="shared" si="76"/>
        <v>-0.24910806357198628</v>
      </c>
    </row>
    <row r="220" spans="1:26" s="24" customFormat="1" hidden="1" outlineLevel="2" x14ac:dyDescent="0.25">
      <c r="A220" s="26"/>
      <c r="B220" s="11" t="str">
        <f>CONCATENATE("          ", "6371", " - ", "COMPUTER SOFTWARE MAINTENANCE")</f>
        <v xml:space="preserve">          6371 - COMPUTER SOFTWARE MAINTENANCE</v>
      </c>
      <c r="C220" s="11"/>
      <c r="D220" s="6">
        <v>601</v>
      </c>
      <c r="E220" s="2"/>
      <c r="F220" s="7">
        <f t="shared" si="69"/>
        <v>9.218177669653272E-4</v>
      </c>
      <c r="G220" s="2"/>
      <c r="H220" s="6">
        <v>601</v>
      </c>
      <c r="I220" s="2"/>
      <c r="J220" s="7">
        <f t="shared" si="70"/>
        <v>7.7523002564695647E-4</v>
      </c>
      <c r="K220" s="2"/>
      <c r="L220" s="6">
        <f t="shared" si="71"/>
        <v>0</v>
      </c>
      <c r="M220" s="2"/>
      <c r="N220" s="7">
        <f t="shared" si="72"/>
        <v>0</v>
      </c>
      <c r="O220" s="11"/>
      <c r="P220" s="6">
        <v>15265.329999999998</v>
      </c>
      <c r="Q220" s="2"/>
      <c r="R220" s="7">
        <f t="shared" si="73"/>
        <v>2.1374095327017662E-3</v>
      </c>
      <c r="S220" s="2"/>
      <c r="T220" s="6">
        <v>50037.83</v>
      </c>
      <c r="U220" s="2"/>
      <c r="V220" s="7">
        <f t="shared" si="74"/>
        <v>6.7011262072458749E-3</v>
      </c>
      <c r="W220" s="2"/>
      <c r="X220" s="6">
        <f t="shared" si="75"/>
        <v>-34772.5</v>
      </c>
      <c r="Y220" s="2"/>
      <c r="Z220" s="7">
        <f t="shared" si="76"/>
        <v>-0.69492422033489465</v>
      </c>
    </row>
    <row r="221" spans="1:26" s="24" customFormat="1" hidden="1" outlineLevel="2" x14ac:dyDescent="0.25">
      <c r="A221" s="26"/>
      <c r="B221" s="11" t="str">
        <f>CONCATENATE("          ", "6373", " - ", "MAINTENANCE CONTRACTS")</f>
        <v xml:space="preserve">          6373 - MAINTENANCE CONTRACTS</v>
      </c>
      <c r="C221" s="11"/>
      <c r="D221" s="6">
        <v>8157.77</v>
      </c>
      <c r="E221" s="2"/>
      <c r="F221" s="7">
        <f t="shared" si="69"/>
        <v>1.2512441472240829E-2</v>
      </c>
      <c r="G221" s="2"/>
      <c r="H221" s="6">
        <v>2898.45</v>
      </c>
      <c r="I221" s="2"/>
      <c r="J221" s="7">
        <f t="shared" si="70"/>
        <v>3.7387112609591029E-3</v>
      </c>
      <c r="K221" s="2"/>
      <c r="L221" s="6">
        <f t="shared" si="71"/>
        <v>5259.3200000000006</v>
      </c>
      <c r="M221" s="2"/>
      <c r="N221" s="7">
        <f t="shared" si="72"/>
        <v>1.8145284548638068</v>
      </c>
      <c r="O221" s="11"/>
      <c r="P221" s="6">
        <v>40281.009999999995</v>
      </c>
      <c r="Q221" s="2"/>
      <c r="R221" s="7">
        <f t="shared" si="73"/>
        <v>5.6400362626196198E-3</v>
      </c>
      <c r="S221" s="2"/>
      <c r="T221" s="6">
        <v>52212.979999999996</v>
      </c>
      <c r="U221" s="2"/>
      <c r="V221" s="7">
        <f t="shared" si="74"/>
        <v>6.9924249040456922E-3</v>
      </c>
      <c r="W221" s="2"/>
      <c r="X221" s="6">
        <f t="shared" si="75"/>
        <v>-11931.970000000001</v>
      </c>
      <c r="Y221" s="2"/>
      <c r="Z221" s="7">
        <f t="shared" si="76"/>
        <v>-0.22852497597340743</v>
      </c>
    </row>
    <row r="222" spans="1:26" s="24" customFormat="1" hidden="1" outlineLevel="2" x14ac:dyDescent="0.25">
      <c r="A222" s="26"/>
      <c r="B222" s="11" t="str">
        <f>CONCATENATE("          ", "6375", " - ", "OUTSIDE REPAIRS &amp; MAINTENANCE")</f>
        <v xml:space="preserve">          6375 - OUTSIDE REPAIRS &amp; MAINTENANCE</v>
      </c>
      <c r="C222" s="11"/>
      <c r="D222" s="6">
        <v>6411.39</v>
      </c>
      <c r="E222" s="2"/>
      <c r="F222" s="7">
        <f t="shared" si="69"/>
        <v>9.8338323010712641E-3</v>
      </c>
      <c r="G222" s="2"/>
      <c r="H222" s="6">
        <v>5719.69</v>
      </c>
      <c r="I222" s="2"/>
      <c r="J222" s="7">
        <f t="shared" si="70"/>
        <v>7.3778293267764399E-3</v>
      </c>
      <c r="K222" s="2"/>
      <c r="L222" s="6">
        <f t="shared" si="71"/>
        <v>691.70000000000073</v>
      </c>
      <c r="M222" s="2"/>
      <c r="N222" s="7">
        <f t="shared" si="72"/>
        <v>0.12093312749467205</v>
      </c>
      <c r="O222" s="11"/>
      <c r="P222" s="6">
        <v>40994.769999999997</v>
      </c>
      <c r="Q222" s="2"/>
      <c r="R222" s="7">
        <f t="shared" si="73"/>
        <v>5.7399749752489061E-3</v>
      </c>
      <c r="S222" s="2"/>
      <c r="T222" s="6">
        <v>26317.769999999997</v>
      </c>
      <c r="U222" s="2"/>
      <c r="V222" s="7">
        <f t="shared" si="74"/>
        <v>3.5245073230247841E-3</v>
      </c>
      <c r="W222" s="2"/>
      <c r="X222" s="6">
        <f t="shared" si="75"/>
        <v>14677</v>
      </c>
      <c r="Y222" s="2"/>
      <c r="Z222" s="7">
        <f t="shared" si="76"/>
        <v>0.55768402870000011</v>
      </c>
    </row>
    <row r="223" spans="1:26" s="27" customFormat="1" outlineLevel="1" collapsed="1" x14ac:dyDescent="0.25">
      <c r="A223" s="25"/>
      <c r="B223" s="13" t="str">
        <f>CONCATENATE("     ","Royalty &amp; Commissions                             ")</f>
        <v xml:space="preserve">     Royalty &amp; Commissions                             </v>
      </c>
      <c r="C223" s="13"/>
      <c r="D223" s="1">
        <f>SUM(OSRRefD22_18x_0)</f>
        <v>22616.36</v>
      </c>
      <c r="E223" s="1"/>
      <c r="F223" s="5">
        <f t="shared" ref="F223:F226" si="77">IF(D$12=0,0,D223/D$12)</f>
        <v>3.468912224972371E-2</v>
      </c>
      <c r="G223" s="1"/>
      <c r="H223" s="1">
        <f>SUM(OSRRefH22_18x_0)</f>
        <v>20683.730000000003</v>
      </c>
      <c r="I223" s="1"/>
      <c r="J223" s="5">
        <f t="shared" ref="J223:J226" si="78">IF(H$12=0,0,H223/H$12)</f>
        <v>2.6679947651205866E-2</v>
      </c>
      <c r="K223" s="1"/>
      <c r="L223" s="1">
        <f t="shared" ref="L223:L226" si="79">+D223-H223</f>
        <v>1932.6299999999974</v>
      </c>
      <c r="M223" s="1"/>
      <c r="N223" s="5">
        <f t="shared" ref="N223:N226" si="80">IF(H223=0,0,L223/H223)</f>
        <v>9.3437208859330351E-2</v>
      </c>
      <c r="O223" s="13"/>
      <c r="P223" s="1">
        <f>SUM(OSRRefP22_18x_0)</f>
        <v>78825.56</v>
      </c>
      <c r="Q223" s="1"/>
      <c r="R223" s="5">
        <f t="shared" ref="R223:R226" si="81">IF(P$12=0,0,P223/P$12)</f>
        <v>1.1036938170649114E-2</v>
      </c>
      <c r="S223" s="1"/>
      <c r="T223" s="1">
        <f>SUM(OSRRefT22_18x_0)</f>
        <v>97708.44</v>
      </c>
      <c r="U223" s="1"/>
      <c r="V223" s="5">
        <f t="shared" ref="V223:V226" si="82">IF(T$12=0,0,T223/T$12)</f>
        <v>1.3085231472929804E-2</v>
      </c>
      <c r="W223" s="1"/>
      <c r="X223" s="1">
        <f t="shared" ref="X223:X226" si="83">+P223-T223</f>
        <v>-18882.880000000005</v>
      </c>
      <c r="Y223" s="1"/>
      <c r="Z223" s="5">
        <f t="shared" ref="Z223:Z226" si="84">IF(T223=0,0,X223/T223)</f>
        <v>-0.19325740949297732</v>
      </c>
    </row>
    <row r="224" spans="1:26" s="24" customFormat="1" hidden="1" outlineLevel="2" x14ac:dyDescent="0.25">
      <c r="A224" s="26"/>
      <c r="B224" s="11" t="str">
        <f>CONCATENATE("          ", "6253", " - ", "ROYALTY DUE ATHLETICS-LRG")</f>
        <v xml:space="preserve">          6253 - ROYALTY DUE ATHLETICS-LRG</v>
      </c>
      <c r="C224" s="11"/>
      <c r="D224" s="6"/>
      <c r="E224" s="2"/>
      <c r="F224" s="7">
        <f t="shared" si="77"/>
        <v>0</v>
      </c>
      <c r="G224" s="2"/>
      <c r="H224" s="6">
        <v>3178</v>
      </c>
      <c r="I224" s="2"/>
      <c r="J224" s="7">
        <f t="shared" si="78"/>
        <v>4.0993028644027082E-3</v>
      </c>
      <c r="K224" s="2"/>
      <c r="L224" s="6">
        <f t="shared" si="79"/>
        <v>-3178</v>
      </c>
      <c r="M224" s="2"/>
      <c r="N224" s="7">
        <f t="shared" si="80"/>
        <v>-1</v>
      </c>
      <c r="O224" s="11"/>
      <c r="P224" s="6">
        <v>4366.95</v>
      </c>
      <c r="Q224" s="2"/>
      <c r="R224" s="7">
        <f t="shared" si="81"/>
        <v>6.1144833153505213E-4</v>
      </c>
      <c r="S224" s="2"/>
      <c r="T224" s="6">
        <v>26172.42</v>
      </c>
      <c r="U224" s="2"/>
      <c r="V224" s="7">
        <f t="shared" si="82"/>
        <v>3.5050418766970123E-3</v>
      </c>
      <c r="W224" s="2"/>
      <c r="X224" s="6">
        <f t="shared" si="83"/>
        <v>-21805.469999999998</v>
      </c>
      <c r="Y224" s="2"/>
      <c r="Z224" s="7">
        <f t="shared" si="84"/>
        <v>-0.8331468775145745</v>
      </c>
    </row>
    <row r="225" spans="1:26" s="24" customFormat="1" hidden="1" outlineLevel="2" x14ac:dyDescent="0.25">
      <c r="A225" s="26"/>
      <c r="B225" s="11" t="str">
        <f>CONCATENATE("          ", "6254", " - ", "ROYALTY &amp; COMMISSIONS")</f>
        <v xml:space="preserve">          6254 - ROYALTY &amp; COMMISSIONS</v>
      </c>
      <c r="C225" s="11"/>
      <c r="D225" s="6">
        <v>9924.06</v>
      </c>
      <c r="E225" s="2"/>
      <c r="F225" s="7">
        <f t="shared" si="77"/>
        <v>1.5221588732828494E-2</v>
      </c>
      <c r="G225" s="2"/>
      <c r="H225" s="6">
        <v>8196.2000000000007</v>
      </c>
      <c r="I225" s="2"/>
      <c r="J225" s="7">
        <f t="shared" si="78"/>
        <v>1.0572280093523437E-2</v>
      </c>
      <c r="K225" s="2"/>
      <c r="L225" s="6">
        <f t="shared" si="79"/>
        <v>1727.8599999999988</v>
      </c>
      <c r="M225" s="2"/>
      <c r="N225" s="7">
        <f t="shared" si="80"/>
        <v>0.21081232766403926</v>
      </c>
      <c r="O225" s="11"/>
      <c r="P225" s="6">
        <v>17898.63</v>
      </c>
      <c r="Q225" s="2"/>
      <c r="R225" s="7">
        <f t="shared" si="81"/>
        <v>2.5061169581202516E-3</v>
      </c>
      <c r="S225" s="2"/>
      <c r="T225" s="6">
        <v>16285.79</v>
      </c>
      <c r="U225" s="2"/>
      <c r="V225" s="7">
        <f t="shared" si="82"/>
        <v>2.181012529414301E-3</v>
      </c>
      <c r="W225" s="2"/>
      <c r="X225" s="6">
        <f t="shared" si="83"/>
        <v>1612.8400000000001</v>
      </c>
      <c r="Y225" s="2"/>
      <c r="Z225" s="7">
        <f t="shared" si="84"/>
        <v>9.9033574668468655E-2</v>
      </c>
    </row>
    <row r="226" spans="1:26" s="24" customFormat="1" hidden="1" outlineLevel="2" x14ac:dyDescent="0.25">
      <c r="A226" s="26"/>
      <c r="B226" s="11" t="str">
        <f>CONCATENATE("          ", "6259", " - ", "ROYALTY &amp; COMMISSIONS")</f>
        <v xml:space="preserve">          6259 - ROYALTY &amp; COMMISSIONS</v>
      </c>
      <c r="C226" s="11"/>
      <c r="D226" s="6">
        <v>12692.3</v>
      </c>
      <c r="E226" s="2"/>
      <c r="F226" s="7">
        <f t="shared" si="77"/>
        <v>1.9467533516895209E-2</v>
      </c>
      <c r="G226" s="2"/>
      <c r="H226" s="6">
        <v>9309.5300000000007</v>
      </c>
      <c r="I226" s="2"/>
      <c r="J226" s="7">
        <f t="shared" si="78"/>
        <v>1.2008364693279719E-2</v>
      </c>
      <c r="K226" s="2"/>
      <c r="L226" s="6">
        <f t="shared" si="79"/>
        <v>3382.7699999999986</v>
      </c>
      <c r="M226" s="2"/>
      <c r="N226" s="7">
        <f t="shared" si="80"/>
        <v>0.36336635684078555</v>
      </c>
      <c r="O226" s="11"/>
      <c r="P226" s="6">
        <v>56559.98</v>
      </c>
      <c r="Q226" s="2"/>
      <c r="R226" s="7">
        <f t="shared" si="81"/>
        <v>7.9193728809938118E-3</v>
      </c>
      <c r="S226" s="2"/>
      <c r="T226" s="6">
        <v>55250.23</v>
      </c>
      <c r="U226" s="2"/>
      <c r="V226" s="7">
        <f t="shared" si="82"/>
        <v>7.3991770668184898E-3</v>
      </c>
      <c r="W226" s="2"/>
      <c r="X226" s="6">
        <f t="shared" si="83"/>
        <v>1309.75</v>
      </c>
      <c r="Y226" s="2"/>
      <c r="Z226" s="7">
        <f t="shared" si="84"/>
        <v>2.3705783668230881E-2</v>
      </c>
    </row>
    <row r="227" spans="1:26" s="27" customFormat="1" outlineLevel="1" collapsed="1" x14ac:dyDescent="0.25">
      <c r="A227" s="25"/>
      <c r="B227" s="13" t="str">
        <f>CONCATENATE("     ","Services                                          ")</f>
        <v xml:space="preserve">     Services                                          </v>
      </c>
      <c r="C227" s="13"/>
      <c r="D227" s="1">
        <f>SUM(OSRRefD22_19x_0)</f>
        <v>7236.7699999999995</v>
      </c>
      <c r="E227" s="1"/>
      <c r="F227" s="5">
        <f t="shared" ref="F227:F232" si="85">IF(D$12=0,0,D227/D$12)</f>
        <v>1.1099805593080983E-2</v>
      </c>
      <c r="G227" s="1"/>
      <c r="H227" s="1">
        <f>SUM(OSRRefH22_19x_0)</f>
        <v>8852.5</v>
      </c>
      <c r="I227" s="1"/>
      <c r="J227" s="5">
        <f t="shared" ref="J227:J232" si="86">IF(H$12=0,0,H227/H$12)</f>
        <v>1.1418841600731585E-2</v>
      </c>
      <c r="K227" s="1"/>
      <c r="L227" s="1">
        <f t="shared" ref="L227:L232" si="87">+D227-H227</f>
        <v>-1615.7300000000005</v>
      </c>
      <c r="M227" s="1"/>
      <c r="N227" s="5">
        <f t="shared" ref="N227:N232" si="88">IF(H227=0,0,L227/H227)</f>
        <v>-0.18251680316294838</v>
      </c>
      <c r="O227" s="13"/>
      <c r="P227" s="1">
        <f>SUM(OSRRefP22_19x_0)</f>
        <v>38188.229999999996</v>
      </c>
      <c r="Q227" s="1"/>
      <c r="R227" s="5">
        <f t="shared" ref="R227:R232" si="89">IF(P$12=0,0,P227/P$12)</f>
        <v>5.3470109613750613E-3</v>
      </c>
      <c r="S227" s="1"/>
      <c r="T227" s="1">
        <f>SUM(OSRRefT22_19x_0)</f>
        <v>35779.040000000001</v>
      </c>
      <c r="U227" s="1"/>
      <c r="V227" s="5">
        <f t="shared" ref="V227:V232" si="90">IF(T$12=0,0,T227/T$12)</f>
        <v>4.7915719489453968E-3</v>
      </c>
      <c r="W227" s="1"/>
      <c r="X227" s="1">
        <f t="shared" ref="X227:X232" si="91">+P227-T227</f>
        <v>2409.1899999999951</v>
      </c>
      <c r="Y227" s="1"/>
      <c r="Z227" s="5">
        <f t="shared" ref="Z227:Z232" si="92">IF(T227=0,0,X227/T227)</f>
        <v>6.7335233142085282E-2</v>
      </c>
    </row>
    <row r="228" spans="1:26" s="24" customFormat="1" hidden="1" outlineLevel="2" x14ac:dyDescent="0.25">
      <c r="A228" s="26"/>
      <c r="B228" s="11" t="str">
        <f>CONCATENATE("          ", "6282", " - ", "JANITORIAL/EXTERMINATOR EXPENS")</f>
        <v xml:space="preserve">          6282 - JANITORIAL/EXTERMINATOR EXPENS</v>
      </c>
      <c r="C228" s="11"/>
      <c r="D228" s="6">
        <v>1538.99</v>
      </c>
      <c r="E228" s="2"/>
      <c r="F228" s="7">
        <f t="shared" si="85"/>
        <v>2.360513020269499E-3</v>
      </c>
      <c r="G228" s="2"/>
      <c r="H228" s="6">
        <v>249</v>
      </c>
      <c r="I228" s="2"/>
      <c r="J228" s="7">
        <f t="shared" si="86"/>
        <v>3.2118515205672575E-4</v>
      </c>
      <c r="K228" s="2"/>
      <c r="L228" s="6">
        <f t="shared" si="87"/>
        <v>1289.99</v>
      </c>
      <c r="M228" s="2"/>
      <c r="N228" s="7">
        <f t="shared" si="88"/>
        <v>5.1806827309236949</v>
      </c>
      <c r="O228" s="11"/>
      <c r="P228" s="6">
        <v>5750.63</v>
      </c>
      <c r="Q228" s="2"/>
      <c r="R228" s="7">
        <f t="shared" si="89"/>
        <v>8.051874005370836E-4</v>
      </c>
      <c r="S228" s="2"/>
      <c r="T228" s="6">
        <v>4521.74</v>
      </c>
      <c r="U228" s="2"/>
      <c r="V228" s="7">
        <f t="shared" si="90"/>
        <v>6.0555684401885452E-4</v>
      </c>
      <c r="W228" s="2"/>
      <c r="X228" s="6">
        <f t="shared" si="91"/>
        <v>1228.8900000000003</v>
      </c>
      <c r="Y228" s="2"/>
      <c r="Z228" s="7">
        <f t="shared" si="92"/>
        <v>0.27177369773582744</v>
      </c>
    </row>
    <row r="229" spans="1:26" s="24" customFormat="1" hidden="1" outlineLevel="2" x14ac:dyDescent="0.25">
      <c r="A229" s="26"/>
      <c r="B229" s="11" t="str">
        <f>CONCATENATE("          ", "6283", " - ", "PLANT SERVICE")</f>
        <v xml:space="preserve">          6283 - PLANT SERVICE</v>
      </c>
      <c r="C229" s="11"/>
      <c r="D229" s="6"/>
      <c r="E229" s="2"/>
      <c r="F229" s="7">
        <f t="shared" si="85"/>
        <v>0</v>
      </c>
      <c r="G229" s="2"/>
      <c r="H229" s="6">
        <v>173</v>
      </c>
      <c r="I229" s="2"/>
      <c r="J229" s="7">
        <f t="shared" si="86"/>
        <v>2.2315273616792592E-4</v>
      </c>
      <c r="K229" s="2"/>
      <c r="L229" s="6">
        <f t="shared" si="87"/>
        <v>-173</v>
      </c>
      <c r="M229" s="2"/>
      <c r="N229" s="7">
        <f t="shared" si="88"/>
        <v>-1</v>
      </c>
      <c r="O229" s="11"/>
      <c r="P229" s="6">
        <v>541.98</v>
      </c>
      <c r="Q229" s="2"/>
      <c r="R229" s="7">
        <f t="shared" si="89"/>
        <v>7.5886549359476893E-5</v>
      </c>
      <c r="S229" s="2"/>
      <c r="T229" s="6">
        <v>1160.5</v>
      </c>
      <c r="U229" s="2"/>
      <c r="V229" s="7">
        <f t="shared" si="90"/>
        <v>1.5541555186363671E-4</v>
      </c>
      <c r="W229" s="2"/>
      <c r="X229" s="6">
        <f t="shared" si="91"/>
        <v>-618.52</v>
      </c>
      <c r="Y229" s="2"/>
      <c r="Z229" s="7">
        <f t="shared" si="92"/>
        <v>-0.53297716501507975</v>
      </c>
    </row>
    <row r="230" spans="1:26" s="24" customFormat="1" hidden="1" outlineLevel="2" x14ac:dyDescent="0.25">
      <c r="A230" s="26"/>
      <c r="B230" s="11" t="str">
        <f>CONCATENATE("          ", "6284", " - ", "TRASH REMOVAL EXPENSE")</f>
        <v xml:space="preserve">          6284 - TRASH REMOVAL EXPENSE</v>
      </c>
      <c r="C230" s="11"/>
      <c r="D230" s="6">
        <v>919.82</v>
      </c>
      <c r="E230" s="2"/>
      <c r="F230" s="7">
        <f t="shared" si="85"/>
        <v>1.410825987371127E-3</v>
      </c>
      <c r="G230" s="2"/>
      <c r="H230" s="6">
        <v>358.46</v>
      </c>
      <c r="I230" s="2"/>
      <c r="J230" s="7">
        <f t="shared" si="86"/>
        <v>4.6237762894077872E-4</v>
      </c>
      <c r="K230" s="2"/>
      <c r="L230" s="6">
        <f t="shared" si="87"/>
        <v>561.36000000000013</v>
      </c>
      <c r="M230" s="2"/>
      <c r="N230" s="7">
        <f t="shared" si="88"/>
        <v>1.5660324722423706</v>
      </c>
      <c r="O230" s="11"/>
      <c r="P230" s="6">
        <v>2541.92</v>
      </c>
      <c r="Q230" s="2"/>
      <c r="R230" s="7">
        <f t="shared" si="89"/>
        <v>3.5591264907900935E-4</v>
      </c>
      <c r="S230" s="2"/>
      <c r="T230" s="6">
        <v>2721.49</v>
      </c>
      <c r="U230" s="2"/>
      <c r="V230" s="7">
        <f t="shared" si="90"/>
        <v>3.644652048611535E-4</v>
      </c>
      <c r="W230" s="2"/>
      <c r="X230" s="6">
        <f t="shared" si="91"/>
        <v>-179.56999999999971</v>
      </c>
      <c r="Y230" s="2"/>
      <c r="Z230" s="7">
        <f t="shared" si="92"/>
        <v>-6.5982237671275562E-2</v>
      </c>
    </row>
    <row r="231" spans="1:26" s="24" customFormat="1" hidden="1" outlineLevel="2" x14ac:dyDescent="0.25">
      <c r="A231" s="26"/>
      <c r="B231" s="11" t="str">
        <f>CONCATENATE("          ", "6285", " - ", "JANITORIAL SERVICES")</f>
        <v xml:space="preserve">          6285 - JANITORIAL SERVICES</v>
      </c>
      <c r="C231" s="11"/>
      <c r="D231" s="6">
        <v>4249.32</v>
      </c>
      <c r="E231" s="2"/>
      <c r="F231" s="7">
        <f t="shared" si="85"/>
        <v>6.5176350640950148E-3</v>
      </c>
      <c r="G231" s="2"/>
      <c r="H231" s="6">
        <v>7626.37</v>
      </c>
      <c r="I231" s="2"/>
      <c r="J231" s="7">
        <f t="shared" si="86"/>
        <v>9.8372562573929775E-3</v>
      </c>
      <c r="K231" s="2"/>
      <c r="L231" s="6">
        <f t="shared" si="87"/>
        <v>-3377.05</v>
      </c>
      <c r="M231" s="2"/>
      <c r="N231" s="7">
        <f t="shared" si="88"/>
        <v>-0.44281224225942356</v>
      </c>
      <c r="O231" s="11"/>
      <c r="P231" s="6">
        <v>25093.360000000001</v>
      </c>
      <c r="Q231" s="2"/>
      <c r="R231" s="7">
        <f t="shared" si="89"/>
        <v>3.5135032699271616E-3</v>
      </c>
      <c r="S231" s="2"/>
      <c r="T231" s="6">
        <v>23529.63</v>
      </c>
      <c r="U231" s="2"/>
      <c r="V231" s="7">
        <f t="shared" si="90"/>
        <v>3.1511162702259222E-3</v>
      </c>
      <c r="W231" s="2"/>
      <c r="X231" s="6">
        <f t="shared" si="91"/>
        <v>1563.7299999999996</v>
      </c>
      <c r="Y231" s="2"/>
      <c r="Z231" s="7">
        <f t="shared" si="92"/>
        <v>6.6457908602897686E-2</v>
      </c>
    </row>
    <row r="232" spans="1:26" s="24" customFormat="1" hidden="1" outlineLevel="2" x14ac:dyDescent="0.25">
      <c r="A232" s="26"/>
      <c r="B232" s="11" t="str">
        <f>CONCATENATE("          ", "6286", " - ", "LAUNDRY EXPENSE")</f>
        <v xml:space="preserve">          6286 - LAUNDRY EXPENSE</v>
      </c>
      <c r="C232" s="11"/>
      <c r="D232" s="6">
        <v>528.64</v>
      </c>
      <c r="E232" s="2"/>
      <c r="F232" s="7">
        <f t="shared" si="85"/>
        <v>8.1083152134534204E-4</v>
      </c>
      <c r="G232" s="2"/>
      <c r="H232" s="6">
        <v>445.67</v>
      </c>
      <c r="I232" s="2"/>
      <c r="J232" s="7">
        <f t="shared" si="86"/>
        <v>5.7486982617317652E-4</v>
      </c>
      <c r="K232" s="2"/>
      <c r="L232" s="6">
        <f t="shared" si="87"/>
        <v>82.96999999999997</v>
      </c>
      <c r="M232" s="2"/>
      <c r="N232" s="7">
        <f t="shared" si="88"/>
        <v>0.18616913860030956</v>
      </c>
      <c r="O232" s="11"/>
      <c r="P232" s="6">
        <v>4260.34</v>
      </c>
      <c r="Q232" s="2"/>
      <c r="R232" s="7">
        <f t="shared" si="89"/>
        <v>5.9652109247233071E-4</v>
      </c>
      <c r="S232" s="2"/>
      <c r="T232" s="6">
        <v>3845.68</v>
      </c>
      <c r="U232" s="2"/>
      <c r="V232" s="7">
        <f t="shared" si="90"/>
        <v>5.1501807797582979E-4</v>
      </c>
      <c r="W232" s="2"/>
      <c r="X232" s="6">
        <f t="shared" si="91"/>
        <v>414.66000000000031</v>
      </c>
      <c r="Y232" s="2"/>
      <c r="Z232" s="7">
        <f t="shared" si="92"/>
        <v>0.10782488402571205</v>
      </c>
    </row>
    <row r="233" spans="1:26" s="27" customFormat="1" outlineLevel="1" collapsed="1" x14ac:dyDescent="0.25">
      <c r="A233" s="25"/>
      <c r="B233" s="13" t="str">
        <f>CONCATENATE("     ","Subscriptions &amp; Dues                              ")</f>
        <v xml:space="preserve">     Subscriptions &amp; Dues                              </v>
      </c>
      <c r="C233" s="13"/>
      <c r="D233" s="1">
        <f>SUM(OSRRefD22_20x_0)</f>
        <v>602.79999999999995</v>
      </c>
      <c r="E233" s="1"/>
      <c r="F233" s="5">
        <f t="shared" ref="F233:F235" si="93">IF(D$12=0,0,D233/D$12)</f>
        <v>9.2457861884642127E-4</v>
      </c>
      <c r="G233" s="1"/>
      <c r="H233" s="1">
        <f>SUM(OSRRefH22_20x_0)</f>
        <v>4155.67</v>
      </c>
      <c r="I233" s="1"/>
      <c r="J233" s="5">
        <f t="shared" ref="J233:J235" si="94">IF(H$12=0,0,H233/H$12)</f>
        <v>5.3603996017974834E-3</v>
      </c>
      <c r="K233" s="1"/>
      <c r="L233" s="1">
        <f t="shared" ref="L233:L235" si="95">+D233-H233</f>
        <v>-3552.87</v>
      </c>
      <c r="M233" s="1"/>
      <c r="N233" s="5">
        <f t="shared" ref="N233:N235" si="96">IF(H233=0,0,L233/H233)</f>
        <v>-0.85494517129608461</v>
      </c>
      <c r="O233" s="13"/>
      <c r="P233" s="1">
        <f>SUM(OSRRefP22_20x_0)</f>
        <v>3526.16</v>
      </c>
      <c r="Q233" s="1"/>
      <c r="R233" s="5">
        <f t="shared" ref="R233:R235" si="97">IF(P$12=0,0,P233/P$12)</f>
        <v>4.9372322759034094E-4</v>
      </c>
      <c r="S233" s="1"/>
      <c r="T233" s="1">
        <f>SUM(OSRRefT22_20x_0)</f>
        <v>11337.39</v>
      </c>
      <c r="U233" s="1"/>
      <c r="V233" s="5">
        <f t="shared" ref="V233:V235" si="98">IF(T$12=0,0,T233/T$12)</f>
        <v>1.5183168664741717E-3</v>
      </c>
      <c r="W233" s="1"/>
      <c r="X233" s="1">
        <f t="shared" ref="X233:X235" si="99">+P233-T233</f>
        <v>-7811.23</v>
      </c>
      <c r="Y233" s="1"/>
      <c r="Z233" s="5">
        <f t="shared" ref="Z233:Z235" si="100">IF(T233=0,0,X233/T233)</f>
        <v>-0.68897956231548885</v>
      </c>
    </row>
    <row r="234" spans="1:26" s="24" customFormat="1" hidden="1" outlineLevel="2" x14ac:dyDescent="0.25">
      <c r="A234" s="26"/>
      <c r="B234" s="11" t="str">
        <f>CONCATENATE("          ", "6258", " - ", "MEMBERSHIP DUES")</f>
        <v xml:space="preserve">          6258 - MEMBERSHIP DUES</v>
      </c>
      <c r="C234" s="11"/>
      <c r="D234" s="6">
        <v>250</v>
      </c>
      <c r="E234" s="2"/>
      <c r="F234" s="7">
        <f t="shared" si="93"/>
        <v>3.8345165015196637E-4</v>
      </c>
      <c r="G234" s="2"/>
      <c r="H234" s="6">
        <v>305.70999999999998</v>
      </c>
      <c r="I234" s="2"/>
      <c r="J234" s="7">
        <f t="shared" si="94"/>
        <v>3.9433539291269728E-4</v>
      </c>
      <c r="K234" s="2"/>
      <c r="L234" s="6">
        <f t="shared" si="95"/>
        <v>-55.70999999999998</v>
      </c>
      <c r="M234" s="2"/>
      <c r="N234" s="7">
        <f t="shared" si="96"/>
        <v>-0.18223152661018607</v>
      </c>
      <c r="O234" s="11"/>
      <c r="P234" s="6">
        <v>1677.4</v>
      </c>
      <c r="Q234" s="2"/>
      <c r="R234" s="7">
        <f t="shared" si="97"/>
        <v>2.3486493578284538E-4</v>
      </c>
      <c r="S234" s="2"/>
      <c r="T234" s="6">
        <v>5328.9</v>
      </c>
      <c r="U234" s="2"/>
      <c r="V234" s="7">
        <f t="shared" si="98"/>
        <v>7.1365267929869331E-4</v>
      </c>
      <c r="W234" s="2"/>
      <c r="X234" s="6">
        <f t="shared" si="99"/>
        <v>-3651.4999999999995</v>
      </c>
      <c r="Y234" s="2"/>
      <c r="Z234" s="7">
        <f t="shared" si="100"/>
        <v>-0.68522584398281072</v>
      </c>
    </row>
    <row r="235" spans="1:26" s="24" customFormat="1" hidden="1" outlineLevel="2" x14ac:dyDescent="0.25">
      <c r="A235" s="26"/>
      <c r="B235" s="11" t="str">
        <f>CONCATENATE("          ", "6275", " - ", "SUBSCRIPTIONS")</f>
        <v xml:space="preserve">          6275 - SUBSCRIPTIONS</v>
      </c>
      <c r="C235" s="11"/>
      <c r="D235" s="6">
        <v>352.8</v>
      </c>
      <c r="E235" s="2"/>
      <c r="F235" s="7">
        <f t="shared" si="93"/>
        <v>5.4112696869445501E-4</v>
      </c>
      <c r="G235" s="2"/>
      <c r="H235" s="6">
        <v>3849.96</v>
      </c>
      <c r="I235" s="2"/>
      <c r="J235" s="7">
        <f t="shared" si="94"/>
        <v>4.9660642088847863E-3</v>
      </c>
      <c r="K235" s="2"/>
      <c r="L235" s="6">
        <f t="shared" si="95"/>
        <v>-3497.16</v>
      </c>
      <c r="M235" s="2"/>
      <c r="N235" s="7">
        <f t="shared" si="96"/>
        <v>-0.9083626842876289</v>
      </c>
      <c r="O235" s="11"/>
      <c r="P235" s="6">
        <v>1848.76</v>
      </c>
      <c r="Q235" s="2"/>
      <c r="R235" s="7">
        <f t="shared" si="97"/>
        <v>2.5885829180749564E-4</v>
      </c>
      <c r="S235" s="2"/>
      <c r="T235" s="6">
        <v>6008.49</v>
      </c>
      <c r="U235" s="2"/>
      <c r="V235" s="7">
        <f t="shared" si="98"/>
        <v>8.0466418717547832E-4</v>
      </c>
      <c r="W235" s="2"/>
      <c r="X235" s="6">
        <f t="shared" si="99"/>
        <v>-4159.7299999999996</v>
      </c>
      <c r="Y235" s="2"/>
      <c r="Z235" s="7">
        <f t="shared" si="100"/>
        <v>-0.69230871649948655</v>
      </c>
    </row>
    <row r="236" spans="1:26" s="27" customFormat="1" outlineLevel="1" collapsed="1" x14ac:dyDescent="0.25">
      <c r="A236" s="25"/>
      <c r="B236" s="13" t="str">
        <f>CONCATENATE("     ","Supplies                                          ")</f>
        <v xml:space="preserve">     Supplies                                          </v>
      </c>
      <c r="C236" s="13"/>
      <c r="D236" s="1">
        <f>SUM(OSRRefD22_21x_0)</f>
        <v>10374.570000000002</v>
      </c>
      <c r="E236" s="1"/>
      <c r="F236" s="5">
        <f t="shared" ref="F236:F243" si="101">IF(D$12=0,0,D236/D$12)</f>
        <v>1.5912583944468345E-2</v>
      </c>
      <c r="G236" s="1"/>
      <c r="H236" s="1">
        <f>SUM(OSRRefH22_21x_0)</f>
        <v>10472.810000000001</v>
      </c>
      <c r="I236" s="1"/>
      <c r="J236" s="5">
        <f t="shared" ref="J236:J243" si="102">IF(H$12=0,0,H236/H$12)</f>
        <v>1.3508879808478707E-2</v>
      </c>
      <c r="K236" s="1"/>
      <c r="L236" s="1">
        <f t="shared" ref="L236:L243" si="103">+D236-H236</f>
        <v>-98.239999999999782</v>
      </c>
      <c r="M236" s="1"/>
      <c r="N236" s="5">
        <f t="shared" ref="N236:N243" si="104">IF(H236=0,0,L236/H236)</f>
        <v>-9.3804814562662518E-3</v>
      </c>
      <c r="O236" s="13"/>
      <c r="P236" s="1">
        <f>SUM(OSRRefP22_21x_0)</f>
        <v>88647.59</v>
      </c>
      <c r="Q236" s="1"/>
      <c r="R236" s="5">
        <f t="shared" ref="R236:R243" si="105">IF(P$12=0,0,P236/P$12)</f>
        <v>1.2412191804372245E-2</v>
      </c>
      <c r="S236" s="1"/>
      <c r="T236" s="1">
        <f>SUM(OSRRefT22_21x_0)</f>
        <v>121370.76999999999</v>
      </c>
      <c r="U236" s="1"/>
      <c r="V236" s="5">
        <f t="shared" ref="V236:V243" si="106">IF(T$12=0,0,T236/T$12)</f>
        <v>1.6254119086311521E-2</v>
      </c>
      <c r="W236" s="1"/>
      <c r="X236" s="1">
        <f t="shared" ref="X236:X243" si="107">+P236-T236</f>
        <v>-32723.179999999993</v>
      </c>
      <c r="Y236" s="1"/>
      <c r="Z236" s="5">
        <f t="shared" ref="Z236:Z243" si="108">IF(T236=0,0,X236/T236)</f>
        <v>-0.26961335089165206</v>
      </c>
    </row>
    <row r="237" spans="1:26" s="24" customFormat="1" hidden="1" outlineLevel="2" x14ac:dyDescent="0.25">
      <c r="A237" s="26"/>
      <c r="B237" s="11" t="str">
        <f>CONCATENATE("          ", "6234", " - ", "EXPENDABLE SUPPLIES &amp; EQUIPMEN")</f>
        <v xml:space="preserve">          6234 - EXPENDABLE SUPPLIES &amp; EQUIPMEN</v>
      </c>
      <c r="C237" s="11"/>
      <c r="D237" s="6"/>
      <c r="E237" s="2"/>
      <c r="F237" s="7">
        <f t="shared" si="101"/>
        <v>0</v>
      </c>
      <c r="G237" s="2"/>
      <c r="H237" s="6">
        <v>16.46</v>
      </c>
      <c r="I237" s="2"/>
      <c r="J237" s="7">
        <f t="shared" si="102"/>
        <v>2.1231757441179541E-5</v>
      </c>
      <c r="K237" s="2"/>
      <c r="L237" s="6">
        <f t="shared" si="103"/>
        <v>-16.46</v>
      </c>
      <c r="M237" s="2"/>
      <c r="N237" s="7">
        <f t="shared" si="104"/>
        <v>-1</v>
      </c>
      <c r="O237" s="11"/>
      <c r="P237" s="6">
        <v>2915.21</v>
      </c>
      <c r="Q237" s="2"/>
      <c r="R237" s="7">
        <f t="shared" si="105"/>
        <v>4.0817968847234331E-4</v>
      </c>
      <c r="S237" s="2"/>
      <c r="T237" s="6">
        <v>4415.13</v>
      </c>
      <c r="U237" s="2"/>
      <c r="V237" s="7">
        <f t="shared" si="106"/>
        <v>5.9127950495450096E-4</v>
      </c>
      <c r="W237" s="2"/>
      <c r="X237" s="6">
        <f t="shared" si="107"/>
        <v>-1499.92</v>
      </c>
      <c r="Y237" s="2"/>
      <c r="Z237" s="7">
        <f t="shared" si="108"/>
        <v>-0.33972272617114335</v>
      </c>
    </row>
    <row r="238" spans="1:26" s="24" customFormat="1" hidden="1" outlineLevel="2" x14ac:dyDescent="0.25">
      <c r="A238" s="26"/>
      <c r="B238" s="11" t="str">
        <f>CONCATENATE("          ", "6237", " - ", "JANITORIAL SUPPLIES")</f>
        <v xml:space="preserve">          6237 - JANITORIAL SUPPLIES</v>
      </c>
      <c r="C238" s="11"/>
      <c r="D238" s="6">
        <v>312.3</v>
      </c>
      <c r="E238" s="2"/>
      <c r="F238" s="7">
        <f t="shared" si="101"/>
        <v>4.7900780136983642E-4</v>
      </c>
      <c r="G238" s="2"/>
      <c r="H238" s="6">
        <v>664.78</v>
      </c>
      <c r="I238" s="2"/>
      <c r="J238" s="7">
        <f t="shared" si="102"/>
        <v>8.5749986098100455E-4</v>
      </c>
      <c r="K238" s="2"/>
      <c r="L238" s="6">
        <f t="shared" si="103"/>
        <v>-352.47999999999996</v>
      </c>
      <c r="M238" s="2"/>
      <c r="N238" s="7">
        <f t="shared" si="104"/>
        <v>-0.53022052408315534</v>
      </c>
      <c r="O238" s="11"/>
      <c r="P238" s="6">
        <v>5993.91</v>
      </c>
      <c r="Q238" s="2"/>
      <c r="R238" s="7">
        <f t="shared" si="105"/>
        <v>8.3925079720886765E-4</v>
      </c>
      <c r="S238" s="2"/>
      <c r="T238" s="6">
        <v>7373.23</v>
      </c>
      <c r="U238" s="2"/>
      <c r="V238" s="7">
        <f t="shared" si="106"/>
        <v>9.8743180479752006E-4</v>
      </c>
      <c r="W238" s="2"/>
      <c r="X238" s="6">
        <f t="shared" si="107"/>
        <v>-1379.3199999999997</v>
      </c>
      <c r="Y238" s="2"/>
      <c r="Z238" s="7">
        <f t="shared" si="108"/>
        <v>-0.18707133779903784</v>
      </c>
    </row>
    <row r="239" spans="1:26" s="24" customFormat="1" hidden="1" outlineLevel="2" x14ac:dyDescent="0.25">
      <c r="A239" s="26"/>
      <c r="B239" s="11" t="str">
        <f>CONCATENATE("          ", "6241", " - ", "OFFICE EXPENSE")</f>
        <v xml:space="preserve">          6241 - OFFICE EXPENSE</v>
      </c>
      <c r="C239" s="11"/>
      <c r="D239" s="6">
        <v>3144.3</v>
      </c>
      <c r="E239" s="2"/>
      <c r="F239" s="7">
        <f t="shared" si="101"/>
        <v>4.8227480942913117E-3</v>
      </c>
      <c r="G239" s="2"/>
      <c r="H239" s="6">
        <v>5149.74</v>
      </c>
      <c r="I239" s="2"/>
      <c r="J239" s="7">
        <f t="shared" si="102"/>
        <v>6.6426507026208946E-3</v>
      </c>
      <c r="K239" s="2"/>
      <c r="L239" s="6">
        <f t="shared" si="103"/>
        <v>-2005.4399999999996</v>
      </c>
      <c r="M239" s="2"/>
      <c r="N239" s="7">
        <f t="shared" si="104"/>
        <v>-0.38942548555849416</v>
      </c>
      <c r="O239" s="11"/>
      <c r="P239" s="6">
        <v>19371.710000000003</v>
      </c>
      <c r="Q239" s="2"/>
      <c r="R239" s="7">
        <f t="shared" si="105"/>
        <v>2.7123735693060117E-3</v>
      </c>
      <c r="S239" s="2"/>
      <c r="T239" s="6">
        <v>20375.990000000002</v>
      </c>
      <c r="U239" s="2"/>
      <c r="V239" s="7">
        <f t="shared" si="106"/>
        <v>2.7287770190589774E-3</v>
      </c>
      <c r="W239" s="2"/>
      <c r="X239" s="6">
        <f t="shared" si="107"/>
        <v>-1004.2799999999988</v>
      </c>
      <c r="Y239" s="2"/>
      <c r="Z239" s="7">
        <f t="shared" si="108"/>
        <v>-4.9287421126531707E-2</v>
      </c>
    </row>
    <row r="240" spans="1:26" s="24" customFormat="1" hidden="1" outlineLevel="2" x14ac:dyDescent="0.25">
      <c r="A240" s="26"/>
      <c r="B240" s="11" t="str">
        <f>CONCATENATE("          ", "6243", " - ", "PAPER SUPPLIES")</f>
        <v xml:space="preserve">          6243 - PAPER SUPPLIES</v>
      </c>
      <c r="C240" s="11"/>
      <c r="D240" s="6">
        <v>3563.77</v>
      </c>
      <c r="E240" s="2"/>
      <c r="F240" s="7">
        <f t="shared" si="101"/>
        <v>5.4661339490482928E-3</v>
      </c>
      <c r="G240" s="2"/>
      <c r="H240" s="6">
        <v>1288.3900000000001</v>
      </c>
      <c r="I240" s="2"/>
      <c r="J240" s="7">
        <f t="shared" si="102"/>
        <v>1.6618945303548791E-3</v>
      </c>
      <c r="K240" s="2"/>
      <c r="L240" s="6">
        <f t="shared" si="103"/>
        <v>2275.38</v>
      </c>
      <c r="M240" s="2"/>
      <c r="N240" s="7">
        <f t="shared" si="104"/>
        <v>1.7660646232895318</v>
      </c>
      <c r="O240" s="11"/>
      <c r="P240" s="6">
        <v>12911.1</v>
      </c>
      <c r="Q240" s="2"/>
      <c r="R240" s="7">
        <f t="shared" si="105"/>
        <v>1.8077767213460683E-3</v>
      </c>
      <c r="S240" s="2"/>
      <c r="T240" s="6">
        <v>25063.63</v>
      </c>
      <c r="U240" s="2"/>
      <c r="V240" s="7">
        <f t="shared" si="106"/>
        <v>3.3565513900525646E-3</v>
      </c>
      <c r="W240" s="2"/>
      <c r="X240" s="6">
        <f t="shared" si="107"/>
        <v>-12152.53</v>
      </c>
      <c r="Y240" s="2"/>
      <c r="Z240" s="7">
        <f t="shared" si="108"/>
        <v>-0.48486711621580753</v>
      </c>
    </row>
    <row r="241" spans="1:26" s="24" customFormat="1" hidden="1" outlineLevel="2" x14ac:dyDescent="0.25">
      <c r="A241" s="26"/>
      <c r="B241" s="11" t="str">
        <f>CONCATENATE("          ", "6245", " - ", "PRINTING")</f>
        <v xml:space="preserve">          6245 - PRINTING</v>
      </c>
      <c r="C241" s="11"/>
      <c r="D241" s="6">
        <v>748.76</v>
      </c>
      <c r="E241" s="2"/>
      <c r="F241" s="7">
        <f t="shared" si="101"/>
        <v>1.1484530302711454E-3</v>
      </c>
      <c r="G241" s="2"/>
      <c r="H241" s="6">
        <v>2689.99</v>
      </c>
      <c r="I241" s="2"/>
      <c r="J241" s="7">
        <f t="shared" si="102"/>
        <v>3.4698186633777975E-3</v>
      </c>
      <c r="K241" s="2"/>
      <c r="L241" s="6">
        <f t="shared" si="103"/>
        <v>-1941.2299999999998</v>
      </c>
      <c r="M241" s="2"/>
      <c r="N241" s="7">
        <f t="shared" si="104"/>
        <v>-0.72164952286067974</v>
      </c>
      <c r="O241" s="11"/>
      <c r="P241" s="6">
        <v>5675.55</v>
      </c>
      <c r="Q241" s="2"/>
      <c r="R241" s="7">
        <f t="shared" si="105"/>
        <v>7.9467490537875763E-4</v>
      </c>
      <c r="S241" s="2"/>
      <c r="T241" s="6">
        <v>9364.77</v>
      </c>
      <c r="U241" s="2"/>
      <c r="V241" s="7">
        <f t="shared" si="106"/>
        <v>1.2541412301818435E-3</v>
      </c>
      <c r="W241" s="2"/>
      <c r="X241" s="6">
        <f t="shared" si="107"/>
        <v>-3689.2200000000003</v>
      </c>
      <c r="Y241" s="2"/>
      <c r="Z241" s="7">
        <f t="shared" si="108"/>
        <v>-0.39394667461133592</v>
      </c>
    </row>
    <row r="242" spans="1:26" s="24" customFormat="1" hidden="1" outlineLevel="2" x14ac:dyDescent="0.25">
      <c r="A242" s="26"/>
      <c r="B242" s="11" t="str">
        <f>CONCATENATE("          ", "6247", " - ", "STORE SUPPLIES")</f>
        <v xml:space="preserve">          6247 - STORE SUPPLIES</v>
      </c>
      <c r="C242" s="11"/>
      <c r="D242" s="6">
        <v>2605.44</v>
      </c>
      <c r="E242" s="2"/>
      <c r="F242" s="7">
        <f t="shared" si="101"/>
        <v>3.9962410694877578E-3</v>
      </c>
      <c r="G242" s="2"/>
      <c r="H242" s="6">
        <v>663.45</v>
      </c>
      <c r="I242" s="2"/>
      <c r="J242" s="7">
        <f t="shared" si="102"/>
        <v>8.5578429370295058E-4</v>
      </c>
      <c r="K242" s="2"/>
      <c r="L242" s="6">
        <f t="shared" si="103"/>
        <v>1941.99</v>
      </c>
      <c r="M242" s="2"/>
      <c r="N242" s="7">
        <f t="shared" si="104"/>
        <v>2.9271082975356091</v>
      </c>
      <c r="O242" s="11"/>
      <c r="P242" s="6">
        <v>41780.11</v>
      </c>
      <c r="Q242" s="2"/>
      <c r="R242" s="7">
        <f t="shared" si="105"/>
        <v>5.849936122660198E-3</v>
      </c>
      <c r="S242" s="2"/>
      <c r="T242" s="6">
        <v>53527.839999999997</v>
      </c>
      <c r="U242" s="2"/>
      <c r="V242" s="7">
        <f t="shared" si="106"/>
        <v>7.1685125322433841E-3</v>
      </c>
      <c r="W242" s="2"/>
      <c r="X242" s="6">
        <f t="shared" si="107"/>
        <v>-11747.729999999996</v>
      </c>
      <c r="Y242" s="2"/>
      <c r="Z242" s="7">
        <f t="shared" si="108"/>
        <v>-0.21946953211637152</v>
      </c>
    </row>
    <row r="243" spans="1:26" s="24" customFormat="1" hidden="1" outlineLevel="2" x14ac:dyDescent="0.25">
      <c r="A243" s="26"/>
      <c r="B243" s="11" t="str">
        <f>CONCATENATE("          ", "6248", " - ", "UNIFORMS")</f>
        <v xml:space="preserve">          6248 - UNIFORMS</v>
      </c>
      <c r="C243" s="11"/>
      <c r="D243" s="6"/>
      <c r="E243" s="2"/>
      <c r="F243" s="7">
        <f t="shared" si="101"/>
        <v>0</v>
      </c>
      <c r="G243" s="2"/>
      <c r="H243" s="6"/>
      <c r="I243" s="2"/>
      <c r="J243" s="7">
        <f t="shared" si="102"/>
        <v>0</v>
      </c>
      <c r="K243" s="2"/>
      <c r="L243" s="6">
        <f t="shared" si="103"/>
        <v>0</v>
      </c>
      <c r="M243" s="2"/>
      <c r="N243" s="7">
        <f t="shared" si="104"/>
        <v>0</v>
      </c>
      <c r="O243" s="11"/>
      <c r="P243" s="6"/>
      <c r="Q243" s="2"/>
      <c r="R243" s="7">
        <f t="shared" si="105"/>
        <v>0</v>
      </c>
      <c r="S243" s="2"/>
      <c r="T243" s="6">
        <v>1250.18</v>
      </c>
      <c r="U243" s="2"/>
      <c r="V243" s="7">
        <f t="shared" si="106"/>
        <v>1.6742560502273275E-4</v>
      </c>
      <c r="W243" s="2"/>
      <c r="X243" s="6">
        <f t="shared" si="107"/>
        <v>-1250.18</v>
      </c>
      <c r="Y243" s="2"/>
      <c r="Z243" s="7">
        <f t="shared" si="108"/>
        <v>-1</v>
      </c>
    </row>
    <row r="244" spans="1:26" s="27" customFormat="1" outlineLevel="1" collapsed="1" x14ac:dyDescent="0.25">
      <c r="A244" s="25"/>
      <c r="B244" s="13" t="str">
        <f>CONCATENATE("     ","Telephone/Data Lines                              ")</f>
        <v xml:space="preserve">     Telephone/Data Lines                              </v>
      </c>
      <c r="C244" s="13"/>
      <c r="D244" s="1">
        <f>SUM(OSRRefD22_22x_0)</f>
        <v>2949.45</v>
      </c>
      <c r="E244" s="1"/>
      <c r="F244" s="5">
        <f t="shared" ref="F244:F246" si="109">IF(D$12=0,0,D244/D$12)</f>
        <v>4.5238858781628689E-3</v>
      </c>
      <c r="G244" s="1"/>
      <c r="H244" s="1">
        <f>SUM(OSRRefH22_22x_0)</f>
        <v>2504.71</v>
      </c>
      <c r="I244" s="1"/>
      <c r="J244" s="5">
        <f t="shared" ref="J244:J246" si="110">IF(H$12=0,0,H244/H$12)</f>
        <v>3.2308259526425765E-3</v>
      </c>
      <c r="K244" s="1"/>
      <c r="L244" s="1">
        <f t="shared" ref="L244:L246" si="111">+D244-H244</f>
        <v>444.73999999999978</v>
      </c>
      <c r="M244" s="1"/>
      <c r="N244" s="5">
        <f t="shared" ref="N244:N246" si="112">IF(H244=0,0,L244/H244)</f>
        <v>0.17756147418263982</v>
      </c>
      <c r="O244" s="13"/>
      <c r="P244" s="1">
        <f>SUM(OSRRefP22_22x_0)</f>
        <v>18101.52</v>
      </c>
      <c r="Q244" s="1"/>
      <c r="R244" s="5">
        <f t="shared" ref="R244:R246" si="113">IF(P$12=0,0,P244/P$12)</f>
        <v>2.5345250580492973E-3</v>
      </c>
      <c r="S244" s="1"/>
      <c r="T244" s="1">
        <f>SUM(OSRRefT22_22x_0)</f>
        <v>18027.129999999997</v>
      </c>
      <c r="U244" s="1"/>
      <c r="V244" s="5">
        <f t="shared" ref="V244:V246" si="114">IF(T$12=0,0,T244/T$12)</f>
        <v>2.4142148707173815E-3</v>
      </c>
      <c r="W244" s="1"/>
      <c r="X244" s="1">
        <f t="shared" ref="X244:X246" si="115">+P244-T244</f>
        <v>74.390000000003056</v>
      </c>
      <c r="Y244" s="1"/>
      <c r="Z244" s="5">
        <f t="shared" ref="Z244:Z246" si="116">IF(T244=0,0,X244/T244)</f>
        <v>4.1265581376515878E-3</v>
      </c>
    </row>
    <row r="245" spans="1:26" s="24" customFormat="1" hidden="1" outlineLevel="2" x14ac:dyDescent="0.25">
      <c r="A245" s="26"/>
      <c r="B245" s="11" t="str">
        <f>CONCATENATE("          ", "6303", " - ", "DATA PHONE LINES")</f>
        <v xml:space="preserve">          6303 - DATA PHONE LINES</v>
      </c>
      <c r="C245" s="11"/>
      <c r="D245" s="6">
        <v>295</v>
      </c>
      <c r="E245" s="2"/>
      <c r="F245" s="7">
        <f t="shared" si="109"/>
        <v>4.5247294717932037E-4</v>
      </c>
      <c r="G245" s="2"/>
      <c r="H245" s="6"/>
      <c r="I245" s="2"/>
      <c r="J245" s="7">
        <f t="shared" si="110"/>
        <v>0</v>
      </c>
      <c r="K245" s="2"/>
      <c r="L245" s="6">
        <f t="shared" si="111"/>
        <v>295</v>
      </c>
      <c r="M245" s="2"/>
      <c r="N245" s="7">
        <f t="shared" si="112"/>
        <v>0</v>
      </c>
      <c r="O245" s="11"/>
      <c r="P245" s="6">
        <v>1770</v>
      </c>
      <c r="Q245" s="2"/>
      <c r="R245" s="7">
        <f t="shared" si="113"/>
        <v>2.4783053316778129E-4</v>
      </c>
      <c r="S245" s="2"/>
      <c r="T245" s="6">
        <v>885</v>
      </c>
      <c r="U245" s="2"/>
      <c r="V245" s="7">
        <f t="shared" si="114"/>
        <v>1.1852026143844764E-4</v>
      </c>
      <c r="W245" s="2"/>
      <c r="X245" s="6">
        <f t="shared" si="115"/>
        <v>885</v>
      </c>
      <c r="Y245" s="2"/>
      <c r="Z245" s="7">
        <f t="shared" si="116"/>
        <v>1</v>
      </c>
    </row>
    <row r="246" spans="1:26" s="24" customFormat="1" hidden="1" outlineLevel="2" x14ac:dyDescent="0.25">
      <c r="A246" s="26"/>
      <c r="B246" s="11" t="str">
        <f>CONCATENATE("          ", "6309", " - ", "TELEPHONE")</f>
        <v xml:space="preserve">          6309 - TELEPHONE</v>
      </c>
      <c r="C246" s="11"/>
      <c r="D246" s="6">
        <v>2654.45</v>
      </c>
      <c r="E246" s="2"/>
      <c r="F246" s="7">
        <f t="shared" si="109"/>
        <v>4.0714129309835489E-3</v>
      </c>
      <c r="G246" s="2"/>
      <c r="H246" s="6">
        <v>2504.71</v>
      </c>
      <c r="I246" s="2"/>
      <c r="J246" s="7">
        <f t="shared" si="110"/>
        <v>3.2308259526425765E-3</v>
      </c>
      <c r="K246" s="2"/>
      <c r="L246" s="6">
        <f t="shared" si="111"/>
        <v>149.73999999999978</v>
      </c>
      <c r="M246" s="2"/>
      <c r="N246" s="7">
        <f t="shared" si="112"/>
        <v>5.978336813443464E-2</v>
      </c>
      <c r="O246" s="11"/>
      <c r="P246" s="6">
        <v>16331.52</v>
      </c>
      <c r="Q246" s="2"/>
      <c r="R246" s="7">
        <f t="shared" si="113"/>
        <v>2.286694524881516E-3</v>
      </c>
      <c r="S246" s="2"/>
      <c r="T246" s="6">
        <v>17142.129999999997</v>
      </c>
      <c r="U246" s="2"/>
      <c r="V246" s="7">
        <f t="shared" si="114"/>
        <v>2.2956946092789338E-3</v>
      </c>
      <c r="W246" s="2"/>
      <c r="X246" s="6">
        <f t="shared" si="115"/>
        <v>-810.60999999999694</v>
      </c>
      <c r="Y246" s="2"/>
      <c r="Z246" s="7">
        <f t="shared" si="116"/>
        <v>-4.7287589115238136E-2</v>
      </c>
    </row>
    <row r="247" spans="1:26" s="27" customFormat="1" outlineLevel="1" collapsed="1" x14ac:dyDescent="0.25">
      <c r="A247" s="25"/>
      <c r="B247" s="13" t="str">
        <f>CONCATENATE("     ","Training                                          ")</f>
        <v xml:space="preserve">     Training                                          </v>
      </c>
      <c r="C247" s="13"/>
      <c r="D247" s="1">
        <f>SUM(OSRRefD22_23x_0)</f>
        <v>0</v>
      </c>
      <c r="E247" s="1"/>
      <c r="F247" s="5">
        <f t="shared" ref="F247:F252" si="117">IF(D$12=0,0,D247/D$12)</f>
        <v>0</v>
      </c>
      <c r="G247" s="1"/>
      <c r="H247" s="1">
        <f>SUM(OSRRefH22_23x_0)</f>
        <v>1890.17</v>
      </c>
      <c r="I247" s="1"/>
      <c r="J247" s="5">
        <f t="shared" ref="J247:J252" si="118">IF(H$12=0,0,H247/H$12)</f>
        <v>2.438130678164905E-3</v>
      </c>
      <c r="K247" s="1"/>
      <c r="L247" s="1">
        <f t="shared" ref="L247:L252" si="119">+D247-H247</f>
        <v>-1890.17</v>
      </c>
      <c r="M247" s="1"/>
      <c r="N247" s="5">
        <f t="shared" ref="N247:N252" si="120">IF(H247=0,0,L247/H247)</f>
        <v>-1</v>
      </c>
      <c r="O247" s="13"/>
      <c r="P247" s="1">
        <f>SUM(OSRRefP22_23x_0)</f>
        <v>7659.8</v>
      </c>
      <c r="Q247" s="1"/>
      <c r="R247" s="5">
        <f t="shared" ref="R247:R252" si="121">IF(P$12=0,0,P247/P$12)</f>
        <v>1.0725041344398706E-3</v>
      </c>
      <c r="S247" s="1"/>
      <c r="T247" s="1">
        <f>SUM(OSRRefT22_23x_0)</f>
        <v>5319.7</v>
      </c>
      <c r="U247" s="1"/>
      <c r="V247" s="5">
        <f t="shared" ref="V247:V252" si="122">IF(T$12=0,0,T247/T$12)</f>
        <v>7.1242060426453095E-4</v>
      </c>
      <c r="W247" s="1"/>
      <c r="X247" s="1">
        <f t="shared" ref="X247:X252" si="123">+P247-T247</f>
        <v>2340.1000000000004</v>
      </c>
      <c r="Y247" s="1"/>
      <c r="Z247" s="5">
        <f t="shared" ref="Z247:Z252" si="124">IF(T247=0,0,X247/T247)</f>
        <v>0.4398932270616765</v>
      </c>
    </row>
    <row r="248" spans="1:26" s="24" customFormat="1" hidden="1" outlineLevel="2" x14ac:dyDescent="0.25">
      <c r="A248" s="26"/>
      <c r="B248" s="11" t="str">
        <f>CONCATENATE("          ", "6376", " - ", "TRAINING")</f>
        <v xml:space="preserve">          6376 - TRAINING</v>
      </c>
      <c r="C248" s="11"/>
      <c r="D248" s="6"/>
      <c r="E248" s="2"/>
      <c r="F248" s="7">
        <f t="shared" si="117"/>
        <v>0</v>
      </c>
      <c r="G248" s="2"/>
      <c r="H248" s="6">
        <v>1890.17</v>
      </c>
      <c r="I248" s="2"/>
      <c r="J248" s="7">
        <f t="shared" si="118"/>
        <v>2.438130678164905E-3</v>
      </c>
      <c r="K248" s="2"/>
      <c r="L248" s="6">
        <f t="shared" si="119"/>
        <v>-1890.17</v>
      </c>
      <c r="M248" s="2"/>
      <c r="N248" s="7">
        <f t="shared" si="120"/>
        <v>-1</v>
      </c>
      <c r="O248" s="11"/>
      <c r="P248" s="6">
        <v>7659.8</v>
      </c>
      <c r="Q248" s="2"/>
      <c r="R248" s="7">
        <f t="shared" si="121"/>
        <v>1.0725041344398706E-3</v>
      </c>
      <c r="S248" s="2"/>
      <c r="T248" s="6">
        <v>5319.7</v>
      </c>
      <c r="U248" s="2"/>
      <c r="V248" s="7">
        <f t="shared" si="122"/>
        <v>7.1242060426453095E-4</v>
      </c>
      <c r="W248" s="2"/>
      <c r="X248" s="6">
        <f t="shared" si="123"/>
        <v>2340.1000000000004</v>
      </c>
      <c r="Y248" s="2"/>
      <c r="Z248" s="7">
        <f t="shared" si="124"/>
        <v>0.4398932270616765</v>
      </c>
    </row>
    <row r="249" spans="1:26" s="27" customFormat="1" outlineLevel="1" collapsed="1" x14ac:dyDescent="0.25">
      <c r="A249" s="25"/>
      <c r="B249" s="13" t="str">
        <f>CONCATENATE("     ","Travel                                            ")</f>
        <v xml:space="preserve">     Travel                                            </v>
      </c>
      <c r="C249" s="13"/>
      <c r="D249" s="1">
        <f>SUM(OSRRefD22_24x_0)</f>
        <v>-159.65</v>
      </c>
      <c r="E249" s="1"/>
      <c r="F249" s="5">
        <f t="shared" si="117"/>
        <v>-2.4487222378704573E-4</v>
      </c>
      <c r="G249" s="1"/>
      <c r="H249" s="1">
        <f>SUM(OSRRefH22_24x_0)</f>
        <v>162.68</v>
      </c>
      <c r="I249" s="1"/>
      <c r="J249" s="5">
        <f t="shared" si="118"/>
        <v>2.0984096601039416E-4</v>
      </c>
      <c r="K249" s="1"/>
      <c r="L249" s="1">
        <f t="shared" si="119"/>
        <v>-322.33000000000004</v>
      </c>
      <c r="M249" s="1"/>
      <c r="N249" s="5">
        <f t="shared" si="120"/>
        <v>-1.9813744775018443</v>
      </c>
      <c r="O249" s="13"/>
      <c r="P249" s="1">
        <f>SUM(OSRRefP22_24x_0)</f>
        <v>1442.1</v>
      </c>
      <c r="Q249" s="1"/>
      <c r="R249" s="5">
        <f t="shared" si="121"/>
        <v>2.0191887676907194E-4</v>
      </c>
      <c r="S249" s="1"/>
      <c r="T249" s="1">
        <f>SUM(OSRRefT22_24x_0)</f>
        <v>1346.1999999999998</v>
      </c>
      <c r="U249" s="1"/>
      <c r="V249" s="5">
        <f t="shared" si="122"/>
        <v>1.8028471858580589E-4</v>
      </c>
      <c r="W249" s="1"/>
      <c r="X249" s="1">
        <f t="shared" si="123"/>
        <v>95.900000000000091</v>
      </c>
      <c r="Y249" s="1"/>
      <c r="Z249" s="5">
        <f t="shared" si="124"/>
        <v>7.1237557569454837E-2</v>
      </c>
    </row>
    <row r="250" spans="1:26" s="24" customFormat="1" hidden="1" outlineLevel="2" x14ac:dyDescent="0.25">
      <c r="A250" s="26"/>
      <c r="B250" s="11" t="str">
        <f>CONCATENATE("          ", "6292", " - ", "TRAVEL/CONFERENCE")</f>
        <v xml:space="preserve">          6292 - TRAVEL/CONFERENCE</v>
      </c>
      <c r="C250" s="11"/>
      <c r="D250" s="6">
        <v>-323.01</v>
      </c>
      <c r="E250" s="2"/>
      <c r="F250" s="7">
        <f t="shared" si="117"/>
        <v>-4.9543487006234661E-4</v>
      </c>
      <c r="G250" s="2"/>
      <c r="H250" s="6">
        <v>62.4</v>
      </c>
      <c r="I250" s="2"/>
      <c r="J250" s="7">
        <f t="shared" si="118"/>
        <v>8.0489773045540905E-5</v>
      </c>
      <c r="K250" s="2"/>
      <c r="L250" s="6">
        <f t="shared" si="119"/>
        <v>-385.40999999999997</v>
      </c>
      <c r="M250" s="2"/>
      <c r="N250" s="7">
        <f t="shared" si="120"/>
        <v>-6.176442307692307</v>
      </c>
      <c r="O250" s="11"/>
      <c r="P250" s="6">
        <v>365.6</v>
      </c>
      <c r="Q250" s="2"/>
      <c r="R250" s="7">
        <f t="shared" si="121"/>
        <v>5.1190306737932678E-5</v>
      </c>
      <c r="S250" s="2"/>
      <c r="T250" s="6">
        <v>691.14</v>
      </c>
      <c r="U250" s="2"/>
      <c r="V250" s="7">
        <f t="shared" si="122"/>
        <v>9.2558297729456165E-5</v>
      </c>
      <c r="W250" s="2"/>
      <c r="X250" s="6">
        <f t="shared" si="123"/>
        <v>-325.53999999999996</v>
      </c>
      <c r="Y250" s="2"/>
      <c r="Z250" s="7">
        <f t="shared" si="124"/>
        <v>-0.47101889631623112</v>
      </c>
    </row>
    <row r="251" spans="1:26" s="24" customFormat="1" hidden="1" outlineLevel="2" x14ac:dyDescent="0.25">
      <c r="A251" s="26"/>
      <c r="B251" s="11" t="str">
        <f>CONCATENATE("          ", "6294", " - ", "TRAVEL OPERATIONAL")</f>
        <v xml:space="preserve">          6294 - TRAVEL OPERATIONAL</v>
      </c>
      <c r="C251" s="11"/>
      <c r="D251" s="6">
        <v>125.14</v>
      </c>
      <c r="E251" s="2"/>
      <c r="F251" s="7">
        <f t="shared" si="117"/>
        <v>1.9194055800006831E-4</v>
      </c>
      <c r="G251" s="2"/>
      <c r="H251" s="6">
        <v>38.18</v>
      </c>
      <c r="I251" s="2"/>
      <c r="J251" s="7">
        <f t="shared" si="118"/>
        <v>4.9248389982031281E-5</v>
      </c>
      <c r="K251" s="2"/>
      <c r="L251" s="6">
        <f t="shared" si="119"/>
        <v>86.960000000000008</v>
      </c>
      <c r="M251" s="2"/>
      <c r="N251" s="7">
        <f t="shared" si="120"/>
        <v>2.2776322682032482</v>
      </c>
      <c r="O251" s="11"/>
      <c r="P251" s="6">
        <v>818.94</v>
      </c>
      <c r="Q251" s="2"/>
      <c r="R251" s="7">
        <f t="shared" si="121"/>
        <v>1.1466572702396768E-4</v>
      </c>
      <c r="S251" s="2"/>
      <c r="T251" s="6">
        <v>431.48</v>
      </c>
      <c r="U251" s="2"/>
      <c r="V251" s="7">
        <f t="shared" si="122"/>
        <v>5.7784319102216264E-5</v>
      </c>
      <c r="W251" s="2"/>
      <c r="X251" s="6">
        <f t="shared" si="123"/>
        <v>387.46000000000004</v>
      </c>
      <c r="Y251" s="2"/>
      <c r="Z251" s="7">
        <f t="shared" si="124"/>
        <v>0.89797904885510338</v>
      </c>
    </row>
    <row r="252" spans="1:26" s="24" customFormat="1" hidden="1" outlineLevel="2" x14ac:dyDescent="0.25">
      <c r="A252" s="26"/>
      <c r="B252" s="11" t="str">
        <f>CONCATENATE("          ", "6298", " - ", "VEHICLE MILEAGE")</f>
        <v xml:space="preserve">          6298 - VEHICLE MILEAGE</v>
      </c>
      <c r="C252" s="11"/>
      <c r="D252" s="6">
        <v>38.22</v>
      </c>
      <c r="E252" s="2"/>
      <c r="F252" s="7">
        <f t="shared" si="117"/>
        <v>5.8622088275232619E-5</v>
      </c>
      <c r="G252" s="2"/>
      <c r="H252" s="6">
        <v>62.1</v>
      </c>
      <c r="I252" s="2"/>
      <c r="J252" s="7">
        <f t="shared" si="118"/>
        <v>8.0102802982821958E-5</v>
      </c>
      <c r="K252" s="2"/>
      <c r="L252" s="6">
        <f t="shared" si="119"/>
        <v>-23.880000000000003</v>
      </c>
      <c r="M252" s="2"/>
      <c r="N252" s="7">
        <f t="shared" si="120"/>
        <v>-0.3845410628019324</v>
      </c>
      <c r="O252" s="11"/>
      <c r="P252" s="6">
        <v>257.56</v>
      </c>
      <c r="Q252" s="2"/>
      <c r="R252" s="7">
        <f t="shared" si="121"/>
        <v>3.6062843007171605E-5</v>
      </c>
      <c r="S252" s="2"/>
      <c r="T252" s="6">
        <v>223.58</v>
      </c>
      <c r="U252" s="2"/>
      <c r="V252" s="7">
        <f t="shared" si="122"/>
        <v>2.9942101754133476E-5</v>
      </c>
      <c r="W252" s="2"/>
      <c r="X252" s="6">
        <f t="shared" si="123"/>
        <v>33.97999999999999</v>
      </c>
      <c r="Y252" s="2"/>
      <c r="Z252" s="7">
        <f t="shared" si="124"/>
        <v>0.15198139368458713</v>
      </c>
    </row>
    <row r="253" spans="1:26" s="27" customFormat="1" outlineLevel="1" collapsed="1" x14ac:dyDescent="0.25">
      <c r="A253" s="25"/>
      <c r="B253" s="13" t="str">
        <f>CONCATENATE("     ","Utilities                                         ")</f>
        <v xml:space="preserve">     Utilities                                         </v>
      </c>
      <c r="C253" s="13"/>
      <c r="D253" s="1">
        <f>SUM(OSRRefD22_25x_0)</f>
        <v>11847.76</v>
      </c>
      <c r="E253" s="1"/>
      <c r="F253" s="5">
        <f t="shared" ref="F253:F254" si="125">IF(D$12=0,0,D253/D$12)</f>
        <v>1.8172172490417846E-2</v>
      </c>
      <c r="G253" s="1"/>
      <c r="H253" s="1">
        <f>SUM(OSRRefH22_25x_0)</f>
        <v>6735.49</v>
      </c>
      <c r="I253" s="1"/>
      <c r="J253" s="5">
        <f t="shared" ref="J253:J254" si="126">IF(H$12=0,0,H253/H$12)</f>
        <v>8.6881099591427941E-3</v>
      </c>
      <c r="K253" s="1"/>
      <c r="L253" s="1">
        <f t="shared" ref="L253:L254" si="127">+D253-H253</f>
        <v>5112.2700000000004</v>
      </c>
      <c r="M253" s="1"/>
      <c r="N253" s="5">
        <f t="shared" ref="N253:N254" si="128">IF(H253=0,0,L253/H253)</f>
        <v>0.75900491278288595</v>
      </c>
      <c r="O253" s="13"/>
      <c r="P253" s="1">
        <f>SUM(OSRRefP22_25x_0)</f>
        <v>37484.800000000003</v>
      </c>
      <c r="Q253" s="1"/>
      <c r="R253" s="5">
        <f t="shared" ref="R253:R254" si="129">IF(P$12=0,0,P253/P$12)</f>
        <v>5.2485186269421742E-3</v>
      </c>
      <c r="S253" s="1"/>
      <c r="T253" s="1">
        <f>SUM(OSRRefT22_25x_0)</f>
        <v>30682.220000000005</v>
      </c>
      <c r="U253" s="1"/>
      <c r="V253" s="5">
        <f t="shared" ref="V253:V254" si="130">IF(T$12=0,0,T253/T$12)</f>
        <v>4.1089997015954435E-3</v>
      </c>
      <c r="W253" s="1"/>
      <c r="X253" s="1">
        <f t="shared" ref="X253:X254" si="131">+P253-T253</f>
        <v>6802.5799999999981</v>
      </c>
      <c r="Y253" s="1"/>
      <c r="Z253" s="5">
        <f t="shared" ref="Z253:Z254" si="132">IF(T253=0,0,X253/T253)</f>
        <v>0.22171081492799402</v>
      </c>
    </row>
    <row r="254" spans="1:26" s="24" customFormat="1" hidden="1" outlineLevel="2" x14ac:dyDescent="0.25">
      <c r="A254" s="26"/>
      <c r="B254" s="11" t="str">
        <f>CONCATENATE("          ", "6274", " - ", "UTILITIES")</f>
        <v xml:space="preserve">          6274 - UTILITIES</v>
      </c>
      <c r="C254" s="11"/>
      <c r="D254" s="6">
        <v>11847.76</v>
      </c>
      <c r="E254" s="2"/>
      <c r="F254" s="7">
        <f t="shared" si="125"/>
        <v>1.8172172490417846E-2</v>
      </c>
      <c r="G254" s="2"/>
      <c r="H254" s="6">
        <v>6735.49</v>
      </c>
      <c r="I254" s="2"/>
      <c r="J254" s="7">
        <f t="shared" si="126"/>
        <v>8.6881099591427941E-3</v>
      </c>
      <c r="K254" s="2"/>
      <c r="L254" s="6">
        <f t="shared" si="127"/>
        <v>5112.2700000000004</v>
      </c>
      <c r="M254" s="2"/>
      <c r="N254" s="7">
        <f t="shared" si="128"/>
        <v>0.75900491278288595</v>
      </c>
      <c r="O254" s="11"/>
      <c r="P254" s="6">
        <v>37484.800000000003</v>
      </c>
      <c r="Q254" s="2"/>
      <c r="R254" s="7">
        <f t="shared" si="129"/>
        <v>5.2485186269421742E-3</v>
      </c>
      <c r="S254" s="2"/>
      <c r="T254" s="6">
        <v>30682.220000000005</v>
      </c>
      <c r="U254" s="2"/>
      <c r="V254" s="7">
        <f t="shared" si="130"/>
        <v>4.1089997015954435E-3</v>
      </c>
      <c r="W254" s="2"/>
      <c r="X254" s="6">
        <f t="shared" si="131"/>
        <v>6802.5799999999981</v>
      </c>
      <c r="Y254" s="2"/>
      <c r="Z254" s="7">
        <f t="shared" si="132"/>
        <v>0.22171081492799402</v>
      </c>
    </row>
    <row r="255" spans="1:26" s="61" customFormat="1" x14ac:dyDescent="0.25">
      <c r="A255" s="37"/>
      <c r="B255" s="37"/>
      <c r="C255" s="37"/>
      <c r="D255" s="1"/>
      <c r="E255" s="1"/>
      <c r="F255" s="5"/>
      <c r="G255" s="1"/>
      <c r="H255" s="1"/>
      <c r="I255" s="1"/>
      <c r="J255" s="5"/>
      <c r="K255" s="1"/>
      <c r="L255" s="1"/>
      <c r="M255" s="1"/>
      <c r="N255" s="5"/>
      <c r="O255" s="37"/>
      <c r="P255" s="1"/>
      <c r="Q255" s="1"/>
      <c r="R255" s="5"/>
      <c r="S255" s="1"/>
      <c r="T255" s="1"/>
      <c r="U255" s="1"/>
      <c r="V255" s="5"/>
      <c r="W255" s="1"/>
      <c r="X255" s="1"/>
      <c r="Y255" s="1"/>
      <c r="Z255" s="5"/>
    </row>
    <row r="256" spans="1:26" s="23" customFormat="1" collapsed="1" x14ac:dyDescent="0.25">
      <c r="A256" s="10"/>
      <c r="B256" s="28" t="s">
        <v>0</v>
      </c>
      <c r="C256" s="10"/>
      <c r="D256" s="4">
        <f>SUM(OSRRefD25x_0)</f>
        <v>23065.69</v>
      </c>
      <c r="E256" s="4"/>
      <c r="F256" s="12">
        <f t="shared" ref="F256:F265" si="133">IF(D$12=0,0,D256/D$12)</f>
        <v>3.5378307569574836E-2</v>
      </c>
      <c r="G256" s="4"/>
      <c r="H256" s="4">
        <f>SUM(OSRRefH25x_0)</f>
        <v>24160.67</v>
      </c>
      <c r="I256" s="4"/>
      <c r="J256" s="12">
        <f t="shared" ref="J256:J265" si="134">IF(H$12=0,0,H256/H$12)</f>
        <v>3.1164853284105908E-2</v>
      </c>
      <c r="K256" s="4"/>
      <c r="L256" s="4">
        <f t="shared" ref="L256:L265" si="135">+D256-H256</f>
        <v>-1094.9799999999996</v>
      </c>
      <c r="M256" s="4"/>
      <c r="N256" s="12">
        <f t="shared" ref="N256:N265" si="136">IF(H256=0,0,L256/H256)</f>
        <v>-4.5320763041753379E-2</v>
      </c>
      <c r="O256" s="10"/>
      <c r="P256" s="4">
        <f>SUM(OSRRefP25x_0)</f>
        <v>423466.33</v>
      </c>
      <c r="Q256" s="4"/>
      <c r="R256" s="12">
        <f t="shared" ref="R256:R265" si="137">IF(P$12=0,0,P256/P$12)</f>
        <v>5.9292591153956846E-2</v>
      </c>
      <c r="S256" s="4"/>
      <c r="T256" s="4">
        <f>SUM(OSRRefT25x_0)</f>
        <v>391333.16000000003</v>
      </c>
      <c r="U256" s="4"/>
      <c r="V256" s="12">
        <f t="shared" ref="V256:V265" si="138">IF(T$12=0,0,T256/T$12)</f>
        <v>5.2407806138682338E-2</v>
      </c>
      <c r="W256" s="4"/>
      <c r="X256" s="4">
        <f t="shared" ref="X256:X265" si="139">+P256-T256</f>
        <v>32133.169999999984</v>
      </c>
      <c r="Y256" s="4"/>
      <c r="Z256" s="12">
        <f t="shared" ref="Z256:Z265" si="140">IF(T256=0,0,X256/T256)</f>
        <v>8.2112055109257745E-2</v>
      </c>
    </row>
    <row r="257" spans="1:26" s="24" customFormat="1" hidden="1" outlineLevel="1" x14ac:dyDescent="0.25">
      <c r="A257" s="44"/>
      <c r="B257" s="11" t="str">
        <f>CONCATENATE("          ", "4098", " - ", "TAXABLE SALES-GRAD RENTALS")</f>
        <v xml:space="preserve">          4098 - TAXABLE SALES-GRAD RENTALS</v>
      </c>
      <c r="C257" s="11"/>
      <c r="D257" s="2">
        <f t="shared" ref="D257:D259" si="141">0</f>
        <v>0</v>
      </c>
      <c r="E257" s="2"/>
      <c r="F257" s="19">
        <f t="shared" si="133"/>
        <v>0</v>
      </c>
      <c r="G257" s="2"/>
      <c r="H257" s="2">
        <f>--1289</f>
        <v>1289</v>
      </c>
      <c r="I257" s="2"/>
      <c r="J257" s="19">
        <f t="shared" si="134"/>
        <v>1.6626813694824076E-3</v>
      </c>
      <c r="K257" s="2"/>
      <c r="L257" s="2">
        <f t="shared" si="135"/>
        <v>-1289</v>
      </c>
      <c r="M257" s="2"/>
      <c r="N257" s="19">
        <f t="shared" si="136"/>
        <v>-1</v>
      </c>
      <c r="O257" s="11"/>
      <c r="P257" s="2">
        <f>--1626.85</f>
        <v>1626.85</v>
      </c>
      <c r="Q257" s="2"/>
      <c r="R257" s="19">
        <f t="shared" si="137"/>
        <v>2.2778706377627397E-4</v>
      </c>
      <c r="S257" s="2"/>
      <c r="T257" s="2">
        <f>--2269.5</f>
        <v>2269.5</v>
      </c>
      <c r="U257" s="2"/>
      <c r="V257" s="19">
        <f t="shared" si="138"/>
        <v>3.0393416195995132E-4</v>
      </c>
      <c r="W257" s="2"/>
      <c r="X257" s="2">
        <f t="shared" si="139"/>
        <v>-642.65000000000009</v>
      </c>
      <c r="Y257" s="2"/>
      <c r="Z257" s="19">
        <f t="shared" si="140"/>
        <v>-0.28316809870015425</v>
      </c>
    </row>
    <row r="258" spans="1:26" s="24" customFormat="1" hidden="1" outlineLevel="1" x14ac:dyDescent="0.25">
      <c r="A258" s="44"/>
      <c r="B258" s="11" t="str">
        <f>CONCATENATE("          ", "4197", " - ", "NON-TAXABLE SALES-RETURNED CHE")</f>
        <v xml:space="preserve">          4197 - NON-TAXABLE SALES-RETURNED CHE</v>
      </c>
      <c r="C258" s="11"/>
      <c r="D258" s="2">
        <f t="shared" si="141"/>
        <v>0</v>
      </c>
      <c r="E258" s="2"/>
      <c r="F258" s="19">
        <f t="shared" si="133"/>
        <v>0</v>
      </c>
      <c r="G258" s="2"/>
      <c r="H258" s="2">
        <f t="shared" ref="H258:H259" si="142">0</f>
        <v>0</v>
      </c>
      <c r="I258" s="2"/>
      <c r="J258" s="19">
        <f t="shared" si="134"/>
        <v>0</v>
      </c>
      <c r="K258" s="2"/>
      <c r="L258" s="2">
        <f t="shared" si="135"/>
        <v>0</v>
      </c>
      <c r="M258" s="2"/>
      <c r="N258" s="19">
        <f t="shared" si="136"/>
        <v>0</v>
      </c>
      <c r="O258" s="11"/>
      <c r="P258" s="2">
        <f>--30</f>
        <v>30</v>
      </c>
      <c r="Q258" s="2"/>
      <c r="R258" s="19">
        <f t="shared" si="137"/>
        <v>4.2005175113183264E-6</v>
      </c>
      <c r="S258" s="2"/>
      <c r="T258" s="2">
        <f>--260</f>
        <v>260</v>
      </c>
      <c r="U258" s="2"/>
      <c r="V258" s="19">
        <f t="shared" si="138"/>
        <v>3.4819511835024166E-5</v>
      </c>
      <c r="W258" s="2"/>
      <c r="X258" s="2">
        <f t="shared" si="139"/>
        <v>-230</v>
      </c>
      <c r="Y258" s="2"/>
      <c r="Z258" s="19">
        <f t="shared" si="140"/>
        <v>-0.88461538461538458</v>
      </c>
    </row>
    <row r="259" spans="1:26" s="24" customFormat="1" hidden="1" outlineLevel="1" x14ac:dyDescent="0.25">
      <c r="A259" s="44"/>
      <c r="B259" s="11" t="str">
        <f>CONCATENATE("          ", "4198", " - ", "NON-TAXABLE SALES-GRAD RENTALS")</f>
        <v xml:space="preserve">          4198 - NON-TAXABLE SALES-GRAD RENTALS</v>
      </c>
      <c r="C259" s="11"/>
      <c r="D259" s="2">
        <f t="shared" si="141"/>
        <v>0</v>
      </c>
      <c r="E259" s="2"/>
      <c r="F259" s="19">
        <f t="shared" si="133"/>
        <v>0</v>
      </c>
      <c r="G259" s="2"/>
      <c r="H259" s="2">
        <f t="shared" si="142"/>
        <v>0</v>
      </c>
      <c r="I259" s="2"/>
      <c r="J259" s="19">
        <f t="shared" si="134"/>
        <v>0</v>
      </c>
      <c r="K259" s="2"/>
      <c r="L259" s="2">
        <f t="shared" si="135"/>
        <v>0</v>
      </c>
      <c r="M259" s="2"/>
      <c r="N259" s="19">
        <f t="shared" si="136"/>
        <v>0</v>
      </c>
      <c r="O259" s="11"/>
      <c r="P259" s="2">
        <f>--495</f>
        <v>495</v>
      </c>
      <c r="Q259" s="2"/>
      <c r="R259" s="19">
        <f t="shared" si="137"/>
        <v>6.9308538936752384E-5</v>
      </c>
      <c r="S259" s="2"/>
      <c r="T259" s="2">
        <f>--450</f>
        <v>450</v>
      </c>
      <c r="U259" s="2"/>
      <c r="V259" s="19">
        <f t="shared" si="138"/>
        <v>6.0264539714464904E-5</v>
      </c>
      <c r="W259" s="2"/>
      <c r="X259" s="2">
        <f t="shared" si="139"/>
        <v>45</v>
      </c>
      <c r="Y259" s="2"/>
      <c r="Z259" s="19">
        <f t="shared" si="140"/>
        <v>0.1</v>
      </c>
    </row>
    <row r="260" spans="1:26" s="24" customFormat="1" hidden="1" outlineLevel="1" x14ac:dyDescent="0.25">
      <c r="A260" s="44"/>
      <c r="B260" s="11" t="str">
        <f>CONCATENATE("          ", "9150", " - ", "MISC. INCOME")</f>
        <v xml:space="preserve">          9150 - MISC. INCOME</v>
      </c>
      <c r="C260" s="11"/>
      <c r="D260" s="2">
        <f>--19415.01</f>
        <v>19415.009999999998</v>
      </c>
      <c r="E260" s="2"/>
      <c r="F260" s="19">
        <f t="shared" si="133"/>
        <v>2.9778870488867713E-2</v>
      </c>
      <c r="G260" s="2"/>
      <c r="H260" s="2">
        <f>--22281.5</f>
        <v>22281.5</v>
      </c>
      <c r="I260" s="2"/>
      <c r="J260" s="19">
        <f t="shared" si="134"/>
        <v>2.87409115082407E-2</v>
      </c>
      <c r="K260" s="2"/>
      <c r="L260" s="2">
        <f t="shared" si="135"/>
        <v>-2866.4900000000016</v>
      </c>
      <c r="M260" s="2"/>
      <c r="N260" s="19">
        <f t="shared" si="136"/>
        <v>-0.12864887911496092</v>
      </c>
      <c r="O260" s="11"/>
      <c r="P260" s="2">
        <f>--245559.66</f>
        <v>245559.66</v>
      </c>
      <c r="Q260" s="2"/>
      <c r="R260" s="19">
        <f t="shared" si="137"/>
        <v>3.438258839677915E-2</v>
      </c>
      <c r="S260" s="2"/>
      <c r="T260" s="2">
        <f>--383568.81</f>
        <v>383568.81</v>
      </c>
      <c r="U260" s="2"/>
      <c r="V260" s="19">
        <f t="shared" si="138"/>
        <v>5.1367995074388988E-2</v>
      </c>
      <c r="W260" s="2"/>
      <c r="X260" s="2">
        <f t="shared" si="139"/>
        <v>-138009.15</v>
      </c>
      <c r="Y260" s="2"/>
      <c r="Z260" s="19">
        <f t="shared" si="140"/>
        <v>-0.35980284736915913</v>
      </c>
    </row>
    <row r="261" spans="1:26" s="24" customFormat="1" hidden="1" outlineLevel="1" x14ac:dyDescent="0.25">
      <c r="A261" s="44"/>
      <c r="B261" s="11" t="str">
        <f>CONCATENATE("          ", "9151", " - ", "MISC. INCOME")</f>
        <v xml:space="preserve">          9151 - MISC. INCOME</v>
      </c>
      <c r="C261" s="11"/>
      <c r="D261" s="2">
        <f>--268.24</f>
        <v>268.24</v>
      </c>
      <c r="E261" s="2"/>
      <c r="F261" s="19">
        <f t="shared" si="133"/>
        <v>4.1142828254705387E-4</v>
      </c>
      <c r="G261" s="2"/>
      <c r="H261" s="2">
        <f>0</f>
        <v>0</v>
      </c>
      <c r="I261" s="2"/>
      <c r="J261" s="19">
        <f t="shared" si="134"/>
        <v>0</v>
      </c>
      <c r="K261" s="2"/>
      <c r="L261" s="2">
        <f t="shared" si="135"/>
        <v>268.24</v>
      </c>
      <c r="M261" s="2"/>
      <c r="N261" s="19">
        <f t="shared" si="136"/>
        <v>0</v>
      </c>
      <c r="O261" s="11"/>
      <c r="P261" s="2">
        <f>--87492.51</f>
        <v>87492.51</v>
      </c>
      <c r="Q261" s="2"/>
      <c r="R261" s="19">
        <f t="shared" si="137"/>
        <v>1.2250460678806458E-2</v>
      </c>
      <c r="S261" s="2"/>
      <c r="T261" s="2">
        <f>--649.77</f>
        <v>649.77</v>
      </c>
      <c r="U261" s="2"/>
      <c r="V261" s="19">
        <f t="shared" si="138"/>
        <v>8.7017977711706352E-5</v>
      </c>
      <c r="W261" s="2"/>
      <c r="X261" s="2">
        <f t="shared" si="139"/>
        <v>86842.739999999991</v>
      </c>
      <c r="Y261" s="2"/>
      <c r="Z261" s="19">
        <f t="shared" si="140"/>
        <v>133.65150745648458</v>
      </c>
    </row>
    <row r="262" spans="1:26" s="24" customFormat="1" hidden="1" outlineLevel="1" x14ac:dyDescent="0.25">
      <c r="A262" s="44"/>
      <c r="B262" s="11" t="str">
        <f>CONCATENATE("          ", "9152", " - ", "MISC. INCOME")</f>
        <v xml:space="preserve">          9152 - MISC. INCOME</v>
      </c>
      <c r="C262" s="11"/>
      <c r="D262" s="2">
        <f>--3382.44</f>
        <v>3382.44</v>
      </c>
      <c r="E262" s="2"/>
      <c r="F262" s="19">
        <f t="shared" si="133"/>
        <v>5.1880087981600693E-3</v>
      </c>
      <c r="G262" s="2"/>
      <c r="H262" s="2">
        <f>--590.17</f>
        <v>590.16999999999996</v>
      </c>
      <c r="I262" s="2"/>
      <c r="J262" s="19">
        <f t="shared" si="134"/>
        <v>7.6126040638280245E-4</v>
      </c>
      <c r="K262" s="2"/>
      <c r="L262" s="2">
        <f t="shared" si="135"/>
        <v>2792.27</v>
      </c>
      <c r="M262" s="2"/>
      <c r="N262" s="19">
        <f t="shared" si="136"/>
        <v>4.7312977616618941</v>
      </c>
      <c r="O262" s="11"/>
      <c r="P262" s="2">
        <f>--4230.76</f>
        <v>4230.76</v>
      </c>
      <c r="Q262" s="2"/>
      <c r="R262" s="19">
        <f t="shared" si="137"/>
        <v>5.9237938220617077E-4</v>
      </c>
      <c r="S262" s="2"/>
      <c r="T262" s="2">
        <f>--3845.08</f>
        <v>3845.08</v>
      </c>
      <c r="U262" s="2"/>
      <c r="V262" s="19">
        <f t="shared" si="138"/>
        <v>5.1493772525621048E-4</v>
      </c>
      <c r="W262" s="2"/>
      <c r="X262" s="2">
        <f t="shared" si="139"/>
        <v>385.68000000000029</v>
      </c>
      <c r="Y262" s="2"/>
      <c r="Z262" s="19">
        <f t="shared" si="140"/>
        <v>0.10030480510158445</v>
      </c>
    </row>
    <row r="263" spans="1:26" s="24" customFormat="1" hidden="1" outlineLevel="1" x14ac:dyDescent="0.25">
      <c r="A263" s="44"/>
      <c r="B263" s="11" t="str">
        <f>CONCATENATE("          ", "9153", " - ", "MISC. INCOME")</f>
        <v xml:space="preserve">          9153 - MISC. INCOME</v>
      </c>
      <c r="C263" s="11"/>
      <c r="D263" s="2">
        <f t="shared" ref="D263:D265" si="143">0</f>
        <v>0</v>
      </c>
      <c r="E263" s="2"/>
      <c r="F263" s="19">
        <f t="shared" si="133"/>
        <v>0</v>
      </c>
      <c r="G263" s="2"/>
      <c r="H263" s="2">
        <f t="shared" ref="H263:H265" si="144">0</f>
        <v>0</v>
      </c>
      <c r="I263" s="2"/>
      <c r="J263" s="19">
        <f t="shared" si="134"/>
        <v>0</v>
      </c>
      <c r="K263" s="2"/>
      <c r="L263" s="2">
        <f t="shared" si="135"/>
        <v>0</v>
      </c>
      <c r="M263" s="2"/>
      <c r="N263" s="19">
        <f t="shared" si="136"/>
        <v>0</v>
      </c>
      <c r="O263" s="11"/>
      <c r="P263" s="2">
        <f>--450</f>
        <v>450</v>
      </c>
      <c r="Q263" s="2"/>
      <c r="R263" s="19">
        <f t="shared" si="137"/>
        <v>6.3007762669774897E-5</v>
      </c>
      <c r="S263" s="2"/>
      <c r="T263" s="2">
        <f>0</f>
        <v>0</v>
      </c>
      <c r="U263" s="2"/>
      <c r="V263" s="19">
        <f t="shared" si="138"/>
        <v>0</v>
      </c>
      <c r="W263" s="2"/>
      <c r="X263" s="2">
        <f t="shared" si="139"/>
        <v>450</v>
      </c>
      <c r="Y263" s="2"/>
      <c r="Z263" s="19">
        <f t="shared" si="140"/>
        <v>0</v>
      </c>
    </row>
    <row r="264" spans="1:26" s="24" customFormat="1" hidden="1" outlineLevel="1" x14ac:dyDescent="0.25">
      <c r="A264" s="44"/>
      <c r="B264" s="11" t="str">
        <f>CONCATENATE("          ", "9160", " - ", "MISC. INCOME")</f>
        <v xml:space="preserve">          9160 - MISC. INCOME</v>
      </c>
      <c r="C264" s="11"/>
      <c r="D264" s="2">
        <f t="shared" si="143"/>
        <v>0</v>
      </c>
      <c r="E264" s="2"/>
      <c r="F264" s="19">
        <f t="shared" si="133"/>
        <v>0</v>
      </c>
      <c r="G264" s="2"/>
      <c r="H264" s="2">
        <f t="shared" si="144"/>
        <v>0</v>
      </c>
      <c r="I264" s="2"/>
      <c r="J264" s="19">
        <f t="shared" si="134"/>
        <v>0</v>
      </c>
      <c r="K264" s="2"/>
      <c r="L264" s="2">
        <f t="shared" si="135"/>
        <v>0</v>
      </c>
      <c r="M264" s="2"/>
      <c r="N264" s="19">
        <f t="shared" si="136"/>
        <v>0</v>
      </c>
      <c r="O264" s="11"/>
      <c r="P264" s="2">
        <f>--22475</f>
        <v>22475</v>
      </c>
      <c r="Q264" s="2"/>
      <c r="R264" s="19">
        <f t="shared" si="137"/>
        <v>3.146887702229313E-3</v>
      </c>
      <c r="S264" s="2"/>
      <c r="T264" s="2">
        <f>--290</f>
        <v>290</v>
      </c>
      <c r="U264" s="2"/>
      <c r="V264" s="19">
        <f t="shared" si="138"/>
        <v>3.8837147815988495E-5</v>
      </c>
      <c r="W264" s="2"/>
      <c r="X264" s="2">
        <f t="shared" si="139"/>
        <v>22185</v>
      </c>
      <c r="Y264" s="2"/>
      <c r="Z264" s="19">
        <f t="shared" si="140"/>
        <v>76.5</v>
      </c>
    </row>
    <row r="265" spans="1:26" s="24" customFormat="1" hidden="1" outlineLevel="1" x14ac:dyDescent="0.25">
      <c r="A265" s="44"/>
      <c r="B265" s="11" t="str">
        <f>CONCATENATE("          ", "9163", " - ", "MISC. INCOME")</f>
        <v xml:space="preserve">          9163 - MISC. INCOME</v>
      </c>
      <c r="C265" s="11"/>
      <c r="D265" s="2">
        <f t="shared" si="143"/>
        <v>0</v>
      </c>
      <c r="E265" s="2"/>
      <c r="F265" s="19">
        <f t="shared" si="133"/>
        <v>0</v>
      </c>
      <c r="G265" s="2"/>
      <c r="H265" s="2">
        <f t="shared" si="144"/>
        <v>0</v>
      </c>
      <c r="I265" s="2"/>
      <c r="J265" s="19">
        <f t="shared" si="134"/>
        <v>0</v>
      </c>
      <c r="K265" s="2"/>
      <c r="L265" s="2">
        <f t="shared" si="135"/>
        <v>0</v>
      </c>
      <c r="M265" s="2"/>
      <c r="N265" s="19">
        <f t="shared" si="136"/>
        <v>0</v>
      </c>
      <c r="O265" s="11"/>
      <c r="P265" s="2">
        <f>--61106.55</f>
        <v>61106.55</v>
      </c>
      <c r="Q265" s="2"/>
      <c r="R265" s="19">
        <f t="shared" si="137"/>
        <v>8.5559711110416298E-3</v>
      </c>
      <c r="S265" s="2"/>
      <c r="T265" s="2">
        <f>0</f>
        <v>0</v>
      </c>
      <c r="U265" s="2"/>
      <c r="V265" s="19">
        <f t="shared" si="138"/>
        <v>0</v>
      </c>
      <c r="W265" s="2"/>
      <c r="X265" s="2">
        <f t="shared" si="139"/>
        <v>61106.55</v>
      </c>
      <c r="Y265" s="2"/>
      <c r="Z265" s="19">
        <f t="shared" si="140"/>
        <v>0</v>
      </c>
    </row>
    <row r="266" spans="1:26" x14ac:dyDescent="0.25">
      <c r="A266" s="9"/>
      <c r="B266" s="10"/>
      <c r="C266" s="10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O266" s="10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x14ac:dyDescent="0.25">
      <c r="A267" s="10"/>
      <c r="B267" s="29" t="s">
        <v>3</v>
      </c>
      <c r="C267" s="29"/>
      <c r="D267" s="20">
        <f>+D164-D166+D256</f>
        <v>-58353.430000000051</v>
      </c>
      <c r="E267" s="14"/>
      <c r="F267" s="21">
        <f>IF(D$12=0,0,D267/D$12)</f>
        <v>-8.9502876102109122E-2</v>
      </c>
      <c r="G267" s="14"/>
      <c r="H267" s="20">
        <f>+H164-H166+H256</f>
        <v>-6561.4199999995035</v>
      </c>
      <c r="I267" s="14"/>
      <c r="J267" s="21">
        <f>IF(H$12=0,0,H267/H$12)</f>
        <v>-8.4635770297505301E-3</v>
      </c>
      <c r="K267" s="15"/>
      <c r="L267" s="20">
        <f>+D267-H267</f>
        <v>-51792.010000000548</v>
      </c>
      <c r="M267" s="15"/>
      <c r="N267" s="21">
        <f>IF(H267=0,0,L267/H267)</f>
        <v>7.8934148400810296</v>
      </c>
      <c r="O267" s="28"/>
      <c r="P267" s="20">
        <f>+P164-P166+P256</f>
        <v>691997.0700000003</v>
      </c>
      <c r="Q267" s="14"/>
      <c r="R267" s="21">
        <f>IF(P$12=0,0,P267/P$12)</f>
        <v>9.6891527010532497E-2</v>
      </c>
      <c r="S267" s="14"/>
      <c r="T267" s="20">
        <f>+T164-T166+T256</f>
        <v>626853.10000000137</v>
      </c>
      <c r="U267" s="14"/>
      <c r="V267" s="21">
        <f>IF(T$12=0,0,T267/T$12)</f>
        <v>8.3948918977967829E-2</v>
      </c>
      <c r="W267" s="15"/>
      <c r="X267" s="20">
        <f>+P267-T267</f>
        <v>65143.969999998924</v>
      </c>
      <c r="Y267" s="15"/>
      <c r="Z267" s="21">
        <f>IF(T267=0,0,X267/T267)</f>
        <v>0.10392222675455985</v>
      </c>
    </row>
    <row r="268" spans="1:26" x14ac:dyDescent="0.25">
      <c r="A268" s="9"/>
      <c r="B268" s="10"/>
      <c r="C268" s="9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x14ac:dyDescent="0.25">
      <c r="A269" s="51"/>
      <c r="B269" s="10" t="s">
        <v>13</v>
      </c>
      <c r="C269" s="10"/>
      <c r="D269" s="4">
        <v>84140.97</v>
      </c>
      <c r="E269" s="4"/>
      <c r="F269" s="12">
        <f>IF(D$12=0,0,D269/D$12)</f>
        <v>0.12905597516754841</v>
      </c>
      <c r="G269" s="4"/>
      <c r="H269" s="4">
        <v>101681.01000000001</v>
      </c>
      <c r="I269" s="4"/>
      <c r="J269" s="12">
        <f>IF(H$12=0,0,H269/H$12)</f>
        <v>0.13115835605675283</v>
      </c>
      <c r="K269" s="4"/>
      <c r="L269" s="4">
        <f>+D269-H269</f>
        <v>-17540.040000000008</v>
      </c>
      <c r="M269" s="4"/>
      <c r="N269" s="12">
        <f>IF(H269=0,0,L269/H269)</f>
        <v>-0.17250064687595065</v>
      </c>
      <c r="O269" s="10"/>
      <c r="P269" s="4">
        <v>771388.53999999992</v>
      </c>
      <c r="Q269" s="4"/>
      <c r="R269" s="12">
        <f>IF(P$12=0,0,P269/P$12)</f>
        <v>0.10800770234334257</v>
      </c>
      <c r="S269" s="4"/>
      <c r="T269" s="4">
        <v>805810.73</v>
      </c>
      <c r="U269" s="4"/>
      <c r="V269" s="12">
        <f>IF(T$12=0,0,T269/T$12)</f>
        <v>0.10791513942317102</v>
      </c>
      <c r="W269" s="4"/>
      <c r="X269" s="4">
        <f>+P269-T269</f>
        <v>-34422.190000000061</v>
      </c>
      <c r="Y269" s="4"/>
      <c r="Z269" s="12">
        <f>IF(T269=0,0,X269/T269)</f>
        <v>-4.2717462945672191E-2</v>
      </c>
    </row>
    <row r="270" spans="1:26" x14ac:dyDescent="0.25">
      <c r="A270" s="9"/>
      <c r="B270" s="10"/>
      <c r="C270" s="10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O270" s="10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ht="15.75" thickBot="1" x14ac:dyDescent="0.3">
      <c r="A271" s="10"/>
      <c r="B271" s="29" t="s">
        <v>4</v>
      </c>
      <c r="C271" s="29"/>
      <c r="D271" s="32">
        <f>+D267-D269</f>
        <v>-142494.40000000005</v>
      </c>
      <c r="E271" s="14"/>
      <c r="F271" s="30">
        <f>IF(D$12=0,0,D271/D$12)</f>
        <v>-0.21855885126965752</v>
      </c>
      <c r="G271" s="14"/>
      <c r="H271" s="32">
        <f>+H267-H269</f>
        <v>-108242.42999999951</v>
      </c>
      <c r="I271" s="14"/>
      <c r="J271" s="30">
        <f>IF(H$12=0,0,H271/H$12)</f>
        <v>-0.13962193308650336</v>
      </c>
      <c r="K271" s="15"/>
      <c r="L271" s="32">
        <f>D271-H271</f>
        <v>-34251.97000000054</v>
      </c>
      <c r="M271" s="15"/>
      <c r="N271" s="30">
        <f>IF(H271=0,0,L271/H271)</f>
        <v>0.31643755595657536</v>
      </c>
      <c r="O271" s="28"/>
      <c r="P271" s="32">
        <f>+P267-P269</f>
        <v>-79391.469999999623</v>
      </c>
      <c r="Q271" s="14"/>
      <c r="R271" s="30">
        <f>IF(P$12=0,0,P271/P$12)</f>
        <v>-1.1116175332810067E-2</v>
      </c>
      <c r="S271" s="14"/>
      <c r="T271" s="32">
        <f>+T267-T269</f>
        <v>-178957.62999999861</v>
      </c>
      <c r="U271" s="14"/>
      <c r="V271" s="30">
        <f>IF(T$12=0,0,T271/T$12)</f>
        <v>-2.3966220445203183E-2</v>
      </c>
      <c r="W271" s="15"/>
      <c r="X271" s="32">
        <f>P271-T271</f>
        <v>99566.159999998985</v>
      </c>
      <c r="Y271" s="15"/>
      <c r="Z271" s="30">
        <f>IF(T271=0,0,X271/T271)</f>
        <v>-0.55636722502415659</v>
      </c>
    </row>
    <row r="272" spans="1:26" ht="15.75" thickTop="1" x14ac:dyDescent="0.25">
      <c r="A272" s="9"/>
      <c r="B272" s="9"/>
      <c r="C272" s="9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x14ac:dyDescent="0.25">
      <c r="A273" s="9"/>
      <c r="B273" s="9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ht="15.75" thickBot="1" x14ac:dyDescent="0.3">
      <c r="A274" s="10"/>
      <c r="B274" s="29" t="s">
        <v>5</v>
      </c>
      <c r="C274" s="29"/>
      <c r="D274" s="36">
        <f>SUM(D271:D273)</f>
        <v>-142494.40000000005</v>
      </c>
      <c r="E274" s="14"/>
      <c r="F274" s="31">
        <f>IF(D$12=0,0,D274/D$12)</f>
        <v>-0.21855885126965752</v>
      </c>
      <c r="G274" s="14"/>
      <c r="H274" s="36">
        <f>SUM(H271:H273)</f>
        <v>-108242.42999999951</v>
      </c>
      <c r="I274" s="14"/>
      <c r="J274" s="31">
        <f>IF(H$12=0,0,H274/H$12)</f>
        <v>-0.13962193308650336</v>
      </c>
      <c r="K274" s="15"/>
      <c r="L274" s="36">
        <f>+D274-H274</f>
        <v>-34251.97000000054</v>
      </c>
      <c r="M274" s="15"/>
      <c r="N274" s="31">
        <f>IF(H274=0,0,L274/H274)</f>
        <v>0.31643755595657536</v>
      </c>
      <c r="O274" s="28"/>
      <c r="P274" s="36">
        <f>SUM(P271:P273)</f>
        <v>-79391.469999999623</v>
      </c>
      <c r="Q274" s="14"/>
      <c r="R274" s="31">
        <f>IF(P$12=0,0,P274/P$12)</f>
        <v>-1.1116175332810067E-2</v>
      </c>
      <c r="S274" s="14"/>
      <c r="T274" s="36">
        <f>SUM(T271:T273)</f>
        <v>-178957.62999999861</v>
      </c>
      <c r="U274" s="14"/>
      <c r="V274" s="31">
        <f>IF(T$12=0,0,T274/T$12)</f>
        <v>-2.3966220445203183E-2</v>
      </c>
      <c r="W274" s="15"/>
      <c r="X274" s="36">
        <f>+P274-T274</f>
        <v>99566.159999998985</v>
      </c>
      <c r="Y274" s="15"/>
      <c r="Z274" s="31">
        <f>IF(T274=0,0,X274/T274)</f>
        <v>-0.55636722502415659</v>
      </c>
    </row>
    <row r="275" spans="1:26" ht="15.75" thickTop="1" x14ac:dyDescent="0.25">
      <c r="A275" s="9"/>
      <c r="C275" s="9"/>
      <c r="D275" s="17"/>
      <c r="E275" s="17"/>
      <c r="G275" s="17"/>
      <c r="H275" s="17"/>
      <c r="I275" s="17"/>
      <c r="J275" s="42"/>
      <c r="K275" s="17"/>
      <c r="L275" s="17"/>
      <c r="M275" s="17"/>
      <c r="P275" s="17"/>
      <c r="Q275" s="17"/>
      <c r="R275" s="42"/>
      <c r="S275" s="17"/>
      <c r="T275" s="17"/>
      <c r="U275" s="17"/>
      <c r="V275" s="42"/>
      <c r="W275" s="17"/>
      <c r="X275" s="17"/>
    </row>
    <row r="276" spans="1:26" x14ac:dyDescent="0.25">
      <c r="A276" s="9"/>
      <c r="B276" s="62">
        <v>43847.453116469907</v>
      </c>
      <c r="D276" s="17"/>
      <c r="E276" s="17"/>
      <c r="G276" s="17"/>
      <c r="H276" s="17"/>
      <c r="I276" s="17"/>
      <c r="J276" s="42"/>
      <c r="K276" s="17"/>
      <c r="L276" s="17"/>
      <c r="M276" s="17"/>
      <c r="P276" s="17"/>
      <c r="Q276" s="17"/>
      <c r="R276" s="42"/>
      <c r="S276" s="17"/>
      <c r="T276" s="17"/>
      <c r="U276" s="17"/>
      <c r="V276" s="42"/>
      <c r="W276" s="17"/>
      <c r="X276" s="17"/>
    </row>
    <row r="277" spans="1:26" x14ac:dyDescent="0.25">
      <c r="A277" s="9"/>
      <c r="B277" s="56" t="s">
        <v>313</v>
      </c>
      <c r="D277" s="17"/>
      <c r="E277" s="17"/>
      <c r="G277" s="17"/>
      <c r="H277" s="17"/>
      <c r="I277" s="17"/>
      <c r="J277" s="42"/>
      <c r="K277" s="17"/>
      <c r="L277" s="17"/>
      <c r="M277" s="17"/>
      <c r="P277" s="17"/>
      <c r="Q277" s="17"/>
      <c r="R277" s="42"/>
      <c r="S277" s="17"/>
      <c r="T277" s="17"/>
      <c r="U277" s="17"/>
      <c r="V277" s="42"/>
      <c r="W277" s="17"/>
      <c r="X277" s="17"/>
    </row>
    <row r="278" spans="1:26" x14ac:dyDescent="0.25">
      <c r="A278" s="9"/>
      <c r="B278" s="54"/>
      <c r="D278" s="17"/>
      <c r="E278" s="17"/>
      <c r="G278" s="17"/>
      <c r="H278" s="17"/>
      <c r="I278" s="17"/>
      <c r="J278" s="42"/>
      <c r="K278" s="17"/>
      <c r="L278" s="17"/>
      <c r="M278" s="17"/>
      <c r="P278" s="17"/>
      <c r="Q278" s="17"/>
      <c r="R278" s="42"/>
      <c r="S278" s="17"/>
      <c r="T278" s="17"/>
      <c r="U278" s="17"/>
      <c r="V278" s="42"/>
      <c r="W278" s="17"/>
      <c r="X278" s="17"/>
    </row>
    <row r="279" spans="1:26" x14ac:dyDescent="0.25">
      <c r="D279" s="17"/>
      <c r="E279" s="17"/>
      <c r="G279" s="17"/>
      <c r="H279" s="17"/>
      <c r="I279" s="17"/>
      <c r="J279" s="42"/>
      <c r="K279" s="17"/>
      <c r="L279" s="17"/>
      <c r="M279" s="17"/>
      <c r="P279" s="17"/>
      <c r="Q279" s="17"/>
      <c r="R279" s="42"/>
      <c r="S279" s="17"/>
      <c r="T279" s="17"/>
      <c r="U279" s="17"/>
      <c r="V279" s="42"/>
      <c r="W279" s="17"/>
      <c r="X279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308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444005.37999999983</v>
      </c>
      <c r="E12" s="4"/>
      <c r="F12" s="12"/>
      <c r="G12" s="4"/>
      <c r="H12" s="4">
        <f>SUM(OSRRefH13x_0)</f>
        <v>542301.82000000007</v>
      </c>
      <c r="I12" s="4"/>
      <c r="J12" s="12"/>
      <c r="K12" s="4"/>
      <c r="L12" s="4">
        <f t="shared" ref="L12:L105" si="0">+D12-H12</f>
        <v>-98296.440000000235</v>
      </c>
      <c r="M12" s="4"/>
      <c r="N12" s="12">
        <f t="shared" ref="N12:N105" si="1">IF(H12=0,0,L12/H12)</f>
        <v>-0.18125780953491955</v>
      </c>
      <c r="O12" s="10"/>
      <c r="P12" s="4">
        <f>SUM(OSRRefP13x_0)</f>
        <v>5515184.3099999987</v>
      </c>
      <c r="Q12" s="4"/>
      <c r="R12" s="12"/>
      <c r="S12" s="4"/>
      <c r="T12" s="4">
        <f>SUM(OSRRefT13x_0)</f>
        <v>5912556.5400000028</v>
      </c>
      <c r="U12" s="4"/>
      <c r="V12" s="12"/>
      <c r="W12" s="4"/>
      <c r="X12" s="4">
        <f t="shared" ref="X12:X105" si="2">+P12-T12</f>
        <v>-397372.23000000417</v>
      </c>
      <c r="Y12" s="4"/>
      <c r="Z12" s="12">
        <f t="shared" ref="Z12:Z105" si="3">IF(T12=0,0,X12/T12)</f>
        <v>-6.7208191128774214E-2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--426.09</f>
        <v>426.09</v>
      </c>
      <c r="I13" s="2"/>
      <c r="J13" s="19"/>
      <c r="K13" s="2"/>
      <c r="L13" s="2">
        <f t="shared" si="0"/>
        <v>-426.09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--426.09</f>
        <v>426.09</v>
      </c>
      <c r="U13" s="2"/>
      <c r="V13" s="19"/>
      <c r="W13" s="2"/>
      <c r="X13" s="2">
        <f t="shared" si="2"/>
        <v>-426.09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--36689.95</f>
        <v>36689.949999999997</v>
      </c>
      <c r="E14" s="2"/>
      <c r="F14" s="19"/>
      <c r="G14" s="2"/>
      <c r="H14" s="2">
        <f>--19357.4</f>
        <v>19357.400000000001</v>
      </c>
      <c r="I14" s="2"/>
      <c r="J14" s="19"/>
      <c r="K14" s="2"/>
      <c r="L14" s="2">
        <f t="shared" si="0"/>
        <v>17332.549999999996</v>
      </c>
      <c r="M14" s="2"/>
      <c r="N14" s="19">
        <f t="shared" si="1"/>
        <v>0.89539659251758985</v>
      </c>
      <c r="O14" s="11"/>
      <c r="P14" s="2">
        <f>--1540034.38</f>
        <v>1540034.38</v>
      </c>
      <c r="Q14" s="2"/>
      <c r="R14" s="19"/>
      <c r="S14" s="2"/>
      <c r="T14" s="2">
        <f>--1869627.25</f>
        <v>1869627.25</v>
      </c>
      <c r="U14" s="2"/>
      <c r="V14" s="19"/>
      <c r="W14" s="2"/>
      <c r="X14" s="2">
        <f t="shared" si="2"/>
        <v>-329592.87000000011</v>
      </c>
      <c r="Y14" s="2"/>
      <c r="Z14" s="19">
        <f t="shared" si="3"/>
        <v>-0.17628801142045833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--10615.68</f>
        <v>10615.68</v>
      </c>
      <c r="E15" s="2"/>
      <c r="F15" s="19"/>
      <c r="G15" s="2"/>
      <c r="H15" s="2">
        <f>--14559.21</f>
        <v>14559.21</v>
      </c>
      <c r="I15" s="2"/>
      <c r="J15" s="19"/>
      <c r="K15" s="2"/>
      <c r="L15" s="2">
        <f t="shared" si="0"/>
        <v>-3943.5299999999988</v>
      </c>
      <c r="M15" s="2"/>
      <c r="N15" s="19">
        <f t="shared" si="1"/>
        <v>-0.27086153713010519</v>
      </c>
      <c r="O15" s="11"/>
      <c r="P15" s="2">
        <f>--681094.97</f>
        <v>681094.97</v>
      </c>
      <c r="Q15" s="2"/>
      <c r="R15" s="19"/>
      <c r="S15" s="2"/>
      <c r="T15" s="2">
        <f>--755941.45</f>
        <v>755941.45</v>
      </c>
      <c r="U15" s="2"/>
      <c r="V15" s="19"/>
      <c r="W15" s="2"/>
      <c r="X15" s="2">
        <f t="shared" si="2"/>
        <v>-74846.479999999981</v>
      </c>
      <c r="Y15" s="2"/>
      <c r="Z15" s="19">
        <f t="shared" si="3"/>
        <v>-9.9010948533117191E-2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--586.01</f>
        <v>586.01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586.01</v>
      </c>
      <c r="M16" s="2"/>
      <c r="N16" s="19">
        <f t="shared" si="1"/>
        <v>0</v>
      </c>
      <c r="O16" s="11"/>
      <c r="P16" s="2">
        <f>--16430.67</f>
        <v>16430.669999999998</v>
      </c>
      <c r="Q16" s="2"/>
      <c r="R16" s="19"/>
      <c r="S16" s="2"/>
      <c r="T16" s="2">
        <f>--9944.25</f>
        <v>9944.25</v>
      </c>
      <c r="U16" s="2"/>
      <c r="V16" s="19"/>
      <c r="W16" s="2"/>
      <c r="X16" s="2">
        <f t="shared" si="2"/>
        <v>6486.4199999999983</v>
      </c>
      <c r="Y16" s="2"/>
      <c r="Z16" s="19">
        <f t="shared" si="3"/>
        <v>0.65227845237197357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>
        <f>--56.78</f>
        <v>56.78</v>
      </c>
      <c r="I17" s="2"/>
      <c r="J17" s="19"/>
      <c r="K17" s="2"/>
      <c r="L17" s="2">
        <f t="shared" si="0"/>
        <v>-56.78</v>
      </c>
      <c r="M17" s="2"/>
      <c r="N17" s="19">
        <f t="shared" si="1"/>
        <v>-1</v>
      </c>
      <c r="O17" s="11"/>
      <c r="P17" s="2">
        <f>--30279.88</f>
        <v>30279.88</v>
      </c>
      <c r="Q17" s="2"/>
      <c r="R17" s="19"/>
      <c r="S17" s="2"/>
      <c r="T17" s="2">
        <f>--42682.1</f>
        <v>42682.1</v>
      </c>
      <c r="U17" s="2"/>
      <c r="V17" s="19"/>
      <c r="W17" s="2"/>
      <c r="X17" s="2">
        <f t="shared" si="2"/>
        <v>-12402.219999999998</v>
      </c>
      <c r="Y17" s="2"/>
      <c r="Z17" s="19">
        <f t="shared" si="3"/>
        <v>-0.29057192593616521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--3.62</f>
        <v>3.62</v>
      </c>
      <c r="E18" s="2"/>
      <c r="F18" s="19"/>
      <c r="G18" s="2"/>
      <c r="H18" s="2">
        <f>--0.52</f>
        <v>0.52</v>
      </c>
      <c r="I18" s="2"/>
      <c r="J18" s="19"/>
      <c r="K18" s="2"/>
      <c r="L18" s="2">
        <f t="shared" si="0"/>
        <v>3.1</v>
      </c>
      <c r="M18" s="2"/>
      <c r="N18" s="19">
        <f t="shared" si="1"/>
        <v>5.9615384615384617</v>
      </c>
      <c r="O18" s="11"/>
      <c r="P18" s="2">
        <f>--13.22</f>
        <v>13.22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7.3900000000000006</v>
      </c>
      <c r="Y18" s="2"/>
      <c r="Z18" s="19">
        <f t="shared" si="3"/>
        <v>1.2675814751286449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--167.6</f>
        <v>167.6</v>
      </c>
      <c r="E19" s="2"/>
      <c r="F19" s="19"/>
      <c r="G19" s="2"/>
      <c r="H19" s="2">
        <f>--192.11</f>
        <v>192.11</v>
      </c>
      <c r="I19" s="2"/>
      <c r="J19" s="19"/>
      <c r="K19" s="2"/>
      <c r="L19" s="2">
        <f t="shared" si="0"/>
        <v>-24.510000000000019</v>
      </c>
      <c r="M19" s="2"/>
      <c r="N19" s="19">
        <f t="shared" si="1"/>
        <v>-0.12758315548383747</v>
      </c>
      <c r="O19" s="11"/>
      <c r="P19" s="2">
        <f>--1280.32</f>
        <v>1280.32</v>
      </c>
      <c r="Q19" s="2"/>
      <c r="R19" s="19"/>
      <c r="S19" s="2"/>
      <c r="T19" s="2">
        <f>--2848.44</f>
        <v>2848.44</v>
      </c>
      <c r="U19" s="2"/>
      <c r="V19" s="19"/>
      <c r="W19" s="2"/>
      <c r="X19" s="2">
        <f t="shared" si="2"/>
        <v>-1568.1200000000001</v>
      </c>
      <c r="Y19" s="2"/>
      <c r="Z19" s="19">
        <f t="shared" si="3"/>
        <v>-0.55051888051003361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--109.34</f>
        <v>109.34</v>
      </c>
      <c r="E20" s="2"/>
      <c r="F20" s="19"/>
      <c r="G20" s="2"/>
      <c r="H20" s="2">
        <f>--66.52</f>
        <v>66.52</v>
      </c>
      <c r="I20" s="2"/>
      <c r="J20" s="19"/>
      <c r="K20" s="2"/>
      <c r="L20" s="2">
        <f t="shared" si="0"/>
        <v>42.820000000000007</v>
      </c>
      <c r="M20" s="2"/>
      <c r="N20" s="19">
        <f t="shared" si="1"/>
        <v>0.64371617558629002</v>
      </c>
      <c r="O20" s="11"/>
      <c r="P20" s="2">
        <f>--992.69</f>
        <v>992.69</v>
      </c>
      <c r="Q20" s="2"/>
      <c r="R20" s="19"/>
      <c r="S20" s="2"/>
      <c r="T20" s="2">
        <f>--1210.44</f>
        <v>1210.44</v>
      </c>
      <c r="U20" s="2"/>
      <c r="V20" s="19"/>
      <c r="W20" s="2"/>
      <c r="X20" s="2">
        <f t="shared" si="2"/>
        <v>-217.75</v>
      </c>
      <c r="Y20" s="2"/>
      <c r="Z20" s="19">
        <f t="shared" si="3"/>
        <v>-0.17989326195433064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>
        <f>--7.45</f>
        <v>7.45</v>
      </c>
      <c r="I21" s="2"/>
      <c r="J21" s="19"/>
      <c r="K21" s="2"/>
      <c r="L21" s="2">
        <f t="shared" si="0"/>
        <v>3.5300000000000002</v>
      </c>
      <c r="M21" s="2"/>
      <c r="N21" s="19">
        <f t="shared" si="1"/>
        <v>0.47382550335570472</v>
      </c>
      <c r="O21" s="11"/>
      <c r="P21" s="2">
        <f>--242.14</f>
        <v>242.14</v>
      </c>
      <c r="Q21" s="2"/>
      <c r="R21" s="19"/>
      <c r="S21" s="2"/>
      <c r="T21" s="2">
        <f>--651.02</f>
        <v>651.02</v>
      </c>
      <c r="U21" s="2"/>
      <c r="V21" s="19"/>
      <c r="W21" s="2"/>
      <c r="X21" s="2">
        <f t="shared" si="2"/>
        <v>-408.88</v>
      </c>
      <c r="Y21" s="2"/>
      <c r="Z21" s="19">
        <f t="shared" si="3"/>
        <v>-0.6280605818561642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--157.74</f>
        <v>157.74</v>
      </c>
      <c r="E22" s="2"/>
      <c r="F22" s="19"/>
      <c r="G22" s="2"/>
      <c r="H22" s="2">
        <f>--447.93</f>
        <v>447.93</v>
      </c>
      <c r="I22" s="2"/>
      <c r="J22" s="19"/>
      <c r="K22" s="2"/>
      <c r="L22" s="2">
        <f t="shared" si="0"/>
        <v>-290.19</v>
      </c>
      <c r="M22" s="2"/>
      <c r="N22" s="19">
        <f t="shared" si="1"/>
        <v>-0.64784676177081235</v>
      </c>
      <c r="O22" s="11"/>
      <c r="P22" s="2">
        <f>--2890.39</f>
        <v>2890.39</v>
      </c>
      <c r="Q22" s="2"/>
      <c r="R22" s="19"/>
      <c r="S22" s="2"/>
      <c r="T22" s="2">
        <f>--4167.48</f>
        <v>4167.4799999999996</v>
      </c>
      <c r="U22" s="2"/>
      <c r="V22" s="19"/>
      <c r="W22" s="2"/>
      <c r="X22" s="2">
        <f t="shared" si="2"/>
        <v>-1277.0899999999997</v>
      </c>
      <c r="Y22" s="2"/>
      <c r="Z22" s="19">
        <f t="shared" si="3"/>
        <v>-0.30644178256404347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--5.97</f>
        <v>5.97</v>
      </c>
      <c r="I23" s="2"/>
      <c r="J23" s="19"/>
      <c r="K23" s="2"/>
      <c r="L23" s="2">
        <f t="shared" si="0"/>
        <v>-5.97</v>
      </c>
      <c r="M23" s="2"/>
      <c r="N23" s="19">
        <f t="shared" si="1"/>
        <v>-1</v>
      </c>
      <c r="O23" s="11"/>
      <c r="P23" s="2">
        <f>--33.88</f>
        <v>33.880000000000003</v>
      </c>
      <c r="Q23" s="2"/>
      <c r="R23" s="19"/>
      <c r="S23" s="2"/>
      <c r="T23" s="2">
        <f>--60.45</f>
        <v>60.45</v>
      </c>
      <c r="U23" s="2"/>
      <c r="V23" s="19"/>
      <c r="W23" s="2"/>
      <c r="X23" s="2">
        <f t="shared" si="2"/>
        <v>-26.57</v>
      </c>
      <c r="Y23" s="2"/>
      <c r="Z23" s="19">
        <f t="shared" si="3"/>
        <v>-0.43953680727874272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--5588.38</f>
        <v>5588.38</v>
      </c>
      <c r="E24" s="2"/>
      <c r="F24" s="19"/>
      <c r="G24" s="2"/>
      <c r="H24" s="2">
        <f>--5824.07</f>
        <v>5824.07</v>
      </c>
      <c r="I24" s="2"/>
      <c r="J24" s="19"/>
      <c r="K24" s="2"/>
      <c r="L24" s="2">
        <f t="shared" si="0"/>
        <v>-235.6899999999996</v>
      </c>
      <c r="M24" s="2"/>
      <c r="N24" s="19">
        <f t="shared" si="1"/>
        <v>-4.0468263602600862E-2</v>
      </c>
      <c r="O24" s="11"/>
      <c r="P24" s="2">
        <f>--35133.1</f>
        <v>35133.1</v>
      </c>
      <c r="Q24" s="2"/>
      <c r="R24" s="19"/>
      <c r="S24" s="2"/>
      <c r="T24" s="2">
        <f>--33891.24</f>
        <v>33891.24</v>
      </c>
      <c r="U24" s="2"/>
      <c r="V24" s="19"/>
      <c r="W24" s="2"/>
      <c r="X24" s="2">
        <f t="shared" si="2"/>
        <v>1241.8600000000006</v>
      </c>
      <c r="Y24" s="2"/>
      <c r="Z24" s="19">
        <f t="shared" si="3"/>
        <v>3.6642507031315483E-2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--6254.22</f>
        <v>6254.22</v>
      </c>
      <c r="E25" s="2"/>
      <c r="F25" s="19"/>
      <c r="G25" s="2"/>
      <c r="H25" s="2">
        <f>--4791.23</f>
        <v>4791.2299999999996</v>
      </c>
      <c r="I25" s="2"/>
      <c r="J25" s="19"/>
      <c r="K25" s="2"/>
      <c r="L25" s="2">
        <f t="shared" si="0"/>
        <v>1462.9900000000007</v>
      </c>
      <c r="M25" s="2"/>
      <c r="N25" s="19">
        <f t="shared" si="1"/>
        <v>0.30534747862239986</v>
      </c>
      <c r="O25" s="11"/>
      <c r="P25" s="2">
        <f>--49928.17</f>
        <v>49928.17</v>
      </c>
      <c r="Q25" s="2"/>
      <c r="R25" s="19"/>
      <c r="S25" s="2"/>
      <c r="T25" s="2">
        <f>--42162.07</f>
        <v>42162.07</v>
      </c>
      <c r="U25" s="2"/>
      <c r="V25" s="19"/>
      <c r="W25" s="2"/>
      <c r="X25" s="2">
        <f t="shared" si="2"/>
        <v>7766.0999999999985</v>
      </c>
      <c r="Y25" s="2"/>
      <c r="Z25" s="19">
        <f t="shared" si="3"/>
        <v>0.18419636417282165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--10568.39</f>
        <v>10568.39</v>
      </c>
      <c r="E26" s="2"/>
      <c r="F26" s="19"/>
      <c r="G26" s="2"/>
      <c r="H26" s="2">
        <f>--8999.91</f>
        <v>8999.91</v>
      </c>
      <c r="I26" s="2"/>
      <c r="J26" s="19"/>
      <c r="K26" s="2"/>
      <c r="L26" s="2">
        <f t="shared" si="0"/>
        <v>1568.4799999999996</v>
      </c>
      <c r="M26" s="2"/>
      <c r="N26" s="19">
        <f t="shared" si="1"/>
        <v>0.1742772983285388</v>
      </c>
      <c r="O26" s="11"/>
      <c r="P26" s="2">
        <f>--165357.47</f>
        <v>165357.47</v>
      </c>
      <c r="Q26" s="2"/>
      <c r="R26" s="19"/>
      <c r="S26" s="2"/>
      <c r="T26" s="2">
        <f>--151191.99</f>
        <v>151191.99</v>
      </c>
      <c r="U26" s="2"/>
      <c r="V26" s="19"/>
      <c r="W26" s="2"/>
      <c r="X26" s="2">
        <f t="shared" si="2"/>
        <v>14165.48000000001</v>
      </c>
      <c r="Y26" s="2"/>
      <c r="Z26" s="19">
        <f t="shared" si="3"/>
        <v>9.3692000482300752E-2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--13684.86</f>
        <v>13684.86</v>
      </c>
      <c r="E27" s="2"/>
      <c r="F27" s="19"/>
      <c r="G27" s="2"/>
      <c r="H27" s="2">
        <f>--17860.47</f>
        <v>17860.47</v>
      </c>
      <c r="I27" s="2"/>
      <c r="J27" s="19"/>
      <c r="K27" s="2"/>
      <c r="L27" s="2">
        <f t="shared" si="0"/>
        <v>-4175.6100000000006</v>
      </c>
      <c r="M27" s="2"/>
      <c r="N27" s="19">
        <f t="shared" si="1"/>
        <v>-0.2337906001353828</v>
      </c>
      <c r="O27" s="11"/>
      <c r="P27" s="2">
        <f>--189637.57</f>
        <v>189637.57</v>
      </c>
      <c r="Q27" s="2"/>
      <c r="R27" s="19"/>
      <c r="S27" s="2"/>
      <c r="T27" s="2">
        <f>--196228.95</f>
        <v>196228.95</v>
      </c>
      <c r="U27" s="2"/>
      <c r="V27" s="19"/>
      <c r="W27" s="2"/>
      <c r="X27" s="2">
        <f t="shared" si="2"/>
        <v>-6591.3800000000047</v>
      </c>
      <c r="Y27" s="2"/>
      <c r="Z27" s="19">
        <f t="shared" si="3"/>
        <v>-3.3590252610534811E-2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--26.89</f>
        <v>26.89</v>
      </c>
      <c r="E28" s="2"/>
      <c r="F28" s="19"/>
      <c r="G28" s="2"/>
      <c r="H28" s="2">
        <f>--35.23</f>
        <v>35.229999999999997</v>
      </c>
      <c r="I28" s="2"/>
      <c r="J28" s="19"/>
      <c r="K28" s="2"/>
      <c r="L28" s="2">
        <f t="shared" si="0"/>
        <v>-8.3399999999999963</v>
      </c>
      <c r="M28" s="2"/>
      <c r="N28" s="19">
        <f t="shared" si="1"/>
        <v>-0.2367300596082883</v>
      </c>
      <c r="O28" s="11"/>
      <c r="P28" s="2">
        <f>--306.94</f>
        <v>306.94</v>
      </c>
      <c r="Q28" s="2"/>
      <c r="R28" s="19"/>
      <c r="S28" s="2"/>
      <c r="T28" s="2">
        <f>--323.52</f>
        <v>323.52</v>
      </c>
      <c r="U28" s="2"/>
      <c r="V28" s="19"/>
      <c r="W28" s="2"/>
      <c r="X28" s="2">
        <f t="shared" si="2"/>
        <v>-16.579999999999984</v>
      </c>
      <c r="Y28" s="2"/>
      <c r="Z28" s="19">
        <f t="shared" si="3"/>
        <v>-5.1248763600395604E-2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--203.26</f>
        <v>203.26</v>
      </c>
      <c r="E29" s="2"/>
      <c r="F29" s="19"/>
      <c r="G29" s="2"/>
      <c r="H29" s="2">
        <f>--27.67</f>
        <v>27.67</v>
      </c>
      <c r="I29" s="2"/>
      <c r="J29" s="19"/>
      <c r="K29" s="2"/>
      <c r="L29" s="2">
        <f t="shared" si="0"/>
        <v>175.58999999999997</v>
      </c>
      <c r="M29" s="2"/>
      <c r="N29" s="19">
        <f t="shared" si="1"/>
        <v>6.3458619443440538</v>
      </c>
      <c r="O29" s="11"/>
      <c r="P29" s="2">
        <f>--866.34</f>
        <v>866.34</v>
      </c>
      <c r="Q29" s="2"/>
      <c r="R29" s="19"/>
      <c r="S29" s="2"/>
      <c r="T29" s="2">
        <f>--243.61</f>
        <v>243.61</v>
      </c>
      <c r="U29" s="2"/>
      <c r="V29" s="19"/>
      <c r="W29" s="2"/>
      <c r="X29" s="2">
        <f t="shared" si="2"/>
        <v>622.73</v>
      </c>
      <c r="Y29" s="2"/>
      <c r="Z29" s="19">
        <f t="shared" si="3"/>
        <v>2.5562579532859897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--22.41</f>
        <v>22.41</v>
      </c>
      <c r="E30" s="2"/>
      <c r="F30" s="19"/>
      <c r="G30" s="2"/>
      <c r="H30" s="2">
        <f>--20.19</f>
        <v>20.190000000000001</v>
      </c>
      <c r="I30" s="2"/>
      <c r="J30" s="19"/>
      <c r="K30" s="2"/>
      <c r="L30" s="2">
        <f t="shared" si="0"/>
        <v>2.2199999999999989</v>
      </c>
      <c r="M30" s="2"/>
      <c r="N30" s="19">
        <f t="shared" si="1"/>
        <v>0.10995542347696874</v>
      </c>
      <c r="O30" s="11"/>
      <c r="P30" s="2">
        <f>--131.02</f>
        <v>131.02000000000001</v>
      </c>
      <c r="Q30" s="2"/>
      <c r="R30" s="19"/>
      <c r="S30" s="2"/>
      <c r="T30" s="2">
        <f>--112.45</f>
        <v>112.45</v>
      </c>
      <c r="U30" s="2"/>
      <c r="V30" s="19"/>
      <c r="W30" s="2"/>
      <c r="X30" s="2">
        <f t="shared" si="2"/>
        <v>18.570000000000007</v>
      </c>
      <c r="Y30" s="2"/>
      <c r="Z30" s="19">
        <f t="shared" si="3"/>
        <v>0.16514006224988889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--547.26</f>
        <v>547.26</v>
      </c>
      <c r="E31" s="2"/>
      <c r="F31" s="19"/>
      <c r="G31" s="2"/>
      <c r="H31" s="2">
        <f>--674.22</f>
        <v>674.22</v>
      </c>
      <c r="I31" s="2"/>
      <c r="J31" s="19"/>
      <c r="K31" s="2"/>
      <c r="L31" s="2">
        <f t="shared" si="0"/>
        <v>-126.96000000000004</v>
      </c>
      <c r="M31" s="2"/>
      <c r="N31" s="19">
        <f t="shared" si="1"/>
        <v>-0.18830648749666284</v>
      </c>
      <c r="O31" s="11"/>
      <c r="P31" s="2">
        <f>--5271.51</f>
        <v>5271.51</v>
      </c>
      <c r="Q31" s="2"/>
      <c r="R31" s="19"/>
      <c r="S31" s="2"/>
      <c r="T31" s="2">
        <f>--4427.53</f>
        <v>4427.53</v>
      </c>
      <c r="U31" s="2"/>
      <c r="V31" s="19"/>
      <c r="W31" s="2"/>
      <c r="X31" s="2">
        <f t="shared" si="2"/>
        <v>843.98000000000047</v>
      </c>
      <c r="Y31" s="2"/>
      <c r="Z31" s="19">
        <f t="shared" si="3"/>
        <v>0.19062095570216361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--133.49</f>
        <v>133.49</v>
      </c>
      <c r="E32" s="2"/>
      <c r="F32" s="19"/>
      <c r="G32" s="2"/>
      <c r="H32" s="2">
        <f>--199.7</f>
        <v>199.7</v>
      </c>
      <c r="I32" s="2"/>
      <c r="J32" s="19"/>
      <c r="K32" s="2"/>
      <c r="L32" s="2">
        <f t="shared" si="0"/>
        <v>-66.20999999999998</v>
      </c>
      <c r="M32" s="2"/>
      <c r="N32" s="19">
        <f t="shared" si="1"/>
        <v>-0.3315473209814721</v>
      </c>
      <c r="O32" s="11"/>
      <c r="P32" s="2">
        <f>--1267.09</f>
        <v>1267.0899999999999</v>
      </c>
      <c r="Q32" s="2"/>
      <c r="R32" s="19"/>
      <c r="S32" s="2"/>
      <c r="T32" s="2">
        <f>--1589.63</f>
        <v>1589.63</v>
      </c>
      <c r="U32" s="2"/>
      <c r="V32" s="19"/>
      <c r="W32" s="2"/>
      <c r="X32" s="2">
        <f t="shared" si="2"/>
        <v>-322.54000000000019</v>
      </c>
      <c r="Y32" s="2"/>
      <c r="Z32" s="19">
        <f t="shared" si="3"/>
        <v>-0.20290256223146277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--19.09</f>
        <v>19.09</v>
      </c>
      <c r="E33" s="2"/>
      <c r="F33" s="19"/>
      <c r="G33" s="2"/>
      <c r="H33" s="2">
        <f>--35.98</f>
        <v>35.979999999999997</v>
      </c>
      <c r="I33" s="2"/>
      <c r="J33" s="19"/>
      <c r="K33" s="2"/>
      <c r="L33" s="2">
        <f t="shared" si="0"/>
        <v>-16.889999999999997</v>
      </c>
      <c r="M33" s="2"/>
      <c r="N33" s="19">
        <f t="shared" si="1"/>
        <v>-0.46942745969983318</v>
      </c>
      <c r="O33" s="11"/>
      <c r="P33" s="2">
        <f>--396.26</f>
        <v>396.26</v>
      </c>
      <c r="Q33" s="2"/>
      <c r="R33" s="19"/>
      <c r="S33" s="2"/>
      <c r="T33" s="2">
        <f>--417.83</f>
        <v>417.83</v>
      </c>
      <c r="U33" s="2"/>
      <c r="V33" s="19"/>
      <c r="W33" s="2"/>
      <c r="X33" s="2">
        <f t="shared" si="2"/>
        <v>-21.569999999999993</v>
      </c>
      <c r="Y33" s="2"/>
      <c r="Z33" s="19">
        <f t="shared" si="3"/>
        <v>-5.1623866165665451E-2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--193654.24</f>
        <v>193654.24</v>
      </c>
      <c r="E34" s="2"/>
      <c r="F34" s="19"/>
      <c r="G34" s="2"/>
      <c r="H34" s="2">
        <f>--284644.7</f>
        <v>284644.7</v>
      </c>
      <c r="I34" s="2"/>
      <c r="J34" s="19"/>
      <c r="K34" s="2"/>
      <c r="L34" s="2">
        <f t="shared" si="0"/>
        <v>-90990.460000000021</v>
      </c>
      <c r="M34" s="2"/>
      <c r="N34" s="19">
        <f t="shared" si="1"/>
        <v>-0.31966328549240514</v>
      </c>
      <c r="O34" s="11"/>
      <c r="P34" s="2">
        <f>--1291791.18</f>
        <v>1291791.18</v>
      </c>
      <c r="Q34" s="2"/>
      <c r="R34" s="19"/>
      <c r="S34" s="2"/>
      <c r="T34" s="2">
        <f>--1197113.16</f>
        <v>1197113.1599999999</v>
      </c>
      <c r="U34" s="2"/>
      <c r="V34" s="19"/>
      <c r="W34" s="2"/>
      <c r="X34" s="2">
        <f t="shared" si="2"/>
        <v>94678.020000000019</v>
      </c>
      <c r="Y34" s="2"/>
      <c r="Z34" s="19">
        <f t="shared" si="3"/>
        <v>7.9088613477442699E-2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--37979.16</f>
        <v>37979.160000000003</v>
      </c>
      <c r="E35" s="2"/>
      <c r="F35" s="19"/>
      <c r="G35" s="2"/>
      <c r="H35" s="2">
        <f>--48682.15</f>
        <v>48682.15</v>
      </c>
      <c r="I35" s="2"/>
      <c r="J35" s="19"/>
      <c r="K35" s="2"/>
      <c r="L35" s="2">
        <f t="shared" si="0"/>
        <v>-10702.989999999998</v>
      </c>
      <c r="M35" s="2"/>
      <c r="N35" s="19">
        <f t="shared" si="1"/>
        <v>-0.21985450519338193</v>
      </c>
      <c r="O35" s="11"/>
      <c r="P35" s="2">
        <f>--296126.81</f>
        <v>296126.81</v>
      </c>
      <c r="Q35" s="2"/>
      <c r="R35" s="19"/>
      <c r="S35" s="2"/>
      <c r="T35" s="2">
        <f>--315831.86</f>
        <v>315831.86</v>
      </c>
      <c r="U35" s="2"/>
      <c r="V35" s="19"/>
      <c r="W35" s="2"/>
      <c r="X35" s="2">
        <f t="shared" si="2"/>
        <v>-19705.049999999988</v>
      </c>
      <c r="Y35" s="2"/>
      <c r="Z35" s="19">
        <f t="shared" si="3"/>
        <v>-6.2390950678630042E-2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--44973.91</f>
        <v>44973.91</v>
      </c>
      <c r="E36" s="2"/>
      <c r="F36" s="19"/>
      <c r="G36" s="2"/>
      <c r="H36" s="2">
        <f>--38647.38</f>
        <v>38647.379999999997</v>
      </c>
      <c r="I36" s="2"/>
      <c r="J36" s="19"/>
      <c r="K36" s="2"/>
      <c r="L36" s="2">
        <f t="shared" si="0"/>
        <v>6326.5300000000061</v>
      </c>
      <c r="M36" s="2"/>
      <c r="N36" s="19">
        <f t="shared" si="1"/>
        <v>0.16369880700839246</v>
      </c>
      <c r="O36" s="11"/>
      <c r="P36" s="2">
        <f>--199952.1</f>
        <v>199952.1</v>
      </c>
      <c r="Q36" s="2"/>
      <c r="R36" s="19"/>
      <c r="S36" s="2"/>
      <c r="T36" s="2">
        <f>--159218.21</f>
        <v>159218.21</v>
      </c>
      <c r="U36" s="2"/>
      <c r="V36" s="19"/>
      <c r="W36" s="2"/>
      <c r="X36" s="2">
        <f t="shared" si="2"/>
        <v>40733.890000000014</v>
      </c>
      <c r="Y36" s="2"/>
      <c r="Z36" s="19">
        <f t="shared" si="3"/>
        <v>0.25583687946246864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--9497.44</f>
        <v>9497.44</v>
      </c>
      <c r="E37" s="2"/>
      <c r="F37" s="19"/>
      <c r="G37" s="2"/>
      <c r="H37" s="2">
        <f>--540.59</f>
        <v>540.59</v>
      </c>
      <c r="I37" s="2"/>
      <c r="J37" s="19"/>
      <c r="K37" s="2"/>
      <c r="L37" s="2">
        <f t="shared" si="0"/>
        <v>8956.85</v>
      </c>
      <c r="M37" s="2"/>
      <c r="N37" s="19">
        <f t="shared" si="1"/>
        <v>16.568656467933184</v>
      </c>
      <c r="O37" s="11"/>
      <c r="P37" s="2">
        <f>--14320.46</f>
        <v>14320.46</v>
      </c>
      <c r="Q37" s="2"/>
      <c r="R37" s="19"/>
      <c r="S37" s="2"/>
      <c r="T37" s="2">
        <f>--2173.67</f>
        <v>2173.67</v>
      </c>
      <c r="U37" s="2"/>
      <c r="V37" s="19"/>
      <c r="W37" s="2"/>
      <c r="X37" s="2">
        <f t="shared" si="2"/>
        <v>12146.789999999999</v>
      </c>
      <c r="Y37" s="2"/>
      <c r="Z37" s="19">
        <f t="shared" si="3"/>
        <v>5.588148154963724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--5438.42</f>
        <v>5438.42</v>
      </c>
      <c r="E38" s="2"/>
      <c r="F38" s="19"/>
      <c r="G38" s="2"/>
      <c r="H38" s="2">
        <f>--6002.11</f>
        <v>6002.11</v>
      </c>
      <c r="I38" s="2"/>
      <c r="J38" s="19"/>
      <c r="K38" s="2"/>
      <c r="L38" s="2">
        <f t="shared" si="0"/>
        <v>-563.6899999999996</v>
      </c>
      <c r="M38" s="2"/>
      <c r="N38" s="19">
        <f t="shared" si="1"/>
        <v>-9.3915306450564826E-2</v>
      </c>
      <c r="O38" s="11"/>
      <c r="P38" s="2">
        <f>--46736.2</f>
        <v>46736.2</v>
      </c>
      <c r="Q38" s="2"/>
      <c r="R38" s="19"/>
      <c r="S38" s="2"/>
      <c r="T38" s="2">
        <f>--45727.06</f>
        <v>45727.06</v>
      </c>
      <c r="U38" s="2"/>
      <c r="V38" s="19"/>
      <c r="W38" s="2"/>
      <c r="X38" s="2">
        <f t="shared" si="2"/>
        <v>1009.1399999999994</v>
      </c>
      <c r="Y38" s="2"/>
      <c r="Z38" s="19">
        <f t="shared" si="3"/>
        <v>2.2068770657899271E-2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--6487.38</f>
        <v>6487.38</v>
      </c>
      <c r="E39" s="2"/>
      <c r="F39" s="19"/>
      <c r="G39" s="2"/>
      <c r="H39" s="2">
        <f>--5090.77</f>
        <v>5090.7700000000004</v>
      </c>
      <c r="I39" s="2"/>
      <c r="J39" s="19"/>
      <c r="K39" s="2"/>
      <c r="L39" s="2">
        <f t="shared" si="0"/>
        <v>1396.6099999999997</v>
      </c>
      <c r="M39" s="2"/>
      <c r="N39" s="19">
        <f t="shared" si="1"/>
        <v>0.27434160254735523</v>
      </c>
      <c r="O39" s="11"/>
      <c r="P39" s="2">
        <f>--61005.82</f>
        <v>61005.82</v>
      </c>
      <c r="Q39" s="2"/>
      <c r="R39" s="19"/>
      <c r="S39" s="2"/>
      <c r="T39" s="2">
        <f>--68254.49</f>
        <v>68254.490000000005</v>
      </c>
      <c r="U39" s="2"/>
      <c r="V39" s="19"/>
      <c r="W39" s="2"/>
      <c r="X39" s="2">
        <f t="shared" si="2"/>
        <v>-7248.6700000000055</v>
      </c>
      <c r="Y39" s="2"/>
      <c r="Z39" s="19">
        <f t="shared" si="3"/>
        <v>-0.1062006323686545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--115.39</f>
        <v>115.39</v>
      </c>
      <c r="E40" s="2"/>
      <c r="F40" s="19"/>
      <c r="G40" s="2"/>
      <c r="H40" s="2">
        <f>--282.87</f>
        <v>282.87</v>
      </c>
      <c r="I40" s="2"/>
      <c r="J40" s="19"/>
      <c r="K40" s="2"/>
      <c r="L40" s="2">
        <f t="shared" si="0"/>
        <v>-167.48000000000002</v>
      </c>
      <c r="M40" s="2"/>
      <c r="N40" s="19">
        <f t="shared" si="1"/>
        <v>-0.59207409764202645</v>
      </c>
      <c r="O40" s="11"/>
      <c r="P40" s="2">
        <f>--1793.94</f>
        <v>1793.94</v>
      </c>
      <c r="Q40" s="2"/>
      <c r="R40" s="19"/>
      <c r="S40" s="2"/>
      <c r="T40" s="2">
        <f>--1892.28</f>
        <v>1892.28</v>
      </c>
      <c r="U40" s="2"/>
      <c r="V40" s="19"/>
      <c r="W40" s="2"/>
      <c r="X40" s="2">
        <f t="shared" si="2"/>
        <v>-98.339999999999918</v>
      </c>
      <c r="Y40" s="2"/>
      <c r="Z40" s="19">
        <f t="shared" si="3"/>
        <v>-5.1969053205656625E-2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--310.76</f>
        <v>310.76</v>
      </c>
      <c r="E41" s="2"/>
      <c r="F41" s="19"/>
      <c r="G41" s="2"/>
      <c r="H41" s="2">
        <f>--286.76</f>
        <v>286.76</v>
      </c>
      <c r="I41" s="2"/>
      <c r="J41" s="19"/>
      <c r="K41" s="2"/>
      <c r="L41" s="2">
        <f t="shared" si="0"/>
        <v>24</v>
      </c>
      <c r="M41" s="2"/>
      <c r="N41" s="19">
        <f t="shared" si="1"/>
        <v>8.3693681127074912E-2</v>
      </c>
      <c r="O41" s="11"/>
      <c r="P41" s="2">
        <f>--2534.43</f>
        <v>2534.4299999999998</v>
      </c>
      <c r="Q41" s="2"/>
      <c r="R41" s="19"/>
      <c r="S41" s="2"/>
      <c r="T41" s="2">
        <f>--2868.9</f>
        <v>2868.9</v>
      </c>
      <c r="U41" s="2"/>
      <c r="V41" s="19"/>
      <c r="W41" s="2"/>
      <c r="X41" s="2">
        <f t="shared" si="2"/>
        <v>-334.47000000000025</v>
      </c>
      <c r="Y41" s="2"/>
      <c r="Z41" s="19">
        <f t="shared" si="3"/>
        <v>-0.1165847537383667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--19</f>
        <v>19</v>
      </c>
      <c r="E42" s="2"/>
      <c r="F42" s="19"/>
      <c r="G42" s="2"/>
      <c r="H42" s="2">
        <f>--183</f>
        <v>183</v>
      </c>
      <c r="I42" s="2"/>
      <c r="J42" s="19"/>
      <c r="K42" s="2"/>
      <c r="L42" s="2">
        <f t="shared" si="0"/>
        <v>-164</v>
      </c>
      <c r="M42" s="2"/>
      <c r="N42" s="19">
        <f t="shared" si="1"/>
        <v>-0.89617486338797814</v>
      </c>
      <c r="O42" s="11"/>
      <c r="P42" s="2">
        <f>--181</f>
        <v>181</v>
      </c>
      <c r="Q42" s="2"/>
      <c r="R42" s="19"/>
      <c r="S42" s="2"/>
      <c r="T42" s="2">
        <f>--549</f>
        <v>549</v>
      </c>
      <c r="U42" s="2"/>
      <c r="V42" s="19"/>
      <c r="W42" s="2"/>
      <c r="X42" s="2">
        <f t="shared" si="2"/>
        <v>-368</v>
      </c>
      <c r="Y42" s="2"/>
      <c r="Z42" s="19">
        <f t="shared" si="3"/>
        <v>-0.67030965391621133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--129.88</f>
        <v>129.88</v>
      </c>
      <c r="E43" s="2"/>
      <c r="F43" s="19"/>
      <c r="G43" s="2"/>
      <c r="H43" s="2">
        <f>--154.89</f>
        <v>154.88999999999999</v>
      </c>
      <c r="I43" s="2"/>
      <c r="J43" s="19"/>
      <c r="K43" s="2"/>
      <c r="L43" s="2">
        <f t="shared" si="0"/>
        <v>-25.009999999999991</v>
      </c>
      <c r="M43" s="2"/>
      <c r="N43" s="19">
        <f t="shared" si="1"/>
        <v>-0.16146942991800628</v>
      </c>
      <c r="O43" s="11"/>
      <c r="P43" s="2">
        <f>--699.48</f>
        <v>699.48</v>
      </c>
      <c r="Q43" s="2"/>
      <c r="R43" s="19"/>
      <c r="S43" s="2"/>
      <c r="T43" s="2">
        <f>--844.33</f>
        <v>844.33</v>
      </c>
      <c r="U43" s="2"/>
      <c r="V43" s="19"/>
      <c r="W43" s="2"/>
      <c r="X43" s="2">
        <f t="shared" si="2"/>
        <v>-144.85000000000002</v>
      </c>
      <c r="Y43" s="2"/>
      <c r="Z43" s="19">
        <f t="shared" si="3"/>
        <v>-0.1715561451091398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--58.98</f>
        <v>58.98</v>
      </c>
      <c r="E44" s="2"/>
      <c r="F44" s="19"/>
      <c r="G44" s="2"/>
      <c r="H44" s="2">
        <f>--177.92</f>
        <v>177.92</v>
      </c>
      <c r="I44" s="2"/>
      <c r="J44" s="19"/>
      <c r="K44" s="2"/>
      <c r="L44" s="2">
        <f t="shared" si="0"/>
        <v>-118.94</v>
      </c>
      <c r="M44" s="2"/>
      <c r="N44" s="19">
        <f t="shared" si="1"/>
        <v>-0.66850269784172667</v>
      </c>
      <c r="O44" s="11"/>
      <c r="P44" s="2">
        <f>--698.77</f>
        <v>698.77</v>
      </c>
      <c r="Q44" s="2"/>
      <c r="R44" s="19"/>
      <c r="S44" s="2"/>
      <c r="T44" s="2">
        <f>--1273.32</f>
        <v>1273.32</v>
      </c>
      <c r="U44" s="2"/>
      <c r="V44" s="19"/>
      <c r="W44" s="2"/>
      <c r="X44" s="2">
        <f t="shared" si="2"/>
        <v>-574.54999999999995</v>
      </c>
      <c r="Y44" s="2"/>
      <c r="Z44" s="19">
        <f t="shared" si="3"/>
        <v>-0.45122200232463167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--218.75</f>
        <v>218.75</v>
      </c>
      <c r="E45" s="2"/>
      <c r="F45" s="19"/>
      <c r="G45" s="2"/>
      <c r="H45" s="2">
        <f>--334.6</f>
        <v>334.6</v>
      </c>
      <c r="I45" s="2"/>
      <c r="J45" s="19"/>
      <c r="K45" s="2"/>
      <c r="L45" s="2">
        <f t="shared" si="0"/>
        <v>-115.85000000000002</v>
      </c>
      <c r="M45" s="2"/>
      <c r="N45" s="19">
        <f t="shared" si="1"/>
        <v>-0.34623430962343099</v>
      </c>
      <c r="O45" s="11"/>
      <c r="P45" s="2">
        <f>--7659.37</f>
        <v>7659.37</v>
      </c>
      <c r="Q45" s="2"/>
      <c r="R45" s="19"/>
      <c r="S45" s="2"/>
      <c r="T45" s="2">
        <f>--6961.06</f>
        <v>6961.06</v>
      </c>
      <c r="U45" s="2"/>
      <c r="V45" s="19"/>
      <c r="W45" s="2"/>
      <c r="X45" s="2">
        <f t="shared" si="2"/>
        <v>698.30999999999949</v>
      </c>
      <c r="Y45" s="2"/>
      <c r="Z45" s="19">
        <f t="shared" si="3"/>
        <v>0.10031661844604119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--20.89</f>
        <v>20.89</v>
      </c>
      <c r="E46" s="2"/>
      <c r="F46" s="19"/>
      <c r="G46" s="2"/>
      <c r="H46" s="2">
        <f>--95.14</f>
        <v>95.14</v>
      </c>
      <c r="I46" s="2"/>
      <c r="J46" s="19"/>
      <c r="K46" s="2"/>
      <c r="L46" s="2">
        <f t="shared" si="0"/>
        <v>-74.25</v>
      </c>
      <c r="M46" s="2"/>
      <c r="N46" s="19">
        <f t="shared" si="1"/>
        <v>-0.78042884170695814</v>
      </c>
      <c r="O46" s="11"/>
      <c r="P46" s="2">
        <f>--297.33</f>
        <v>297.33</v>
      </c>
      <c r="Q46" s="2"/>
      <c r="R46" s="19"/>
      <c r="S46" s="2"/>
      <c r="T46" s="2">
        <f>--1332.78</f>
        <v>1332.78</v>
      </c>
      <c r="U46" s="2"/>
      <c r="V46" s="19"/>
      <c r="W46" s="2"/>
      <c r="X46" s="2">
        <f t="shared" si="2"/>
        <v>-1035.45</v>
      </c>
      <c r="Y46" s="2"/>
      <c r="Z46" s="19">
        <f t="shared" si="3"/>
        <v>-0.77690991761581063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--87.99</f>
        <v>87.99</v>
      </c>
      <c r="E47" s="2"/>
      <c r="F47" s="19"/>
      <c r="G47" s="2"/>
      <c r="H47" s="2">
        <f>-154.35</f>
        <v>-154.35</v>
      </c>
      <c r="I47" s="2"/>
      <c r="J47" s="19"/>
      <c r="K47" s="2"/>
      <c r="L47" s="2">
        <f t="shared" si="0"/>
        <v>242.33999999999997</v>
      </c>
      <c r="M47" s="2"/>
      <c r="N47" s="19">
        <f t="shared" si="1"/>
        <v>-1.5700680272108842</v>
      </c>
      <c r="O47" s="11"/>
      <c r="P47" s="2">
        <f>--335928.55</f>
        <v>335928.55</v>
      </c>
      <c r="Q47" s="2"/>
      <c r="R47" s="19"/>
      <c r="S47" s="2"/>
      <c r="T47" s="2">
        <f>--390585.92</f>
        <v>390585.92</v>
      </c>
      <c r="U47" s="2"/>
      <c r="V47" s="19"/>
      <c r="W47" s="2"/>
      <c r="X47" s="2">
        <f t="shared" si="2"/>
        <v>-54657.369999999995</v>
      </c>
      <c r="Y47" s="2"/>
      <c r="Z47" s="19">
        <f t="shared" si="3"/>
        <v>-0.13993686715588724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--2606.82</f>
        <v>2606.8200000000002</v>
      </c>
      <c r="E48" s="2"/>
      <c r="F48" s="19"/>
      <c r="G48" s="2"/>
      <c r="H48" s="2">
        <f>--45608.9</f>
        <v>45608.9</v>
      </c>
      <c r="I48" s="2"/>
      <c r="J48" s="19"/>
      <c r="K48" s="2"/>
      <c r="L48" s="2">
        <f t="shared" si="0"/>
        <v>-43002.080000000002</v>
      </c>
      <c r="M48" s="2"/>
      <c r="N48" s="19">
        <f t="shared" si="1"/>
        <v>-0.94284405017441775</v>
      </c>
      <c r="O48" s="11"/>
      <c r="P48" s="2">
        <f>--95287.57</f>
        <v>95287.57</v>
      </c>
      <c r="Q48" s="2"/>
      <c r="R48" s="19"/>
      <c r="S48" s="2"/>
      <c r="T48" s="2">
        <f>--194261.23</f>
        <v>194261.23</v>
      </c>
      <c r="U48" s="2"/>
      <c r="V48" s="19"/>
      <c r="W48" s="2"/>
      <c r="X48" s="2">
        <f t="shared" si="2"/>
        <v>-98973.66</v>
      </c>
      <c r="Y48" s="2"/>
      <c r="Z48" s="19">
        <f t="shared" si="3"/>
        <v>-0.50948745665823281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--595.75</f>
        <v>595.75</v>
      </c>
      <c r="E49" s="2"/>
      <c r="F49" s="19"/>
      <c r="G49" s="2"/>
      <c r="H49" s="2">
        <f>--3095.04</f>
        <v>3095.04</v>
      </c>
      <c r="I49" s="2"/>
      <c r="J49" s="19"/>
      <c r="K49" s="2"/>
      <c r="L49" s="2">
        <f t="shared" si="0"/>
        <v>-2499.29</v>
      </c>
      <c r="M49" s="2"/>
      <c r="N49" s="19">
        <f t="shared" si="1"/>
        <v>-0.80751460401157982</v>
      </c>
      <c r="O49" s="11"/>
      <c r="P49" s="2">
        <f>--38202.59</f>
        <v>38202.589999999997</v>
      </c>
      <c r="Q49" s="2"/>
      <c r="R49" s="19"/>
      <c r="S49" s="2"/>
      <c r="T49" s="2">
        <f>--53955.66</f>
        <v>53955.66</v>
      </c>
      <c r="U49" s="2"/>
      <c r="V49" s="19"/>
      <c r="W49" s="2"/>
      <c r="X49" s="2">
        <f t="shared" si="2"/>
        <v>-15753.070000000007</v>
      </c>
      <c r="Y49" s="2"/>
      <c r="Z49" s="19">
        <f t="shared" si="3"/>
        <v>-0.29196325278942015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--329.98</f>
        <v>329.98</v>
      </c>
      <c r="Q50" s="2"/>
      <c r="R50" s="19"/>
      <c r="S50" s="2"/>
      <c r="T50" s="2">
        <f>--509.85</f>
        <v>509.85</v>
      </c>
      <c r="U50" s="2"/>
      <c r="V50" s="19"/>
      <c r="W50" s="2"/>
      <c r="X50" s="2">
        <f t="shared" si="2"/>
        <v>-179.87</v>
      </c>
      <c r="Y50" s="2"/>
      <c r="Z50" s="19">
        <f t="shared" si="3"/>
        <v>-0.35279003628518191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--12189.74</f>
        <v>12189.74</v>
      </c>
      <c r="E51" s="2"/>
      <c r="F51" s="19"/>
      <c r="G51" s="2"/>
      <c r="H51" s="2">
        <f>--3241.51</f>
        <v>3241.51</v>
      </c>
      <c r="I51" s="2"/>
      <c r="J51" s="19"/>
      <c r="K51" s="2"/>
      <c r="L51" s="2">
        <f t="shared" si="0"/>
        <v>8948.23</v>
      </c>
      <c r="M51" s="2"/>
      <c r="N51" s="19">
        <f t="shared" si="1"/>
        <v>2.7605128474075351</v>
      </c>
      <c r="O51" s="11"/>
      <c r="P51" s="2">
        <f>--332888.83</f>
        <v>332888.83</v>
      </c>
      <c r="Q51" s="2"/>
      <c r="R51" s="19"/>
      <c r="S51" s="2"/>
      <c r="T51" s="2">
        <f>--340965.12</f>
        <v>340965.12</v>
      </c>
      <c r="U51" s="2"/>
      <c r="V51" s="19"/>
      <c r="W51" s="2"/>
      <c r="X51" s="2">
        <f t="shared" si="2"/>
        <v>-8076.289999999979</v>
      </c>
      <c r="Y51" s="2"/>
      <c r="Z51" s="19">
        <f t="shared" si="3"/>
        <v>-2.3686557733529984E-2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--431.78</f>
        <v>431.78</v>
      </c>
      <c r="E52" s="2"/>
      <c r="F52" s="19"/>
      <c r="G52" s="2"/>
      <c r="H52" s="2">
        <f>--1236.5</f>
        <v>1236.5</v>
      </c>
      <c r="I52" s="2"/>
      <c r="J52" s="19"/>
      <c r="K52" s="2"/>
      <c r="L52" s="2">
        <f t="shared" si="0"/>
        <v>-804.72</v>
      </c>
      <c r="M52" s="2"/>
      <c r="N52" s="19">
        <f t="shared" si="1"/>
        <v>-0.6508046906591185</v>
      </c>
      <c r="O52" s="11"/>
      <c r="P52" s="2">
        <f>--8023.97</f>
        <v>8023.97</v>
      </c>
      <c r="Q52" s="2"/>
      <c r="R52" s="19"/>
      <c r="S52" s="2"/>
      <c r="T52" s="2">
        <f>--11154.48</f>
        <v>11154.48</v>
      </c>
      <c r="U52" s="2"/>
      <c r="V52" s="19"/>
      <c r="W52" s="2"/>
      <c r="X52" s="2">
        <f t="shared" si="2"/>
        <v>-3130.5099999999993</v>
      </c>
      <c r="Y52" s="2"/>
      <c r="Z52" s="19">
        <f t="shared" si="3"/>
        <v>-0.28065046510460367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>
        <f>--38.23</f>
        <v>38.229999999999997</v>
      </c>
      <c r="U53" s="2"/>
      <c r="V53" s="19"/>
      <c r="W53" s="2"/>
      <c r="X53" s="2">
        <f t="shared" si="2"/>
        <v>1108.49</v>
      </c>
      <c r="Y53" s="2"/>
      <c r="Z53" s="19">
        <f t="shared" si="3"/>
        <v>28.995291655767723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--6.95</f>
        <v>6.95</v>
      </c>
      <c r="E54" s="2"/>
      <c r="F54" s="19"/>
      <c r="G54" s="2"/>
      <c r="H54" s="2">
        <f>--10.89</f>
        <v>10.89</v>
      </c>
      <c r="I54" s="2"/>
      <c r="J54" s="19"/>
      <c r="K54" s="2"/>
      <c r="L54" s="2">
        <f t="shared" si="0"/>
        <v>-3.9400000000000004</v>
      </c>
      <c r="M54" s="2"/>
      <c r="N54" s="19">
        <f t="shared" si="1"/>
        <v>-0.36179981634527092</v>
      </c>
      <c r="O54" s="11"/>
      <c r="P54" s="2">
        <f>--41.91</f>
        <v>41.91</v>
      </c>
      <c r="Q54" s="2"/>
      <c r="R54" s="19"/>
      <c r="S54" s="2"/>
      <c r="T54" s="2">
        <f>--132.64</f>
        <v>132.63999999999999</v>
      </c>
      <c r="U54" s="2"/>
      <c r="V54" s="19"/>
      <c r="W54" s="2"/>
      <c r="X54" s="2">
        <f t="shared" si="2"/>
        <v>-90.72999999999999</v>
      </c>
      <c r="Y54" s="2"/>
      <c r="Z54" s="19">
        <f t="shared" si="3"/>
        <v>-0.68403196622436668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0</f>
        <v>0</v>
      </c>
      <c r="E55" s="2"/>
      <c r="F55" s="19"/>
      <c r="G55" s="2"/>
      <c r="H55" s="2">
        <f>--11.31</f>
        <v>11.31</v>
      </c>
      <c r="I55" s="2"/>
      <c r="J55" s="19"/>
      <c r="K55" s="2"/>
      <c r="L55" s="2">
        <f t="shared" si="0"/>
        <v>-11.31</v>
      </c>
      <c r="M55" s="2"/>
      <c r="N55" s="19">
        <f t="shared" si="1"/>
        <v>-1</v>
      </c>
      <c r="O55" s="11"/>
      <c r="P55" s="2">
        <f>--124.18</f>
        <v>124.18</v>
      </c>
      <c r="Q55" s="2"/>
      <c r="R55" s="19"/>
      <c r="S55" s="2"/>
      <c r="T55" s="2">
        <f>--172.04</f>
        <v>172.04</v>
      </c>
      <c r="U55" s="2"/>
      <c r="V55" s="19"/>
      <c r="W55" s="2"/>
      <c r="X55" s="2">
        <f t="shared" si="2"/>
        <v>-47.859999999999985</v>
      </c>
      <c r="Y55" s="2"/>
      <c r="Z55" s="19">
        <f t="shared" si="3"/>
        <v>-0.27819111834457094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--38.73</f>
        <v>38.729999999999997</v>
      </c>
      <c r="E56" s="2"/>
      <c r="F56" s="19"/>
      <c r="G56" s="2"/>
      <c r="H56" s="2">
        <f>--192.74</f>
        <v>192.74</v>
      </c>
      <c r="I56" s="2"/>
      <c r="J56" s="19"/>
      <c r="K56" s="2"/>
      <c r="L56" s="2">
        <f t="shared" si="0"/>
        <v>-154.01000000000002</v>
      </c>
      <c r="M56" s="2"/>
      <c r="N56" s="19">
        <f t="shared" si="1"/>
        <v>-0.79905572273529113</v>
      </c>
      <c r="O56" s="11"/>
      <c r="P56" s="2">
        <f>--1509.11</f>
        <v>1509.11</v>
      </c>
      <c r="Q56" s="2"/>
      <c r="R56" s="19"/>
      <c r="S56" s="2"/>
      <c r="T56" s="2">
        <f>--2005.43</f>
        <v>2005.43</v>
      </c>
      <c r="U56" s="2"/>
      <c r="V56" s="19"/>
      <c r="W56" s="2"/>
      <c r="X56" s="2">
        <f t="shared" si="2"/>
        <v>-496.32000000000016</v>
      </c>
      <c r="Y56" s="2"/>
      <c r="Z56" s="19">
        <f t="shared" si="3"/>
        <v>-0.24748806989024805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 t="shared" ref="D57:D58" si="4">0</f>
        <v>0</v>
      </c>
      <c r="E57" s="2"/>
      <c r="F57" s="19"/>
      <c r="G57" s="2"/>
      <c r="H57" s="2">
        <f>--721.23</f>
        <v>721.23</v>
      </c>
      <c r="I57" s="2"/>
      <c r="J57" s="19"/>
      <c r="K57" s="2"/>
      <c r="L57" s="2">
        <f t="shared" si="0"/>
        <v>-721.23</v>
      </c>
      <c r="M57" s="2"/>
      <c r="N57" s="19">
        <f t="shared" si="1"/>
        <v>-1</v>
      </c>
      <c r="O57" s="11"/>
      <c r="P57" s="2">
        <f>--2603.4</f>
        <v>2603.4</v>
      </c>
      <c r="Q57" s="2"/>
      <c r="R57" s="19"/>
      <c r="S57" s="2"/>
      <c r="T57" s="2">
        <f>--9446.53</f>
        <v>9446.5300000000007</v>
      </c>
      <c r="U57" s="2"/>
      <c r="V57" s="19"/>
      <c r="W57" s="2"/>
      <c r="X57" s="2">
        <f t="shared" si="2"/>
        <v>-6843.130000000001</v>
      </c>
      <c r="Y57" s="2"/>
      <c r="Z57" s="19">
        <f t="shared" si="3"/>
        <v>-0.72440673982933423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 t="shared" si="4"/>
        <v>0</v>
      </c>
      <c r="E58" s="2"/>
      <c r="F58" s="19"/>
      <c r="G58" s="2"/>
      <c r="H58" s="2">
        <f>--31.29</f>
        <v>31.29</v>
      </c>
      <c r="I58" s="2"/>
      <c r="J58" s="19"/>
      <c r="K58" s="2"/>
      <c r="L58" s="2">
        <f t="shared" si="0"/>
        <v>-31.29</v>
      </c>
      <c r="M58" s="2"/>
      <c r="N58" s="19">
        <f t="shared" si="1"/>
        <v>-1</v>
      </c>
      <c r="O58" s="11"/>
      <c r="P58" s="2">
        <f>--348.72</f>
        <v>348.72</v>
      </c>
      <c r="Q58" s="2"/>
      <c r="R58" s="19"/>
      <c r="S58" s="2"/>
      <c r="T58" s="2">
        <f>--656.99</f>
        <v>656.99</v>
      </c>
      <c r="U58" s="2"/>
      <c r="V58" s="19"/>
      <c r="W58" s="2"/>
      <c r="X58" s="2">
        <f t="shared" si="2"/>
        <v>-308.27</v>
      </c>
      <c r="Y58" s="2"/>
      <c r="Z58" s="19">
        <f t="shared" si="3"/>
        <v>-0.46921566538303472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--4058.22</f>
        <v>4058.22</v>
      </c>
      <c r="E59" s="2"/>
      <c r="F59" s="19"/>
      <c r="G59" s="2"/>
      <c r="H59" s="2">
        <f>--5535.53</f>
        <v>5535.53</v>
      </c>
      <c r="I59" s="2"/>
      <c r="J59" s="19"/>
      <c r="K59" s="2"/>
      <c r="L59" s="2">
        <f t="shared" si="0"/>
        <v>-1477.31</v>
      </c>
      <c r="M59" s="2"/>
      <c r="N59" s="19">
        <f t="shared" si="1"/>
        <v>-0.26687778767344772</v>
      </c>
      <c r="O59" s="11"/>
      <c r="P59" s="2">
        <f>--39085.73</f>
        <v>39085.730000000003</v>
      </c>
      <c r="Q59" s="2"/>
      <c r="R59" s="19"/>
      <c r="S59" s="2"/>
      <c r="T59" s="2">
        <f>--39059.72</f>
        <v>39059.72</v>
      </c>
      <c r="U59" s="2"/>
      <c r="V59" s="19"/>
      <c r="W59" s="2"/>
      <c r="X59" s="2">
        <f t="shared" si="2"/>
        <v>26.010000000002037</v>
      </c>
      <c r="Y59" s="2"/>
      <c r="Z59" s="19">
        <f t="shared" si="3"/>
        <v>6.6590339101258366E-4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--1170.81</f>
        <v>1170.81</v>
      </c>
      <c r="E60" s="2"/>
      <c r="F60" s="19"/>
      <c r="G60" s="2"/>
      <c r="H60" s="2">
        <f>--1361.04</f>
        <v>1361.04</v>
      </c>
      <c r="I60" s="2"/>
      <c r="J60" s="19"/>
      <c r="K60" s="2"/>
      <c r="L60" s="2">
        <f t="shared" si="0"/>
        <v>-190.23000000000002</v>
      </c>
      <c r="M60" s="2"/>
      <c r="N60" s="19">
        <f t="shared" si="1"/>
        <v>-0.1397681184976195</v>
      </c>
      <c r="O60" s="11"/>
      <c r="P60" s="2">
        <f>--11445.2</f>
        <v>11445.2</v>
      </c>
      <c r="Q60" s="2"/>
      <c r="R60" s="19"/>
      <c r="S60" s="2"/>
      <c r="T60" s="2">
        <f>--9997.23</f>
        <v>9997.23</v>
      </c>
      <c r="U60" s="2"/>
      <c r="V60" s="19"/>
      <c r="W60" s="2"/>
      <c r="X60" s="2">
        <f t="shared" si="2"/>
        <v>1447.9700000000012</v>
      </c>
      <c r="Y60" s="2"/>
      <c r="Z60" s="19">
        <f t="shared" si="3"/>
        <v>0.14483711988220749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--1305.22</f>
        <v>1305.22</v>
      </c>
      <c r="E61" s="2"/>
      <c r="F61" s="19"/>
      <c r="G61" s="2"/>
      <c r="H61" s="2">
        <f>--1560.42</f>
        <v>1560.42</v>
      </c>
      <c r="I61" s="2"/>
      <c r="J61" s="19"/>
      <c r="K61" s="2"/>
      <c r="L61" s="2">
        <f t="shared" si="0"/>
        <v>-255.20000000000005</v>
      </c>
      <c r="M61" s="2"/>
      <c r="N61" s="19">
        <f t="shared" si="1"/>
        <v>-0.16354571205188348</v>
      </c>
      <c r="O61" s="11"/>
      <c r="P61" s="2">
        <f>--12121.78</f>
        <v>12121.78</v>
      </c>
      <c r="Q61" s="2"/>
      <c r="R61" s="19"/>
      <c r="S61" s="2"/>
      <c r="T61" s="2">
        <f>--10466.71</f>
        <v>10466.709999999999</v>
      </c>
      <c r="U61" s="2"/>
      <c r="V61" s="19"/>
      <c r="W61" s="2"/>
      <c r="X61" s="2">
        <f t="shared" si="2"/>
        <v>1655.0700000000015</v>
      </c>
      <c r="Y61" s="2"/>
      <c r="Z61" s="19">
        <f t="shared" si="3"/>
        <v>0.15812705234022933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>0</f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0</f>
        <v>0</v>
      </c>
      <c r="Q62" s="2"/>
      <c r="R62" s="19"/>
      <c r="S62" s="2"/>
      <c r="T62" s="2">
        <f>--109.47</f>
        <v>109.47</v>
      </c>
      <c r="U62" s="2"/>
      <c r="V62" s="19"/>
      <c r="W62" s="2"/>
      <c r="X62" s="2">
        <f t="shared" si="2"/>
        <v>-109.47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>--3.59</f>
        <v>3.59</v>
      </c>
      <c r="E63" s="2"/>
      <c r="F63" s="19"/>
      <c r="G63" s="2"/>
      <c r="H63" s="2">
        <f>--49.18</f>
        <v>49.18</v>
      </c>
      <c r="I63" s="2"/>
      <c r="J63" s="19"/>
      <c r="K63" s="2"/>
      <c r="L63" s="2">
        <f t="shared" si="0"/>
        <v>-45.59</v>
      </c>
      <c r="M63" s="2"/>
      <c r="N63" s="19">
        <f t="shared" si="1"/>
        <v>-0.9270028466856447</v>
      </c>
      <c r="O63" s="11"/>
      <c r="P63" s="2">
        <f>--118.32</f>
        <v>118.32</v>
      </c>
      <c r="Q63" s="2"/>
      <c r="R63" s="19"/>
      <c r="S63" s="2"/>
      <c r="T63" s="2">
        <f>--172.6</f>
        <v>172.6</v>
      </c>
      <c r="U63" s="2"/>
      <c r="V63" s="19"/>
      <c r="W63" s="2"/>
      <c r="X63" s="2">
        <f t="shared" si="2"/>
        <v>-54.28</v>
      </c>
      <c r="Y63" s="2"/>
      <c r="Z63" s="19">
        <f t="shared" si="3"/>
        <v>-0.3144843568945539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>--623.73</f>
        <v>623.73</v>
      </c>
      <c r="E64" s="2"/>
      <c r="F64" s="19"/>
      <c r="G64" s="2"/>
      <c r="H64" s="2">
        <f>--751.65</f>
        <v>751.65</v>
      </c>
      <c r="I64" s="2"/>
      <c r="J64" s="19"/>
      <c r="K64" s="2"/>
      <c r="L64" s="2">
        <f t="shared" si="0"/>
        <v>-127.91999999999996</v>
      </c>
      <c r="M64" s="2"/>
      <c r="N64" s="19">
        <f t="shared" si="1"/>
        <v>-0.17018559169826378</v>
      </c>
      <c r="O64" s="11"/>
      <c r="P64" s="2">
        <f>--5913.07</f>
        <v>5913.07</v>
      </c>
      <c r="Q64" s="2"/>
      <c r="R64" s="19"/>
      <c r="S64" s="2"/>
      <c r="T64" s="2">
        <f>--5535.11</f>
        <v>5535.11</v>
      </c>
      <c r="U64" s="2"/>
      <c r="V64" s="19"/>
      <c r="W64" s="2"/>
      <c r="X64" s="2">
        <f t="shared" si="2"/>
        <v>377.96000000000004</v>
      </c>
      <c r="Y64" s="2"/>
      <c r="Z64" s="19">
        <f t="shared" si="3"/>
        <v>6.8284099141661156E-2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--18815.05</f>
        <v>18815.05</v>
      </c>
      <c r="E65" s="2"/>
      <c r="F65" s="19"/>
      <c r="G65" s="2"/>
      <c r="H65" s="2">
        <f>--5726.91</f>
        <v>5726.91</v>
      </c>
      <c r="I65" s="2"/>
      <c r="J65" s="19"/>
      <c r="K65" s="2"/>
      <c r="L65" s="2">
        <f t="shared" si="0"/>
        <v>13088.14</v>
      </c>
      <c r="M65" s="2"/>
      <c r="N65" s="19">
        <f t="shared" si="1"/>
        <v>2.2853755341012869</v>
      </c>
      <c r="O65" s="11"/>
      <c r="P65" s="2">
        <f>--38823.84</f>
        <v>38823.839999999997</v>
      </c>
      <c r="Q65" s="2"/>
      <c r="R65" s="19"/>
      <c r="S65" s="2"/>
      <c r="T65" s="2">
        <f>--20388.07</f>
        <v>20388.07</v>
      </c>
      <c r="U65" s="2"/>
      <c r="V65" s="19"/>
      <c r="W65" s="2"/>
      <c r="X65" s="2">
        <f t="shared" si="2"/>
        <v>18435.769999999997</v>
      </c>
      <c r="Y65" s="2"/>
      <c r="Z65" s="19">
        <f t="shared" si="3"/>
        <v>0.90424302055074346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--699.6</f>
        <v>699.6</v>
      </c>
      <c r="E66" s="2"/>
      <c r="F66" s="19"/>
      <c r="G66" s="2"/>
      <c r="H66" s="2">
        <f>--699.55</f>
        <v>699.55</v>
      </c>
      <c r="I66" s="2"/>
      <c r="J66" s="19"/>
      <c r="K66" s="2"/>
      <c r="L66" s="2">
        <f t="shared" si="0"/>
        <v>5.0000000000068212E-2</v>
      </c>
      <c r="M66" s="2"/>
      <c r="N66" s="19">
        <f t="shared" si="1"/>
        <v>7.1474519333954991E-5</v>
      </c>
      <c r="O66" s="11"/>
      <c r="P66" s="2">
        <f>--2529.88</f>
        <v>2529.88</v>
      </c>
      <c r="Q66" s="2"/>
      <c r="R66" s="19"/>
      <c r="S66" s="2"/>
      <c r="T66" s="2">
        <f>--3372.33</f>
        <v>3372.33</v>
      </c>
      <c r="U66" s="2"/>
      <c r="V66" s="19"/>
      <c r="W66" s="2"/>
      <c r="X66" s="2">
        <f t="shared" si="2"/>
        <v>-842.44999999999982</v>
      </c>
      <c r="Y66" s="2"/>
      <c r="Z66" s="19">
        <f t="shared" si="3"/>
        <v>-0.24981244421512719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--2554.55</f>
        <v>2554.5500000000002</v>
      </c>
      <c r="E67" s="2"/>
      <c r="F67" s="19"/>
      <c r="G67" s="2"/>
      <c r="H67" s="2">
        <f>--4284.55</f>
        <v>4284.55</v>
      </c>
      <c r="I67" s="2"/>
      <c r="J67" s="19"/>
      <c r="K67" s="2"/>
      <c r="L67" s="2">
        <f t="shared" si="0"/>
        <v>-1730</v>
      </c>
      <c r="M67" s="2"/>
      <c r="N67" s="19">
        <f t="shared" si="1"/>
        <v>-0.40377635924426136</v>
      </c>
      <c r="O67" s="11"/>
      <c r="P67" s="2">
        <f>--10487.38</f>
        <v>10487.38</v>
      </c>
      <c r="Q67" s="2"/>
      <c r="R67" s="19"/>
      <c r="S67" s="2"/>
      <c r="T67" s="2">
        <f>--11845.75</f>
        <v>11845.75</v>
      </c>
      <c r="U67" s="2"/>
      <c r="V67" s="19"/>
      <c r="W67" s="2"/>
      <c r="X67" s="2">
        <f t="shared" si="2"/>
        <v>-1358.3700000000008</v>
      </c>
      <c r="Y67" s="2"/>
      <c r="Z67" s="19">
        <f t="shared" si="3"/>
        <v>-0.11467150665850628</v>
      </c>
    </row>
    <row r="68" spans="1:26" s="24" customFormat="1" hidden="1" outlineLevel="1" x14ac:dyDescent="0.25">
      <c r="A68" s="44"/>
      <c r="B68" s="11" t="str">
        <f>CONCATENATE("          ", "4144", " - ", "NON-TAXABLE SALES-ACCESSORIES")</f>
        <v xml:space="preserve">          4144 - NON-TAXABLE SALES-ACCESSORIES</v>
      </c>
      <c r="C68" s="11"/>
      <c r="D68" s="2">
        <f>--351.29</f>
        <v>351.29</v>
      </c>
      <c r="E68" s="2"/>
      <c r="F68" s="19"/>
      <c r="G68" s="2"/>
      <c r="H68" s="2">
        <f>--19.94</f>
        <v>19.940000000000001</v>
      </c>
      <c r="I68" s="2"/>
      <c r="J68" s="19"/>
      <c r="K68" s="2"/>
      <c r="L68" s="2">
        <f t="shared" si="0"/>
        <v>331.35</v>
      </c>
      <c r="M68" s="2"/>
      <c r="N68" s="19">
        <f t="shared" si="1"/>
        <v>16.617352056168507</v>
      </c>
      <c r="O68" s="11"/>
      <c r="P68" s="2">
        <f>--592.85</f>
        <v>592.85</v>
      </c>
      <c r="Q68" s="2"/>
      <c r="R68" s="19"/>
      <c r="S68" s="2"/>
      <c r="T68" s="2">
        <f>--360.54</f>
        <v>360.54</v>
      </c>
      <c r="U68" s="2"/>
      <c r="V68" s="19"/>
      <c r="W68" s="2"/>
      <c r="X68" s="2">
        <f t="shared" si="2"/>
        <v>232.31</v>
      </c>
      <c r="Y68" s="2"/>
      <c r="Z68" s="19">
        <f t="shared" si="3"/>
        <v>0.64433904698507793</v>
      </c>
    </row>
    <row r="69" spans="1:26" s="24" customFormat="1" hidden="1" outlineLevel="1" x14ac:dyDescent="0.25">
      <c r="A69" s="44"/>
      <c r="B69" s="11" t="str">
        <f>CONCATENATE("          ", "4145", " - ", "NON-TAXABLE SALES-SPECIAL ORDE")</f>
        <v xml:space="preserve">          4145 - NON-TAXABLE SALES-SPECIAL ORDE</v>
      </c>
      <c r="C69" s="11"/>
      <c r="D69" s="2">
        <f>0</f>
        <v>0</v>
      </c>
      <c r="E69" s="2"/>
      <c r="F69" s="19"/>
      <c r="G69" s="2"/>
      <c r="H69" s="2">
        <f>--89.8</f>
        <v>89.8</v>
      </c>
      <c r="I69" s="2"/>
      <c r="J69" s="19"/>
      <c r="K69" s="2"/>
      <c r="L69" s="2">
        <f t="shared" si="0"/>
        <v>-89.8</v>
      </c>
      <c r="M69" s="2"/>
      <c r="N69" s="19">
        <f t="shared" si="1"/>
        <v>-1</v>
      </c>
      <c r="O69" s="11"/>
      <c r="P69" s="2">
        <f>--140</f>
        <v>140</v>
      </c>
      <c r="Q69" s="2"/>
      <c r="R69" s="19"/>
      <c r="S69" s="2"/>
      <c r="T69" s="2">
        <f>--1747.4</f>
        <v>1747.4</v>
      </c>
      <c r="U69" s="2"/>
      <c r="V69" s="19"/>
      <c r="W69" s="2"/>
      <c r="X69" s="2">
        <f t="shared" si="2"/>
        <v>-1607.4</v>
      </c>
      <c r="Y69" s="2"/>
      <c r="Z69" s="19">
        <f t="shared" si="3"/>
        <v>-0.91988096600663849</v>
      </c>
    </row>
    <row r="70" spans="1:26" s="24" customFormat="1" hidden="1" outlineLevel="1" x14ac:dyDescent="0.25">
      <c r="A70" s="44"/>
      <c r="B70" s="11" t="str">
        <f>CONCATENATE("          ", "4146", " - ", "NON-TAXABLE SALES-COIN OP MACH")</f>
        <v xml:space="preserve">          4146 - NON-TAXABLE SALES-COIN OP MACH</v>
      </c>
      <c r="C70" s="11"/>
      <c r="D70" s="2">
        <f>--27126.9</f>
        <v>27126.9</v>
      </c>
      <c r="E70" s="2"/>
      <c r="F70" s="19"/>
      <c r="G70" s="2"/>
      <c r="H70" s="2">
        <f>--31432.85</f>
        <v>31432.85</v>
      </c>
      <c r="I70" s="2"/>
      <c r="J70" s="19"/>
      <c r="K70" s="2"/>
      <c r="L70" s="2">
        <f t="shared" si="0"/>
        <v>-4305.9499999999971</v>
      </c>
      <c r="M70" s="2"/>
      <c r="N70" s="19">
        <f t="shared" si="1"/>
        <v>-0.13698885083598838</v>
      </c>
      <c r="O70" s="11"/>
      <c r="P70" s="2">
        <f>--146467.95</f>
        <v>146467.95000000001</v>
      </c>
      <c r="Q70" s="2"/>
      <c r="R70" s="19"/>
      <c r="S70" s="2"/>
      <c r="T70" s="2">
        <f>--149484</f>
        <v>149484</v>
      </c>
      <c r="U70" s="2"/>
      <c r="V70" s="19"/>
      <c r="W70" s="2"/>
      <c r="X70" s="2">
        <f t="shared" si="2"/>
        <v>-3016.0499999999884</v>
      </c>
      <c r="Y70" s="2"/>
      <c r="Z70" s="19">
        <f t="shared" si="3"/>
        <v>-2.0176406839527899E-2</v>
      </c>
    </row>
    <row r="71" spans="1:26" s="24" customFormat="1" hidden="1" outlineLevel="1" x14ac:dyDescent="0.25">
      <c r="A71" s="44"/>
      <c r="B71" s="11" t="str">
        <f>CONCATENATE("          ", "4147", " - ", "NON-TAXABLE SALES-MISC")</f>
        <v xml:space="preserve">          4147 - NON-TAXABLE SALES-MISC</v>
      </c>
      <c r="C71" s="11"/>
      <c r="D71" s="2">
        <f>--57.5</f>
        <v>57.5</v>
      </c>
      <c r="E71" s="2"/>
      <c r="F71" s="19"/>
      <c r="G71" s="2"/>
      <c r="H71" s="2">
        <f>--38.5</f>
        <v>38.5</v>
      </c>
      <c r="I71" s="2"/>
      <c r="J71" s="19"/>
      <c r="K71" s="2"/>
      <c r="L71" s="2">
        <f t="shared" si="0"/>
        <v>19</v>
      </c>
      <c r="M71" s="2"/>
      <c r="N71" s="19">
        <f t="shared" si="1"/>
        <v>0.4935064935064935</v>
      </c>
      <c r="O71" s="11"/>
      <c r="P71" s="2">
        <f>--307.4</f>
        <v>307.39999999999998</v>
      </c>
      <c r="Q71" s="2"/>
      <c r="R71" s="19"/>
      <c r="S71" s="2"/>
      <c r="T71" s="2">
        <f>--408.5</f>
        <v>408.5</v>
      </c>
      <c r="U71" s="2"/>
      <c r="V71" s="19"/>
      <c r="W71" s="2"/>
      <c r="X71" s="2">
        <f t="shared" si="2"/>
        <v>-101.10000000000002</v>
      </c>
      <c r="Y71" s="2"/>
      <c r="Z71" s="19">
        <f t="shared" si="3"/>
        <v>-0.24749082007343948</v>
      </c>
    </row>
    <row r="72" spans="1:26" s="24" customFormat="1" hidden="1" outlineLevel="1" x14ac:dyDescent="0.25">
      <c r="A72" s="44"/>
      <c r="B72" s="11" t="str">
        <f>CONCATENATE("          ", "4186", " - ", "NON-TAXABLE SALES-COMPUTER SUP")</f>
        <v xml:space="preserve">          4186 - NON-TAXABLE SALES-COMPUTER SUP</v>
      </c>
      <c r="C72" s="11"/>
      <c r="D72" s="2">
        <f>0</f>
        <v>0</v>
      </c>
      <c r="E72" s="2"/>
      <c r="F72" s="19"/>
      <c r="G72" s="2"/>
      <c r="H72" s="2">
        <f>-44.97</f>
        <v>-44.97</v>
      </c>
      <c r="I72" s="2"/>
      <c r="J72" s="19"/>
      <c r="K72" s="2"/>
      <c r="L72" s="2">
        <f t="shared" si="0"/>
        <v>44.97</v>
      </c>
      <c r="M72" s="2"/>
      <c r="N72" s="19">
        <f t="shared" si="1"/>
        <v>-1</v>
      </c>
      <c r="O72" s="11"/>
      <c r="P72" s="2">
        <f>-30.97</f>
        <v>-30.97</v>
      </c>
      <c r="Q72" s="2"/>
      <c r="R72" s="19"/>
      <c r="S72" s="2"/>
      <c r="T72" s="2">
        <f>-127.94</f>
        <v>-127.94</v>
      </c>
      <c r="U72" s="2"/>
      <c r="V72" s="19"/>
      <c r="W72" s="2"/>
      <c r="X72" s="2">
        <f t="shared" si="2"/>
        <v>96.97</v>
      </c>
      <c r="Y72" s="2"/>
      <c r="Z72" s="19">
        <f t="shared" si="3"/>
        <v>-0.7579334062841957</v>
      </c>
    </row>
    <row r="73" spans="1:26" s="24" customFormat="1" hidden="1" outlineLevel="1" x14ac:dyDescent="0.25">
      <c r="A73" s="44"/>
      <c r="B73" s="11" t="str">
        <f>CONCATENATE("          ", "4201", " - ", "SALES RETURN TAXABLE-NEW TEXT")</f>
        <v xml:space="preserve">          4201 - SALES RETURN TAXABLE-NEW TEXT</v>
      </c>
      <c r="C73" s="11"/>
      <c r="D73" s="2">
        <f>-631.8</f>
        <v>-631.79999999999995</v>
      </c>
      <c r="E73" s="2"/>
      <c r="F73" s="19"/>
      <c r="G73" s="2"/>
      <c r="H73" s="2">
        <f>-1458.3</f>
        <v>-1458.3</v>
      </c>
      <c r="I73" s="2"/>
      <c r="J73" s="19"/>
      <c r="K73" s="2"/>
      <c r="L73" s="2">
        <f t="shared" si="0"/>
        <v>826.5</v>
      </c>
      <c r="M73" s="2"/>
      <c r="N73" s="19">
        <f t="shared" si="1"/>
        <v>-0.56675581156140709</v>
      </c>
      <c r="O73" s="11"/>
      <c r="P73" s="2">
        <f>-78730.37</f>
        <v>-78730.37</v>
      </c>
      <c r="Q73" s="2"/>
      <c r="R73" s="19"/>
      <c r="S73" s="2"/>
      <c r="T73" s="2">
        <f>-114020.87</f>
        <v>-114020.87</v>
      </c>
      <c r="U73" s="2"/>
      <c r="V73" s="19"/>
      <c r="W73" s="2"/>
      <c r="X73" s="2">
        <f t="shared" si="2"/>
        <v>35290.5</v>
      </c>
      <c r="Y73" s="2"/>
      <c r="Z73" s="19">
        <f t="shared" si="3"/>
        <v>-0.30950912758339766</v>
      </c>
    </row>
    <row r="74" spans="1:26" s="24" customFormat="1" hidden="1" outlineLevel="1" x14ac:dyDescent="0.25">
      <c r="A74" s="44"/>
      <c r="B74" s="11" t="str">
        <f>CONCATENATE("          ", "4202", " - ", "SALES RETURN TAXABLE-USED TEXT")</f>
        <v xml:space="preserve">          4202 - SALES RETURN TAXABLE-USED TEXT</v>
      </c>
      <c r="C74" s="11"/>
      <c r="D74" s="2">
        <f>-166.15</f>
        <v>-166.15</v>
      </c>
      <c r="E74" s="2"/>
      <c r="F74" s="19"/>
      <c r="G74" s="2"/>
      <c r="H74" s="2">
        <f>-493.55</f>
        <v>-493.55</v>
      </c>
      <c r="I74" s="2"/>
      <c r="J74" s="19"/>
      <c r="K74" s="2"/>
      <c r="L74" s="2">
        <f t="shared" si="0"/>
        <v>327.39999999999998</v>
      </c>
      <c r="M74" s="2"/>
      <c r="N74" s="19">
        <f t="shared" si="1"/>
        <v>-0.66335730928983883</v>
      </c>
      <c r="O74" s="11"/>
      <c r="P74" s="2">
        <f>-27208.35</f>
        <v>-27208.35</v>
      </c>
      <c r="Q74" s="2"/>
      <c r="R74" s="19"/>
      <c r="S74" s="2"/>
      <c r="T74" s="2">
        <f>-29961.95</f>
        <v>-29961.95</v>
      </c>
      <c r="U74" s="2"/>
      <c r="V74" s="19"/>
      <c r="W74" s="2"/>
      <c r="X74" s="2">
        <f t="shared" si="2"/>
        <v>2753.6000000000022</v>
      </c>
      <c r="Y74" s="2"/>
      <c r="Z74" s="19">
        <f t="shared" si="3"/>
        <v>-9.1903230597474531E-2</v>
      </c>
    </row>
    <row r="75" spans="1:26" s="24" customFormat="1" hidden="1" outlineLevel="1" x14ac:dyDescent="0.25">
      <c r="A75" s="44"/>
      <c r="B75" s="11" t="str">
        <f>CONCATENATE("          ", "4203", " - ", "SALES RETURN TAXABLE-RENTAL TE")</f>
        <v xml:space="preserve">          4203 - SALES RETURN TAXABLE-RENTAL TE</v>
      </c>
      <c r="C75" s="11"/>
      <c r="D75" s="2">
        <f t="shared" ref="D75:D77" si="5">0</f>
        <v>0</v>
      </c>
      <c r="E75" s="2"/>
      <c r="F75" s="19"/>
      <c r="G75" s="2"/>
      <c r="H75" s="2">
        <f>0</f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-144.99</f>
        <v>-144.99</v>
      </c>
      <c r="Q75" s="2"/>
      <c r="R75" s="19"/>
      <c r="S75" s="2"/>
      <c r="T75" s="2">
        <f>-1699.5</f>
        <v>-1699.5</v>
      </c>
      <c r="U75" s="2"/>
      <c r="V75" s="19"/>
      <c r="W75" s="2"/>
      <c r="X75" s="2">
        <f t="shared" si="2"/>
        <v>1554.51</v>
      </c>
      <c r="Y75" s="2"/>
      <c r="Z75" s="19">
        <f t="shared" si="3"/>
        <v>-0.9146866725507502</v>
      </c>
    </row>
    <row r="76" spans="1:26" s="24" customFormat="1" hidden="1" outlineLevel="1" x14ac:dyDescent="0.25">
      <c r="A76" s="44"/>
      <c r="B76" s="11" t="str">
        <f>CONCATENATE("          ", "4204", " - ", "SALES RETURN TAXABLE-DIGITAL T")</f>
        <v xml:space="preserve">          4204 - SALES RETURN TAXABLE-DIGITAL T</v>
      </c>
      <c r="C76" s="11"/>
      <c r="D76" s="2">
        <f t="shared" si="5"/>
        <v>0</v>
      </c>
      <c r="E76" s="2"/>
      <c r="F76" s="19"/>
      <c r="G76" s="2"/>
      <c r="H76" s="2">
        <f>-56.78</f>
        <v>-56.78</v>
      </c>
      <c r="I76" s="2"/>
      <c r="J76" s="19"/>
      <c r="K76" s="2"/>
      <c r="L76" s="2">
        <f t="shared" si="0"/>
        <v>56.78</v>
      </c>
      <c r="M76" s="2"/>
      <c r="N76" s="19">
        <f t="shared" si="1"/>
        <v>-1</v>
      </c>
      <c r="O76" s="11"/>
      <c r="P76" s="2">
        <f>-11369.46</f>
        <v>-11369.46</v>
      </c>
      <c r="Q76" s="2"/>
      <c r="R76" s="19"/>
      <c r="S76" s="2"/>
      <c r="T76" s="2">
        <f>-16043.85</f>
        <v>-16043.85</v>
      </c>
      <c r="U76" s="2"/>
      <c r="V76" s="19"/>
      <c r="W76" s="2"/>
      <c r="X76" s="2">
        <f t="shared" si="2"/>
        <v>4674.3900000000012</v>
      </c>
      <c r="Y76" s="2"/>
      <c r="Z76" s="19">
        <f t="shared" si="3"/>
        <v>-0.29135089146308407</v>
      </c>
    </row>
    <row r="77" spans="1:26" s="24" customFormat="1" hidden="1" outlineLevel="1" x14ac:dyDescent="0.25">
      <c r="A77" s="44"/>
      <c r="B77" s="11" t="str">
        <f>CONCATENATE("          ", "4213", " - ", "NON-TAXABLE SALES-TRADE BOOKS")</f>
        <v xml:space="preserve">          4213 - NON-TAXABLE SALES-TRADE BOOKS</v>
      </c>
      <c r="C77" s="11"/>
      <c r="D77" s="2">
        <f t="shared" si="5"/>
        <v>0</v>
      </c>
      <c r="E77" s="2"/>
      <c r="F77" s="19"/>
      <c r="G77" s="2"/>
      <c r="H77" s="2">
        <f t="shared" ref="H77:H79" si="6">0</f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-102.71</f>
        <v>-102.71</v>
      </c>
      <c r="Q77" s="2"/>
      <c r="R77" s="19"/>
      <c r="S77" s="2"/>
      <c r="T77" s="2">
        <f>-96.96</f>
        <v>-96.96</v>
      </c>
      <c r="U77" s="2"/>
      <c r="V77" s="19"/>
      <c r="W77" s="2"/>
      <c r="X77" s="2">
        <f t="shared" si="2"/>
        <v>-5.75</v>
      </c>
      <c r="Y77" s="2"/>
      <c r="Z77" s="19">
        <f t="shared" si="3"/>
        <v>5.9302805280528059E-2</v>
      </c>
    </row>
    <row r="78" spans="1:26" s="24" customFormat="1" hidden="1" outlineLevel="1" x14ac:dyDescent="0.25">
      <c r="A78" s="44"/>
      <c r="B78" s="11" t="str">
        <f>CONCATENATE("          ", "4214", " - ", "SALES RETURN TAXABLE-REMAINDER")</f>
        <v xml:space="preserve">          4214 - SALES RETURN TAXABLE-REMAINDER</v>
      </c>
      <c r="C78" s="11"/>
      <c r="D78" s="2">
        <f>-11.94</f>
        <v>-11.94</v>
      </c>
      <c r="E78" s="2"/>
      <c r="F78" s="19"/>
      <c r="G78" s="2"/>
      <c r="H78" s="2">
        <f t="shared" si="6"/>
        <v>0</v>
      </c>
      <c r="I78" s="2"/>
      <c r="J78" s="19"/>
      <c r="K78" s="2"/>
      <c r="L78" s="2">
        <f t="shared" si="0"/>
        <v>-11.94</v>
      </c>
      <c r="M78" s="2"/>
      <c r="N78" s="19">
        <f t="shared" si="1"/>
        <v>0</v>
      </c>
      <c r="O78" s="11"/>
      <c r="P78" s="2">
        <f>-11.94</f>
        <v>-11.94</v>
      </c>
      <c r="Q78" s="2"/>
      <c r="R78" s="19"/>
      <c r="S78" s="2"/>
      <c r="T78" s="2">
        <f>-3.95</f>
        <v>-3.95</v>
      </c>
      <c r="U78" s="2"/>
      <c r="V78" s="19"/>
      <c r="W78" s="2"/>
      <c r="X78" s="2">
        <f t="shared" si="2"/>
        <v>-7.9899999999999993</v>
      </c>
      <c r="Y78" s="2"/>
      <c r="Z78" s="19">
        <f t="shared" si="3"/>
        <v>2.022784810126582</v>
      </c>
    </row>
    <row r="79" spans="1:26" s="24" customFormat="1" hidden="1" outlineLevel="1" x14ac:dyDescent="0.25">
      <c r="A79" s="44"/>
      <c r="B79" s="11" t="str">
        <f>CONCATENATE("          ", "4217", " - ", "NON-TAXABLE SALES-DORM/HOUSEWA")</f>
        <v xml:space="preserve">          4217 - NON-TAXABLE SALES-DORM/HOUSEWA</v>
      </c>
      <c r="C79" s="11"/>
      <c r="D79" s="2">
        <f t="shared" ref="D79:D80" si="7">0</f>
        <v>0</v>
      </c>
      <c r="E79" s="2"/>
      <c r="F79" s="19"/>
      <c r="G79" s="2"/>
      <c r="H79" s="2">
        <f t="shared" si="6"/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-2.98</f>
        <v>-2.98</v>
      </c>
      <c r="Q79" s="2"/>
      <c r="R79" s="19"/>
      <c r="S79" s="2"/>
      <c r="T79" s="2">
        <f>-1.5</f>
        <v>-1.5</v>
      </c>
      <c r="U79" s="2"/>
      <c r="V79" s="19"/>
      <c r="W79" s="2"/>
      <c r="X79" s="2">
        <f t="shared" si="2"/>
        <v>-1.48</v>
      </c>
      <c r="Y79" s="2"/>
      <c r="Z79" s="19">
        <f t="shared" si="3"/>
        <v>0.98666666666666669</v>
      </c>
    </row>
    <row r="80" spans="1:26" s="24" customFormat="1" hidden="1" outlineLevel="1" x14ac:dyDescent="0.25">
      <c r="A80" s="44"/>
      <c r="B80" s="11" t="str">
        <f>CONCATENATE("          ", "4218", " - ", "SALES RETURN TAXABLE-STUDY GUI")</f>
        <v xml:space="preserve">          4218 - SALES RETURN TAXABLE-STUDY GUI</v>
      </c>
      <c r="C80" s="11"/>
      <c r="D80" s="2">
        <f t="shared" si="7"/>
        <v>0</v>
      </c>
      <c r="E80" s="2"/>
      <c r="F80" s="19"/>
      <c r="G80" s="2"/>
      <c r="H80" s="2">
        <f>-16.9</f>
        <v>-16.899999999999999</v>
      </c>
      <c r="I80" s="2"/>
      <c r="J80" s="19"/>
      <c r="K80" s="2"/>
      <c r="L80" s="2">
        <f t="shared" si="0"/>
        <v>16.899999999999999</v>
      </c>
      <c r="M80" s="2"/>
      <c r="N80" s="19">
        <f t="shared" si="1"/>
        <v>-1</v>
      </c>
      <c r="O80" s="11"/>
      <c r="P80" s="2">
        <f>-32.75</f>
        <v>-32.75</v>
      </c>
      <c r="Q80" s="2"/>
      <c r="R80" s="19"/>
      <c r="S80" s="2"/>
      <c r="T80" s="2">
        <f>-39.8</f>
        <v>-39.799999999999997</v>
      </c>
      <c r="U80" s="2"/>
      <c r="V80" s="19"/>
      <c r="W80" s="2"/>
      <c r="X80" s="2">
        <f t="shared" si="2"/>
        <v>7.0499999999999972</v>
      </c>
      <c r="Y80" s="2"/>
      <c r="Z80" s="19">
        <f t="shared" si="3"/>
        <v>-0.17713567839195973</v>
      </c>
    </row>
    <row r="81" spans="1:26" s="24" customFormat="1" hidden="1" outlineLevel="1" x14ac:dyDescent="0.25">
      <c r="A81" s="44"/>
      <c r="B81" s="11" t="str">
        <f>CONCATENATE("          ", "4225", " - ", "SALES RETURN TAXABLE-TEST FORM")</f>
        <v xml:space="preserve">          4225 - SALES RETURN TAXABLE-TEST FORM</v>
      </c>
      <c r="C81" s="11"/>
      <c r="D81" s="2">
        <f>-15.51</f>
        <v>-15.51</v>
      </c>
      <c r="E81" s="2"/>
      <c r="F81" s="19"/>
      <c r="G81" s="2"/>
      <c r="H81" s="2">
        <f>0</f>
        <v>0</v>
      </c>
      <c r="I81" s="2"/>
      <c r="J81" s="19"/>
      <c r="K81" s="2"/>
      <c r="L81" s="2">
        <f t="shared" si="0"/>
        <v>-15.51</v>
      </c>
      <c r="M81" s="2"/>
      <c r="N81" s="19">
        <f t="shared" si="1"/>
        <v>0</v>
      </c>
      <c r="O81" s="11"/>
      <c r="P81" s="2">
        <f>-80.97</f>
        <v>-80.97</v>
      </c>
      <c r="Q81" s="2"/>
      <c r="R81" s="19"/>
      <c r="S81" s="2"/>
      <c r="T81" s="2">
        <f>-62.42</f>
        <v>-62.42</v>
      </c>
      <c r="U81" s="2"/>
      <c r="V81" s="19"/>
      <c r="W81" s="2"/>
      <c r="X81" s="2">
        <f t="shared" si="2"/>
        <v>-18.549999999999997</v>
      </c>
      <c r="Y81" s="2"/>
      <c r="Z81" s="19">
        <f t="shared" si="3"/>
        <v>0.29718039090035242</v>
      </c>
    </row>
    <row r="82" spans="1:26" s="24" customFormat="1" hidden="1" outlineLevel="1" x14ac:dyDescent="0.25">
      <c r="A82" s="44"/>
      <c r="B82" s="11" t="str">
        <f>CONCATENATE("          ", "4226", " - ", "SALES RETURN TAXABLE-WRITING I")</f>
        <v xml:space="preserve">          4226 - SALES RETURN TAXABLE-WRITING I</v>
      </c>
      <c r="C82" s="11"/>
      <c r="D82" s="2">
        <f>-41.65</f>
        <v>-41.65</v>
      </c>
      <c r="E82" s="2"/>
      <c r="F82" s="19"/>
      <c r="G82" s="2"/>
      <c r="H82" s="2">
        <f>-23.11</f>
        <v>-23.11</v>
      </c>
      <c r="I82" s="2"/>
      <c r="J82" s="19"/>
      <c r="K82" s="2"/>
      <c r="L82" s="2">
        <f t="shared" si="0"/>
        <v>-18.54</v>
      </c>
      <c r="M82" s="2"/>
      <c r="N82" s="19">
        <f t="shared" si="1"/>
        <v>0.8022501081782778</v>
      </c>
      <c r="O82" s="11"/>
      <c r="P82" s="2">
        <f>-531.36</f>
        <v>-531.36</v>
      </c>
      <c r="Q82" s="2"/>
      <c r="R82" s="19"/>
      <c r="S82" s="2"/>
      <c r="T82" s="2">
        <f>-284.54</f>
        <v>-284.54000000000002</v>
      </c>
      <c r="U82" s="2"/>
      <c r="V82" s="19"/>
      <c r="W82" s="2"/>
      <c r="X82" s="2">
        <f t="shared" si="2"/>
        <v>-246.82</v>
      </c>
      <c r="Y82" s="2"/>
      <c r="Z82" s="19">
        <f t="shared" si="3"/>
        <v>0.86743515850144082</v>
      </c>
    </row>
    <row r="83" spans="1:26" s="24" customFormat="1" hidden="1" outlineLevel="1" x14ac:dyDescent="0.25">
      <c r="A83" s="44"/>
      <c r="B83" s="11" t="str">
        <f>CONCATENATE("          ", "4227", " - ", "SALES RETURN TAXABLE-SCHOOL SU")</f>
        <v xml:space="preserve">          4227 - SALES RETURN TAXABLE-SCHOOL SU</v>
      </c>
      <c r="C83" s="11"/>
      <c r="D83" s="2">
        <f>-204.76</f>
        <v>-204.76</v>
      </c>
      <c r="E83" s="2"/>
      <c r="F83" s="19"/>
      <c r="G83" s="2"/>
      <c r="H83" s="2">
        <f>-195.37</f>
        <v>-195.37</v>
      </c>
      <c r="I83" s="2"/>
      <c r="J83" s="19"/>
      <c r="K83" s="2"/>
      <c r="L83" s="2">
        <f t="shared" si="0"/>
        <v>-9.3899999999999864</v>
      </c>
      <c r="M83" s="2"/>
      <c r="N83" s="19">
        <f t="shared" si="1"/>
        <v>4.8062650355735204E-2</v>
      </c>
      <c r="O83" s="11"/>
      <c r="P83" s="2">
        <f>-5948.58</f>
        <v>-5948.58</v>
      </c>
      <c r="Q83" s="2"/>
      <c r="R83" s="19"/>
      <c r="S83" s="2"/>
      <c r="T83" s="2">
        <f>-2694.37</f>
        <v>-2694.37</v>
      </c>
      <c r="U83" s="2"/>
      <c r="V83" s="19"/>
      <c r="W83" s="2"/>
      <c r="X83" s="2">
        <f t="shared" si="2"/>
        <v>-3254.21</v>
      </c>
      <c r="Y83" s="2"/>
      <c r="Z83" s="19">
        <f t="shared" si="3"/>
        <v>1.2077814108678466</v>
      </c>
    </row>
    <row r="84" spans="1:26" s="24" customFormat="1" hidden="1" outlineLevel="1" x14ac:dyDescent="0.25">
      <c r="A84" s="44"/>
      <c r="B84" s="11" t="str">
        <f>CONCATENATE("          ", "4228", " - ", "SALES RETURN TAXABLE-ART/TECH")</f>
        <v xml:space="preserve">          4228 - SALES RETURN TAXABLE-ART/TECH</v>
      </c>
      <c r="C84" s="11"/>
      <c r="D84" s="2">
        <f>-277.33</f>
        <v>-277.33</v>
      </c>
      <c r="E84" s="2"/>
      <c r="F84" s="19"/>
      <c r="G84" s="2"/>
      <c r="H84" s="2">
        <f>-450.83</f>
        <v>-450.83</v>
      </c>
      <c r="I84" s="2"/>
      <c r="J84" s="19"/>
      <c r="K84" s="2"/>
      <c r="L84" s="2">
        <f t="shared" si="0"/>
        <v>173.5</v>
      </c>
      <c r="M84" s="2"/>
      <c r="N84" s="19">
        <f t="shared" si="1"/>
        <v>-0.38484572898875408</v>
      </c>
      <c r="O84" s="11"/>
      <c r="P84" s="2">
        <f>-3148.62</f>
        <v>-3148.62</v>
      </c>
      <c r="Q84" s="2"/>
      <c r="R84" s="19"/>
      <c r="S84" s="2"/>
      <c r="T84" s="2">
        <f>-4598.8</f>
        <v>-4598.8</v>
      </c>
      <c r="U84" s="2"/>
      <c r="V84" s="19"/>
      <c r="W84" s="2"/>
      <c r="X84" s="2">
        <f t="shared" si="2"/>
        <v>1450.1800000000003</v>
      </c>
      <c r="Y84" s="2"/>
      <c r="Z84" s="19">
        <f t="shared" si="3"/>
        <v>-0.31533878403061671</v>
      </c>
    </row>
    <row r="85" spans="1:26" s="24" customFormat="1" hidden="1" outlineLevel="1" x14ac:dyDescent="0.25">
      <c r="A85" s="44"/>
      <c r="B85" s="11" t="str">
        <f>CONCATENATE("          ", "4233", " - ", "SALES RETURN TAXABLE-CANDY")</f>
        <v xml:space="preserve">          4233 - SALES RETURN TAXABLE-CANDY</v>
      </c>
      <c r="C85" s="11"/>
      <c r="D85" s="2">
        <f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-1.29</f>
        <v>-1.29</v>
      </c>
      <c r="Q85" s="2"/>
      <c r="R85" s="19"/>
      <c r="S85" s="2"/>
      <c r="T85" s="2">
        <f>-1.89</f>
        <v>-1.89</v>
      </c>
      <c r="U85" s="2"/>
      <c r="V85" s="19"/>
      <c r="W85" s="2"/>
      <c r="X85" s="2">
        <f t="shared" si="2"/>
        <v>0.59999999999999987</v>
      </c>
      <c r="Y85" s="2"/>
      <c r="Z85" s="19">
        <f t="shared" si="3"/>
        <v>-0.31746031746031739</v>
      </c>
    </row>
    <row r="86" spans="1:26" s="24" customFormat="1" hidden="1" outlineLevel="1" x14ac:dyDescent="0.25">
      <c r="A86" s="44"/>
      <c r="B86" s="11" t="str">
        <f>CONCATENATE("          ", "4240", " - ", "SALES RETURN TAXABLE-LOGO CLOT")</f>
        <v xml:space="preserve">          4240 - SALES RETURN TAXABLE-LOGO CLOT</v>
      </c>
      <c r="C86" s="11"/>
      <c r="D86" s="2">
        <f>-8212.91</f>
        <v>-8212.91</v>
      </c>
      <c r="E86" s="2"/>
      <c r="F86" s="19"/>
      <c r="G86" s="2"/>
      <c r="H86" s="2">
        <f>-12111.55</f>
        <v>-12111.55</v>
      </c>
      <c r="I86" s="2"/>
      <c r="J86" s="19"/>
      <c r="K86" s="2"/>
      <c r="L86" s="2">
        <f t="shared" si="0"/>
        <v>3898.6399999999994</v>
      </c>
      <c r="M86" s="2"/>
      <c r="N86" s="19">
        <f t="shared" si="1"/>
        <v>-0.3218943900656811</v>
      </c>
      <c r="O86" s="11"/>
      <c r="P86" s="2">
        <f>-49321.94</f>
        <v>-49321.94</v>
      </c>
      <c r="Q86" s="2"/>
      <c r="R86" s="19"/>
      <c r="S86" s="2"/>
      <c r="T86" s="2">
        <f>-48708.08</f>
        <v>-48708.08</v>
      </c>
      <c r="U86" s="2"/>
      <c r="V86" s="19"/>
      <c r="W86" s="2"/>
      <c r="X86" s="2">
        <f t="shared" si="2"/>
        <v>-613.86000000000058</v>
      </c>
      <c r="Y86" s="2"/>
      <c r="Z86" s="19">
        <f t="shared" si="3"/>
        <v>1.2602837147348049E-2</v>
      </c>
    </row>
    <row r="87" spans="1:26" s="24" customFormat="1" hidden="1" outlineLevel="1" x14ac:dyDescent="0.25">
      <c r="A87" s="44"/>
      <c r="B87" s="11" t="str">
        <f>CONCATENATE("          ", "4241", " - ", "SALES RETURN TAXABLE-LOGO GIFT")</f>
        <v xml:space="preserve">          4241 - SALES RETURN TAXABLE-LOGO GIFT</v>
      </c>
      <c r="C87" s="11"/>
      <c r="D87" s="2">
        <f>-939.28</f>
        <v>-939.28</v>
      </c>
      <c r="E87" s="2"/>
      <c r="F87" s="19"/>
      <c r="G87" s="2"/>
      <c r="H87" s="2">
        <f>-909.08</f>
        <v>-909.08</v>
      </c>
      <c r="I87" s="2"/>
      <c r="J87" s="19"/>
      <c r="K87" s="2"/>
      <c r="L87" s="2">
        <f t="shared" si="0"/>
        <v>-30.199999999999932</v>
      </c>
      <c r="M87" s="2"/>
      <c r="N87" s="19">
        <f t="shared" si="1"/>
        <v>3.3220398644783662E-2</v>
      </c>
      <c r="O87" s="11"/>
      <c r="P87" s="2">
        <f>-4148.87</f>
        <v>-4148.87</v>
      </c>
      <c r="Q87" s="2"/>
      <c r="R87" s="19"/>
      <c r="S87" s="2"/>
      <c r="T87" s="2">
        <f>-4700.64</f>
        <v>-4700.6400000000003</v>
      </c>
      <c r="U87" s="2"/>
      <c r="V87" s="19"/>
      <c r="W87" s="2"/>
      <c r="X87" s="2">
        <f t="shared" si="2"/>
        <v>551.77000000000044</v>
      </c>
      <c r="Y87" s="2"/>
      <c r="Z87" s="19">
        <f t="shared" si="3"/>
        <v>-0.11738188842370409</v>
      </c>
    </row>
    <row r="88" spans="1:26" s="24" customFormat="1" hidden="1" outlineLevel="1" x14ac:dyDescent="0.25">
      <c r="A88" s="44"/>
      <c r="B88" s="11" t="str">
        <f>CONCATENATE("          ", "4242", " - ", "SALES RETURN TAXABLE-EVERYDAY")</f>
        <v xml:space="preserve">          4242 - SALES RETURN TAXABLE-EVERYDAY</v>
      </c>
      <c r="C88" s="11"/>
      <c r="D88" s="2">
        <f>-1097.55</f>
        <v>-1097.55</v>
      </c>
      <c r="E88" s="2"/>
      <c r="F88" s="19"/>
      <c r="G88" s="2"/>
      <c r="H88" s="2">
        <f>-407.79</f>
        <v>-407.79</v>
      </c>
      <c r="I88" s="2"/>
      <c r="J88" s="19"/>
      <c r="K88" s="2"/>
      <c r="L88" s="2">
        <f t="shared" si="0"/>
        <v>-689.76</v>
      </c>
      <c r="M88" s="2"/>
      <c r="N88" s="19">
        <f t="shared" si="1"/>
        <v>1.6914588391083645</v>
      </c>
      <c r="O88" s="11"/>
      <c r="P88" s="2">
        <f>-2789.42</f>
        <v>-2789.42</v>
      </c>
      <c r="Q88" s="2"/>
      <c r="R88" s="19"/>
      <c r="S88" s="2"/>
      <c r="T88" s="2">
        <f>-1717.09</f>
        <v>-1717.09</v>
      </c>
      <c r="U88" s="2"/>
      <c r="V88" s="19"/>
      <c r="W88" s="2"/>
      <c r="X88" s="2">
        <f t="shared" si="2"/>
        <v>-1072.3300000000002</v>
      </c>
      <c r="Y88" s="2"/>
      <c r="Z88" s="19">
        <f t="shared" si="3"/>
        <v>0.62450424846688302</v>
      </c>
    </row>
    <row r="89" spans="1:26" s="24" customFormat="1" hidden="1" outlineLevel="1" x14ac:dyDescent="0.25">
      <c r="A89" s="44"/>
      <c r="B89" s="11" t="str">
        <f>CONCATENATE("          ", "4243", " - ", "SALES RETURN TAXABLE-CARDS")</f>
        <v xml:space="preserve">          4243 - SALES RETURN TAXABLE-CARDS</v>
      </c>
      <c r="C89" s="11"/>
      <c r="D89" s="2">
        <f>-558.63</f>
        <v>-558.63</v>
      </c>
      <c r="E89" s="2"/>
      <c r="F89" s="19"/>
      <c r="G89" s="2"/>
      <c r="H89" s="2">
        <f>-5.99</f>
        <v>-5.99</v>
      </c>
      <c r="I89" s="2"/>
      <c r="J89" s="19"/>
      <c r="K89" s="2"/>
      <c r="L89" s="2">
        <f t="shared" si="0"/>
        <v>-552.64</v>
      </c>
      <c r="M89" s="2"/>
      <c r="N89" s="19">
        <f t="shared" si="1"/>
        <v>92.26043405676127</v>
      </c>
      <c r="O89" s="11"/>
      <c r="P89" s="2">
        <f>-879.47</f>
        <v>-879.47</v>
      </c>
      <c r="Q89" s="2"/>
      <c r="R89" s="19"/>
      <c r="S89" s="2"/>
      <c r="T89" s="2">
        <f>-25.94</f>
        <v>-25.94</v>
      </c>
      <c r="U89" s="2"/>
      <c r="V89" s="19"/>
      <c r="W89" s="2"/>
      <c r="X89" s="2">
        <f t="shared" si="2"/>
        <v>-853.53</v>
      </c>
      <c r="Y89" s="2"/>
      <c r="Z89" s="19">
        <f t="shared" si="3"/>
        <v>32.904009252120275</v>
      </c>
    </row>
    <row r="90" spans="1:26" s="24" customFormat="1" hidden="1" outlineLevel="1" x14ac:dyDescent="0.25">
      <c r="A90" s="44"/>
      <c r="B90" s="11" t="str">
        <f>CONCATENATE("          ", "4244", " - ", "SALES RETURN TAXABLE-ACCESSORI")</f>
        <v xml:space="preserve">          4244 - SALES RETURN TAXABLE-ACCESSORI</v>
      </c>
      <c r="C90" s="11"/>
      <c r="D90" s="2">
        <f>-202.71</f>
        <v>-202.71</v>
      </c>
      <c r="E90" s="2"/>
      <c r="F90" s="19"/>
      <c r="G90" s="2"/>
      <c r="H90" s="2">
        <f>-154.5</f>
        <v>-154.5</v>
      </c>
      <c r="I90" s="2"/>
      <c r="J90" s="19"/>
      <c r="K90" s="2"/>
      <c r="L90" s="2">
        <f t="shared" si="0"/>
        <v>-48.210000000000008</v>
      </c>
      <c r="M90" s="2"/>
      <c r="N90" s="19">
        <f t="shared" si="1"/>
        <v>0.31203883495145635</v>
      </c>
      <c r="O90" s="11"/>
      <c r="P90" s="2">
        <f>-1731.77</f>
        <v>-1731.77</v>
      </c>
      <c r="Q90" s="2"/>
      <c r="R90" s="19"/>
      <c r="S90" s="2"/>
      <c r="T90" s="2">
        <f>-2744.37</f>
        <v>-2744.37</v>
      </c>
      <c r="U90" s="2"/>
      <c r="V90" s="19"/>
      <c r="W90" s="2"/>
      <c r="X90" s="2">
        <f t="shared" si="2"/>
        <v>1012.5999999999999</v>
      </c>
      <c r="Y90" s="2"/>
      <c r="Z90" s="19">
        <f t="shared" si="3"/>
        <v>-0.36897357134788672</v>
      </c>
    </row>
    <row r="91" spans="1:26" s="24" customFormat="1" hidden="1" outlineLevel="1" x14ac:dyDescent="0.25">
      <c r="A91" s="44"/>
      <c r="B91" s="11" t="str">
        <f>CONCATENATE("          ", "4245", " - ", "SALES RETURN TAXABLE-SPECIAL O")</f>
        <v xml:space="preserve">          4245 - SALES RETURN TAXABLE-SPECIAL O</v>
      </c>
      <c r="C91" s="11"/>
      <c r="D91" s="2">
        <f>0</f>
        <v>0</v>
      </c>
      <c r="E91" s="2"/>
      <c r="F91" s="19"/>
      <c r="G91" s="2"/>
      <c r="H91" s="2">
        <f>-5.91</f>
        <v>-5.91</v>
      </c>
      <c r="I91" s="2"/>
      <c r="J91" s="19"/>
      <c r="K91" s="2"/>
      <c r="L91" s="2">
        <f t="shared" si="0"/>
        <v>5.91</v>
      </c>
      <c r="M91" s="2"/>
      <c r="N91" s="19">
        <f t="shared" si="1"/>
        <v>-1</v>
      </c>
      <c r="O91" s="11"/>
      <c r="P91" s="2">
        <f>-91.96</f>
        <v>-91.96</v>
      </c>
      <c r="Q91" s="2"/>
      <c r="R91" s="19"/>
      <c r="S91" s="2"/>
      <c r="T91" s="2">
        <f>-225.7</f>
        <v>-225.7</v>
      </c>
      <c r="U91" s="2"/>
      <c r="V91" s="19"/>
      <c r="W91" s="2"/>
      <c r="X91" s="2">
        <f t="shared" si="2"/>
        <v>133.74</v>
      </c>
      <c r="Y91" s="2"/>
      <c r="Z91" s="19">
        <f t="shared" si="3"/>
        <v>-0.59255649091714668</v>
      </c>
    </row>
    <row r="92" spans="1:26" s="24" customFormat="1" hidden="1" outlineLevel="1" x14ac:dyDescent="0.25">
      <c r="A92" s="44"/>
      <c r="B92" s="11" t="str">
        <f>CONCATENATE("          ", "4281", " - ", "SALES RETURN TAXABLE-ELECTRONI")</f>
        <v xml:space="preserve">          4281 - SALES RETURN TAXABLE-ELECTRONI</v>
      </c>
      <c r="C92" s="11"/>
      <c r="D92" s="2">
        <f>-9.99</f>
        <v>-9.99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-9.99</v>
      </c>
      <c r="M92" s="2"/>
      <c r="N92" s="19">
        <f t="shared" si="1"/>
        <v>0</v>
      </c>
      <c r="O92" s="11"/>
      <c r="P92" s="2">
        <f>-54.97</f>
        <v>-54.97</v>
      </c>
      <c r="Q92" s="2"/>
      <c r="R92" s="19"/>
      <c r="S92" s="2"/>
      <c r="T92" s="2">
        <f>-24.99</f>
        <v>-24.99</v>
      </c>
      <c r="U92" s="2"/>
      <c r="V92" s="19"/>
      <c r="W92" s="2"/>
      <c r="X92" s="2">
        <f t="shared" si="2"/>
        <v>-29.98</v>
      </c>
      <c r="Y92" s="2"/>
      <c r="Z92" s="19">
        <f t="shared" si="3"/>
        <v>1.1996798719487796</v>
      </c>
    </row>
    <row r="93" spans="1:26" s="24" customFormat="1" hidden="1" outlineLevel="1" x14ac:dyDescent="0.25">
      <c r="A93" s="44"/>
      <c r="B93" s="11" t="str">
        <f>CONCATENATE("          ", "4292", " - ", "SALES RETURN TAXABLE-GRAD MERC")</f>
        <v xml:space="preserve">          4292 - SALES RETURN TAXABLE-GRAD MERC</v>
      </c>
      <c r="C93" s="11"/>
      <c r="D93" s="2">
        <f t="shared" ref="D93:D95" si="8">0</f>
        <v>0</v>
      </c>
      <c r="E93" s="2"/>
      <c r="F93" s="19"/>
      <c r="G93" s="2"/>
      <c r="H93" s="2">
        <f>-60</f>
        <v>-60</v>
      </c>
      <c r="I93" s="2"/>
      <c r="J93" s="19"/>
      <c r="K93" s="2"/>
      <c r="L93" s="2">
        <f t="shared" si="0"/>
        <v>60</v>
      </c>
      <c r="M93" s="2"/>
      <c r="N93" s="19">
        <f t="shared" si="1"/>
        <v>-1</v>
      </c>
      <c r="O93" s="11"/>
      <c r="P93" s="2">
        <f>-419.05</f>
        <v>-419.05</v>
      </c>
      <c r="Q93" s="2"/>
      <c r="R93" s="19"/>
      <c r="S93" s="2"/>
      <c r="T93" s="2">
        <f>-548.24</f>
        <v>-548.24</v>
      </c>
      <c r="U93" s="2"/>
      <c r="V93" s="19"/>
      <c r="W93" s="2"/>
      <c r="X93" s="2">
        <f t="shared" si="2"/>
        <v>129.19</v>
      </c>
      <c r="Y93" s="2"/>
      <c r="Z93" s="19">
        <f t="shared" si="3"/>
        <v>-0.23564497300452356</v>
      </c>
    </row>
    <row r="94" spans="1:26" s="24" customFormat="1" hidden="1" outlineLevel="1" x14ac:dyDescent="0.25">
      <c r="A94" s="44"/>
      <c r="B94" s="11" t="str">
        <f>CONCATENATE("          ", "4295", " - ", "SALES RETURN TAXABLE-CUSTOMER")</f>
        <v xml:space="preserve">          4295 - SALES RETURN TAXABLE-CUSTOMER</v>
      </c>
      <c r="C94" s="11"/>
      <c r="D94" s="2">
        <f t="shared" si="8"/>
        <v>0</v>
      </c>
      <c r="E94" s="2"/>
      <c r="F94" s="19"/>
      <c r="G94" s="2"/>
      <c r="H94" s="2">
        <f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--0.99</f>
        <v>0.99</v>
      </c>
      <c r="Q94" s="2"/>
      <c r="R94" s="19"/>
      <c r="S94" s="2"/>
      <c r="T94" s="2">
        <f>-126.72</f>
        <v>-126.72</v>
      </c>
      <c r="U94" s="2"/>
      <c r="V94" s="19"/>
      <c r="W94" s="2"/>
      <c r="X94" s="2">
        <f t="shared" si="2"/>
        <v>127.71</v>
      </c>
      <c r="Y94" s="2"/>
      <c r="Z94" s="19">
        <f t="shared" si="3"/>
        <v>-1.0078125</v>
      </c>
    </row>
    <row r="95" spans="1:26" s="24" customFormat="1" hidden="1" outlineLevel="1" x14ac:dyDescent="0.25">
      <c r="A95" s="44"/>
      <c r="B95" s="11" t="str">
        <f>CONCATENATE("          ", "4301", " - ", "SALES RETURN NON TAXABLE-NEW T")</f>
        <v xml:space="preserve">          4301 - SALES RETURN NON TAXABLE-NEW T</v>
      </c>
      <c r="C95" s="11"/>
      <c r="D95" s="2">
        <f t="shared" si="8"/>
        <v>0</v>
      </c>
      <c r="E95" s="2"/>
      <c r="F95" s="19"/>
      <c r="G95" s="2"/>
      <c r="H95" s="2">
        <f>-5102.08</f>
        <v>-5102.08</v>
      </c>
      <c r="I95" s="2"/>
      <c r="J95" s="19"/>
      <c r="K95" s="2"/>
      <c r="L95" s="2">
        <f t="shared" si="0"/>
        <v>5102.08</v>
      </c>
      <c r="M95" s="2"/>
      <c r="N95" s="19">
        <f t="shared" si="1"/>
        <v>-1</v>
      </c>
      <c r="O95" s="11"/>
      <c r="P95" s="2">
        <f>-12310.98</f>
        <v>-12310.98</v>
      </c>
      <c r="Q95" s="2"/>
      <c r="R95" s="19"/>
      <c r="S95" s="2"/>
      <c r="T95" s="2">
        <f>-30135.07</f>
        <v>-30135.07</v>
      </c>
      <c r="U95" s="2"/>
      <c r="V95" s="19"/>
      <c r="W95" s="2"/>
      <c r="X95" s="2">
        <f t="shared" si="2"/>
        <v>17824.09</v>
      </c>
      <c r="Y95" s="2"/>
      <c r="Z95" s="19">
        <f t="shared" si="3"/>
        <v>-0.59147332327417856</v>
      </c>
    </row>
    <row r="96" spans="1:26" s="24" customFormat="1" hidden="1" outlineLevel="1" x14ac:dyDescent="0.25">
      <c r="A96" s="44"/>
      <c r="B96" s="11" t="str">
        <f>CONCATENATE("          ", "4302", " - ", "SALES RETURN NON TAXABLE-TEXT")</f>
        <v xml:space="preserve">          4302 - SALES RETURN NON TAXABLE-TEXT</v>
      </c>
      <c r="C96" s="11"/>
      <c r="D96" s="2">
        <f>-14.1</f>
        <v>-14.1</v>
      </c>
      <c r="E96" s="2"/>
      <c r="F96" s="19"/>
      <c r="G96" s="2"/>
      <c r="H96" s="2">
        <f>-307.4</f>
        <v>-307.39999999999998</v>
      </c>
      <c r="I96" s="2"/>
      <c r="J96" s="19"/>
      <c r="K96" s="2"/>
      <c r="L96" s="2">
        <f t="shared" si="0"/>
        <v>293.29999999999995</v>
      </c>
      <c r="M96" s="2"/>
      <c r="N96" s="19">
        <f t="shared" si="1"/>
        <v>-0.9541314248536108</v>
      </c>
      <c r="O96" s="11"/>
      <c r="P96" s="2">
        <f>-697.9</f>
        <v>-697.9</v>
      </c>
      <c r="Q96" s="2"/>
      <c r="R96" s="19"/>
      <c r="S96" s="2"/>
      <c r="T96" s="2">
        <f>-2513.44</f>
        <v>-2513.44</v>
      </c>
      <c r="U96" s="2"/>
      <c r="V96" s="19"/>
      <c r="W96" s="2"/>
      <c r="X96" s="2">
        <f t="shared" si="2"/>
        <v>1815.54</v>
      </c>
      <c r="Y96" s="2"/>
      <c r="Z96" s="19">
        <f t="shared" si="3"/>
        <v>-0.72233273919409258</v>
      </c>
    </row>
    <row r="97" spans="1:26" s="24" customFormat="1" hidden="1" outlineLevel="1" x14ac:dyDescent="0.25">
      <c r="A97" s="44"/>
      <c r="B97" s="11" t="str">
        <f>CONCATENATE("          ", "4303", " - ", "SALES RETURN NON-TAXABLE-RENTA")</f>
        <v xml:space="preserve">          4303 - SALES RETURN NON-TAXABLE-RENTA</v>
      </c>
      <c r="C97" s="11"/>
      <c r="D97" s="2">
        <f>0</f>
        <v>0</v>
      </c>
      <c r="E97" s="2"/>
      <c r="F97" s="19"/>
      <c r="G97" s="2"/>
      <c r="H97" s="2">
        <f t="shared" ref="H97:H98" si="9"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-184.99</f>
        <v>-184.99</v>
      </c>
      <c r="Q97" s="2"/>
      <c r="R97" s="19"/>
      <c r="S97" s="2"/>
      <c r="T97" s="2">
        <f>-509.85</f>
        <v>-509.85</v>
      </c>
      <c r="U97" s="2"/>
      <c r="V97" s="19"/>
      <c r="W97" s="2"/>
      <c r="X97" s="2">
        <f t="shared" si="2"/>
        <v>324.86</v>
      </c>
      <c r="Y97" s="2"/>
      <c r="Z97" s="19">
        <f t="shared" si="3"/>
        <v>-0.63716779444934779</v>
      </c>
    </row>
    <row r="98" spans="1:26" s="24" customFormat="1" hidden="1" outlineLevel="1" x14ac:dyDescent="0.25">
      <c r="A98" s="44"/>
      <c r="B98" s="11" t="str">
        <f>CONCATENATE("          ", "4304", " - ", "SALES RETURN NON TAXABLE-DIGIT")</f>
        <v xml:space="preserve">          4304 - SALES RETURN NON TAXABLE-DIGIT</v>
      </c>
      <c r="C98" s="11"/>
      <c r="D98" s="2">
        <f>-226.45</f>
        <v>-226.45</v>
      </c>
      <c r="E98" s="2"/>
      <c r="F98" s="19"/>
      <c r="G98" s="2"/>
      <c r="H98" s="2">
        <f t="shared" si="9"/>
        <v>0</v>
      </c>
      <c r="I98" s="2"/>
      <c r="J98" s="19"/>
      <c r="K98" s="2"/>
      <c r="L98" s="2">
        <f t="shared" si="0"/>
        <v>-226.45</v>
      </c>
      <c r="M98" s="2"/>
      <c r="N98" s="19">
        <f t="shared" si="1"/>
        <v>0</v>
      </c>
      <c r="O98" s="11"/>
      <c r="P98" s="2">
        <f>-13430.32</f>
        <v>-13430.32</v>
      </c>
      <c r="Q98" s="2"/>
      <c r="R98" s="19"/>
      <c r="S98" s="2"/>
      <c r="T98" s="2">
        <f>-3743.75</f>
        <v>-3743.75</v>
      </c>
      <c r="U98" s="2"/>
      <c r="V98" s="19"/>
      <c r="W98" s="2"/>
      <c r="X98" s="2">
        <f t="shared" si="2"/>
        <v>-9686.57</v>
      </c>
      <c r="Y98" s="2"/>
      <c r="Z98" s="19">
        <f t="shared" si="3"/>
        <v>2.5873976627712856</v>
      </c>
    </row>
    <row r="99" spans="1:26" s="24" customFormat="1" hidden="1" outlineLevel="1" x14ac:dyDescent="0.25">
      <c r="A99" s="44"/>
      <c r="B99" s="11" t="str">
        <f>CONCATENATE("          ", "4311", " - ", "SALES RETURN NON TAXABLE-NO VA")</f>
        <v xml:space="preserve">          4311 - SALES RETURN NON TAXABLE-NO VA</v>
      </c>
      <c r="C99" s="11"/>
      <c r="D99" s="2">
        <f t="shared" ref="D99:D101" si="10">0</f>
        <v>0</v>
      </c>
      <c r="E99" s="2"/>
      <c r="F99" s="19"/>
      <c r="G99" s="2"/>
      <c r="H99" s="2">
        <f>-22.98</f>
        <v>-22.98</v>
      </c>
      <c r="I99" s="2"/>
      <c r="J99" s="19"/>
      <c r="K99" s="2"/>
      <c r="L99" s="2">
        <f t="shared" si="0"/>
        <v>22.98</v>
      </c>
      <c r="M99" s="2"/>
      <c r="N99" s="19">
        <f t="shared" si="1"/>
        <v>-1</v>
      </c>
      <c r="O99" s="11"/>
      <c r="P99" s="2">
        <f>-387.96</f>
        <v>-387.96</v>
      </c>
      <c r="Q99" s="2"/>
      <c r="R99" s="19"/>
      <c r="S99" s="2"/>
      <c r="T99" s="2">
        <f>-609.26</f>
        <v>-609.26</v>
      </c>
      <c r="U99" s="2"/>
      <c r="V99" s="19"/>
      <c r="W99" s="2"/>
      <c r="X99" s="2">
        <f t="shared" si="2"/>
        <v>221.3</v>
      </c>
      <c r="Y99" s="2"/>
      <c r="Z99" s="19">
        <f t="shared" si="3"/>
        <v>-0.3632275219118275</v>
      </c>
    </row>
    <row r="100" spans="1:26" s="24" customFormat="1" hidden="1" outlineLevel="1" x14ac:dyDescent="0.25">
      <c r="A100" s="44"/>
      <c r="B100" s="11" t="str">
        <f>CONCATENATE("          ", "4326", " - ", "SALES RETURN NON TAXABLE-WRITI")</f>
        <v xml:space="preserve">          4326 - SALES RETURN NON TAXABLE-WRITI</v>
      </c>
      <c r="C100" s="11"/>
      <c r="D100" s="2">
        <f t="shared" si="10"/>
        <v>0</v>
      </c>
      <c r="E100" s="2"/>
      <c r="F100" s="19"/>
      <c r="G100" s="2"/>
      <c r="H100" s="2">
        <f t="shared" ref="H100:H102" si="11"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0</f>
        <v>0</v>
      </c>
      <c r="Q100" s="2"/>
      <c r="R100" s="19"/>
      <c r="S100" s="2"/>
      <c r="T100" s="2">
        <f>-8.08</f>
        <v>-8.08</v>
      </c>
      <c r="U100" s="2"/>
      <c r="V100" s="19"/>
      <c r="W100" s="2"/>
      <c r="X100" s="2">
        <f t="shared" si="2"/>
        <v>8.08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"4327", " - ", "SALES RETURN NON TAXABLE-SCHOO")</f>
        <v xml:space="preserve">          4327 - SALES RETURN NON TAXABLE-SCHOO</v>
      </c>
      <c r="C101" s="11"/>
      <c r="D101" s="2">
        <f t="shared" si="10"/>
        <v>0</v>
      </c>
      <c r="E101" s="2"/>
      <c r="F101" s="19"/>
      <c r="G101" s="2"/>
      <c r="H101" s="2">
        <f t="shared" si="11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-21.87</f>
        <v>-21.87</v>
      </c>
      <c r="Q101" s="2"/>
      <c r="R101" s="19"/>
      <c r="S101" s="2"/>
      <c r="T101" s="2">
        <f>0</f>
        <v>0</v>
      </c>
      <c r="U101" s="2"/>
      <c r="V101" s="19"/>
      <c r="W101" s="2"/>
      <c r="X101" s="2">
        <f t="shared" si="2"/>
        <v>-21.87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"4340", " - ", "SALES RETURN NON TAXABLE-LOGO")</f>
        <v xml:space="preserve">          4340 - SALES RETURN NON TAXABLE-LOGO</v>
      </c>
      <c r="C102" s="11"/>
      <c r="D102" s="2">
        <f>-391.5</f>
        <v>-391.5</v>
      </c>
      <c r="E102" s="2"/>
      <c r="F102" s="19"/>
      <c r="G102" s="2"/>
      <c r="H102" s="2">
        <f t="shared" si="11"/>
        <v>0</v>
      </c>
      <c r="I102" s="2"/>
      <c r="J102" s="19"/>
      <c r="K102" s="2"/>
      <c r="L102" s="2">
        <f t="shared" si="0"/>
        <v>-391.5</v>
      </c>
      <c r="M102" s="2"/>
      <c r="N102" s="19">
        <f t="shared" si="1"/>
        <v>0</v>
      </c>
      <c r="O102" s="11"/>
      <c r="P102" s="2">
        <f>-714.9</f>
        <v>-714.9</v>
      </c>
      <c r="Q102" s="2"/>
      <c r="R102" s="19"/>
      <c r="S102" s="2"/>
      <c r="T102" s="2">
        <f>-301.59</f>
        <v>-301.58999999999997</v>
      </c>
      <c r="U102" s="2"/>
      <c r="V102" s="19"/>
      <c r="W102" s="2"/>
      <c r="X102" s="2">
        <f t="shared" si="2"/>
        <v>-413.31</v>
      </c>
      <c r="Y102" s="2"/>
      <c r="Z102" s="19">
        <f t="shared" si="3"/>
        <v>1.3704366855664978</v>
      </c>
    </row>
    <row r="103" spans="1:26" s="24" customFormat="1" hidden="1" outlineLevel="1" x14ac:dyDescent="0.25">
      <c r="A103" s="44"/>
      <c r="B103" s="11" t="str">
        <f>CONCATENATE("          ", "4341", " - ", "SALES RETURN NON TAXABLE-LOGO")</f>
        <v xml:space="preserve">          4341 - SALES RETURN NON TAXABLE-LOGO</v>
      </c>
      <c r="C103" s="11"/>
      <c r="D103" s="2">
        <f>-9.95</f>
        <v>-9.9499999999999993</v>
      </c>
      <c r="E103" s="2"/>
      <c r="F103" s="19"/>
      <c r="G103" s="2"/>
      <c r="H103" s="2">
        <f>-58.85</f>
        <v>-58.85</v>
      </c>
      <c r="I103" s="2"/>
      <c r="J103" s="19"/>
      <c r="K103" s="2"/>
      <c r="L103" s="2">
        <f t="shared" si="0"/>
        <v>48.900000000000006</v>
      </c>
      <c r="M103" s="2"/>
      <c r="N103" s="19">
        <f t="shared" si="1"/>
        <v>-0.83092608326253192</v>
      </c>
      <c r="O103" s="11"/>
      <c r="P103" s="2">
        <f>-20.85</f>
        <v>-20.85</v>
      </c>
      <c r="Q103" s="2"/>
      <c r="R103" s="19"/>
      <c r="S103" s="2"/>
      <c r="T103" s="2">
        <f>-118.85</f>
        <v>-118.85</v>
      </c>
      <c r="U103" s="2"/>
      <c r="V103" s="19"/>
      <c r="W103" s="2"/>
      <c r="X103" s="2">
        <f t="shared" si="2"/>
        <v>98</v>
      </c>
      <c r="Y103" s="2"/>
      <c r="Z103" s="19">
        <f t="shared" si="3"/>
        <v>-0.82456878418174173</v>
      </c>
    </row>
    <row r="104" spans="1:26" s="24" customFormat="1" hidden="1" outlineLevel="1" x14ac:dyDescent="0.25">
      <c r="A104" s="44"/>
      <c r="B104" s="11" t="str">
        <f>CONCATENATE("          ", "4342", " - ", "SALES RETURN NON TAXABLE-EVERY")</f>
        <v xml:space="preserve">          4342 - SALES RETURN NON TAXABLE-EVERY</v>
      </c>
      <c r="C104" s="11"/>
      <c r="D104" s="2">
        <f t="shared" ref="D104:D105" si="12">0</f>
        <v>0</v>
      </c>
      <c r="E104" s="2"/>
      <c r="F104" s="19"/>
      <c r="G104" s="2"/>
      <c r="H104" s="2">
        <f>-68.75</f>
        <v>-68.75</v>
      </c>
      <c r="I104" s="2"/>
      <c r="J104" s="19"/>
      <c r="K104" s="2"/>
      <c r="L104" s="2">
        <f t="shared" si="0"/>
        <v>68.75</v>
      </c>
      <c r="M104" s="2"/>
      <c r="N104" s="19">
        <f t="shared" si="1"/>
        <v>-1</v>
      </c>
      <c r="O104" s="11"/>
      <c r="P104" s="2">
        <f>-109.8</f>
        <v>-109.8</v>
      </c>
      <c r="Q104" s="2"/>
      <c r="R104" s="19"/>
      <c r="S104" s="2"/>
      <c r="T104" s="2">
        <f>-68.75</f>
        <v>-68.75</v>
      </c>
      <c r="U104" s="2"/>
      <c r="V104" s="19"/>
      <c r="W104" s="2"/>
      <c r="X104" s="2">
        <f t="shared" si="2"/>
        <v>-41.05</v>
      </c>
      <c r="Y104" s="2"/>
      <c r="Z104" s="19">
        <f t="shared" si="3"/>
        <v>0.59709090909090901</v>
      </c>
    </row>
    <row r="105" spans="1:26" s="24" customFormat="1" hidden="1" outlineLevel="1" x14ac:dyDescent="0.25">
      <c r="A105" s="44"/>
      <c r="B105" s="11" t="str">
        <f>CONCATENATE("          ", "4346", " - ", "SALES RETURN NON TAXABLE-COIN-")</f>
        <v xml:space="preserve">          4346 - SALES RETURN NON TAXABLE-COIN-</v>
      </c>
      <c r="C105" s="11"/>
      <c r="D105" s="2">
        <f t="shared" si="12"/>
        <v>0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-8.15</f>
        <v>-8.15</v>
      </c>
      <c r="Q105" s="2"/>
      <c r="R105" s="19"/>
      <c r="S105" s="2"/>
      <c r="T105" s="2">
        <f>0</f>
        <v>0</v>
      </c>
      <c r="U105" s="2"/>
      <c r="V105" s="19"/>
      <c r="W105" s="2"/>
      <c r="X105" s="2">
        <f t="shared" si="2"/>
        <v>-8.15</v>
      </c>
      <c r="Y105" s="2"/>
      <c r="Z105" s="19">
        <f t="shared" si="3"/>
        <v>0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collapsed="1" x14ac:dyDescent="0.25">
      <c r="A107" s="10"/>
      <c r="B107" s="28" t="s">
        <v>8</v>
      </c>
      <c r="C107" s="10"/>
      <c r="D107" s="4">
        <f>SUM(OSRRefD16x_0)</f>
        <v>194163.06000000006</v>
      </c>
      <c r="E107" s="4"/>
      <c r="F107" s="12">
        <f t="shared" ref="F107:F157" si="13">IF(D$12=0,0,D107/D$12)</f>
        <v>0.43729889038731945</v>
      </c>
      <c r="G107" s="4"/>
      <c r="H107" s="4">
        <f>SUM(OSRRefH16x_0)</f>
        <v>244313.74999999988</v>
      </c>
      <c r="I107" s="4"/>
      <c r="J107" s="12">
        <f t="shared" ref="J107:J157" si="14">IF(H$12=0,0,H107/H$12)</f>
        <v>0.45051250242899765</v>
      </c>
      <c r="K107" s="4"/>
      <c r="L107" s="4">
        <f t="shared" ref="L107:L157" si="15">+D107-H107</f>
        <v>-50150.689999999828</v>
      </c>
      <c r="M107" s="4"/>
      <c r="N107" s="12">
        <f t="shared" ref="N107:N157" si="16">IF(H107=0,0,L107/H107)</f>
        <v>-0.20527166399762539</v>
      </c>
      <c r="O107" s="10"/>
      <c r="P107" s="4">
        <f>SUM(OSRRefP16x_0)</f>
        <v>3220426.9600000009</v>
      </c>
      <c r="Q107" s="4"/>
      <c r="R107" s="12">
        <f t="shared" ref="R107:R157" si="17">IF(P$12=0,0,P107/P$12)</f>
        <v>0.58392009749534579</v>
      </c>
      <c r="S107" s="4"/>
      <c r="T107" s="4">
        <f>SUM(OSRRefT16x_0)</f>
        <v>3562365.0799999996</v>
      </c>
      <c r="U107" s="4"/>
      <c r="V107" s="12">
        <f t="shared" ref="V107:V157" si="18">IF(T$12=0,0,T107/T$12)</f>
        <v>0.60250841677363443</v>
      </c>
      <c r="W107" s="4"/>
      <c r="X107" s="4">
        <f t="shared" ref="X107:X157" si="19">+P107-T107</f>
        <v>-341938.11999999871</v>
      </c>
      <c r="Y107" s="4"/>
      <c r="Z107" s="12">
        <f t="shared" ref="Z107:Z157" si="20">IF(T107=0,0,X107/T107)</f>
        <v>-9.5986265394224765E-2</v>
      </c>
    </row>
    <row r="108" spans="1:26" s="24" customFormat="1" hidden="1" outlineLevel="1" x14ac:dyDescent="0.25">
      <c r="A108" s="44"/>
      <c r="B108" s="11" t="str">
        <f>CONCATENATE("          ", "5001", " - ", "PURCHASES @ COST-NEW TEXT")</f>
        <v xml:space="preserve">          5001 - PURCHASES @ COST-NEW TEXT</v>
      </c>
      <c r="C108" s="11"/>
      <c r="D108" s="2">
        <v>155219.06</v>
      </c>
      <c r="E108" s="2"/>
      <c r="F108" s="19">
        <f t="shared" si="13"/>
        <v>0.34958824147581286</v>
      </c>
      <c r="G108" s="2"/>
      <c r="H108" s="2">
        <v>435074.94</v>
      </c>
      <c r="I108" s="2"/>
      <c r="J108" s="19">
        <f t="shared" si="14"/>
        <v>0.8022745341330404</v>
      </c>
      <c r="K108" s="2"/>
      <c r="L108" s="2">
        <f t="shared" si="15"/>
        <v>-279855.88</v>
      </c>
      <c r="M108" s="2"/>
      <c r="N108" s="19">
        <f t="shared" si="16"/>
        <v>-0.64323603653200523</v>
      </c>
      <c r="O108" s="11"/>
      <c r="P108" s="2">
        <v>1737069.75</v>
      </c>
      <c r="Q108" s="2"/>
      <c r="R108" s="19">
        <f t="shared" si="17"/>
        <v>0.3149613235681693</v>
      </c>
      <c r="S108" s="2"/>
      <c r="T108" s="2">
        <v>2155732.5</v>
      </c>
      <c r="U108" s="2"/>
      <c r="V108" s="19">
        <f t="shared" si="18"/>
        <v>0.36460243304497836</v>
      </c>
      <c r="W108" s="2"/>
      <c r="X108" s="2">
        <f t="shared" si="19"/>
        <v>-418662.75</v>
      </c>
      <c r="Y108" s="2"/>
      <c r="Z108" s="19">
        <f t="shared" si="20"/>
        <v>-0.1942090449533975</v>
      </c>
    </row>
    <row r="109" spans="1:26" s="24" customFormat="1" hidden="1" outlineLevel="1" x14ac:dyDescent="0.25">
      <c r="A109" s="44"/>
      <c r="B109" s="11" t="str">
        <f>CONCATENATE("          ", "5002", " - ", "PURCHASES @ COST-USED TEXT")</f>
        <v xml:space="preserve">          5002 - PURCHASES @ COST-USED TEXT</v>
      </c>
      <c r="C109" s="11"/>
      <c r="D109" s="2">
        <v>40274.950000000004</v>
      </c>
      <c r="E109" s="2"/>
      <c r="F109" s="19">
        <f t="shared" si="13"/>
        <v>9.0708247724385724E-2</v>
      </c>
      <c r="G109" s="2"/>
      <c r="H109" s="2">
        <v>-55954.86</v>
      </c>
      <c r="I109" s="2"/>
      <c r="J109" s="19">
        <f t="shared" si="14"/>
        <v>-0.10318029174233639</v>
      </c>
      <c r="K109" s="2"/>
      <c r="L109" s="2">
        <f t="shared" si="15"/>
        <v>96229.81</v>
      </c>
      <c r="M109" s="2"/>
      <c r="N109" s="19">
        <f t="shared" si="16"/>
        <v>-1.7197757263622855</v>
      </c>
      <c r="O109" s="11"/>
      <c r="P109" s="2">
        <v>252522.85</v>
      </c>
      <c r="Q109" s="2"/>
      <c r="R109" s="19">
        <f t="shared" si="17"/>
        <v>4.5786837901705603E-2</v>
      </c>
      <c r="S109" s="2"/>
      <c r="T109" s="2">
        <v>252363.15000000002</v>
      </c>
      <c r="U109" s="2"/>
      <c r="V109" s="19">
        <f t="shared" si="18"/>
        <v>4.2682577036295015E-2</v>
      </c>
      <c r="W109" s="2"/>
      <c r="X109" s="2">
        <f t="shared" si="19"/>
        <v>159.69999999998254</v>
      </c>
      <c r="Y109" s="2"/>
      <c r="Z109" s="19">
        <f t="shared" si="20"/>
        <v>6.3281822247020821E-4</v>
      </c>
    </row>
    <row r="110" spans="1:26" s="24" customFormat="1" hidden="1" outlineLevel="1" x14ac:dyDescent="0.25">
      <c r="A110" s="44"/>
      <c r="B110" s="11" t="str">
        <f>CONCATENATE("          ", "5003", " - ", "PURCHASES @ COST-RENTAL TEXT")</f>
        <v xml:space="preserve">          5003 - PURCHASES @ COST-RENTAL TEXT</v>
      </c>
      <c r="C110" s="11"/>
      <c r="D110" s="2"/>
      <c r="E110" s="2"/>
      <c r="F110" s="19">
        <f t="shared" si="13"/>
        <v>0</v>
      </c>
      <c r="G110" s="2"/>
      <c r="H110" s="2">
        <v>9907.4500000000007</v>
      </c>
      <c r="I110" s="2"/>
      <c r="J110" s="19">
        <f t="shared" si="14"/>
        <v>1.8269254563814667E-2</v>
      </c>
      <c r="K110" s="2"/>
      <c r="L110" s="2">
        <f t="shared" si="15"/>
        <v>-9907.4500000000007</v>
      </c>
      <c r="M110" s="2"/>
      <c r="N110" s="19">
        <f t="shared" si="16"/>
        <v>-1</v>
      </c>
      <c r="O110" s="11"/>
      <c r="P110" s="2">
        <v>-78.400000000000006</v>
      </c>
      <c r="Q110" s="2"/>
      <c r="R110" s="19">
        <f t="shared" si="17"/>
        <v>-1.4215300086680154E-5</v>
      </c>
      <c r="S110" s="2"/>
      <c r="T110" s="2">
        <v>8143.75</v>
      </c>
      <c r="U110" s="2"/>
      <c r="V110" s="19">
        <f t="shared" si="18"/>
        <v>1.3773652640622354E-3</v>
      </c>
      <c r="W110" s="2"/>
      <c r="X110" s="2">
        <f t="shared" si="19"/>
        <v>-8222.15</v>
      </c>
      <c r="Y110" s="2"/>
      <c r="Z110" s="19">
        <f t="shared" si="20"/>
        <v>-1.0096270145817343</v>
      </c>
    </row>
    <row r="111" spans="1:26" s="24" customFormat="1" hidden="1" outlineLevel="1" x14ac:dyDescent="0.25">
      <c r="A111" s="44"/>
      <c r="B111" s="11" t="str">
        <f>CONCATENATE("          ", "5004", " - ", "PURCHASES @ COST-DIGITAL TEXT")</f>
        <v xml:space="preserve">          5004 - PURCHASES @ COST-DIGITAL TEXT</v>
      </c>
      <c r="C111" s="11"/>
      <c r="D111" s="2">
        <v>31572.300000000003</v>
      </c>
      <c r="E111" s="2"/>
      <c r="F111" s="19">
        <f t="shared" si="13"/>
        <v>7.1107922160763046E-2</v>
      </c>
      <c r="G111" s="2"/>
      <c r="H111" s="2">
        <v>25639.57</v>
      </c>
      <c r="I111" s="2"/>
      <c r="J111" s="19">
        <f t="shared" si="14"/>
        <v>4.7279151672402639E-2</v>
      </c>
      <c r="K111" s="2"/>
      <c r="L111" s="2">
        <f t="shared" si="15"/>
        <v>5932.7300000000032</v>
      </c>
      <c r="M111" s="2"/>
      <c r="N111" s="19">
        <f t="shared" si="16"/>
        <v>0.23138960598793207</v>
      </c>
      <c r="O111" s="11"/>
      <c r="P111" s="2">
        <v>354352.27</v>
      </c>
      <c r="Q111" s="2"/>
      <c r="R111" s="19">
        <f t="shared" si="17"/>
        <v>6.4250304265896799E-2</v>
      </c>
      <c r="S111" s="2"/>
      <c r="T111" s="2">
        <v>332594.94</v>
      </c>
      <c r="U111" s="2"/>
      <c r="V111" s="19">
        <f t="shared" si="18"/>
        <v>5.6252306045601018E-2</v>
      </c>
      <c r="W111" s="2"/>
      <c r="X111" s="2">
        <f t="shared" si="19"/>
        <v>21757.330000000016</v>
      </c>
      <c r="Y111" s="2"/>
      <c r="Z111" s="19">
        <f t="shared" si="20"/>
        <v>6.5416900209005036E-2</v>
      </c>
    </row>
    <row r="112" spans="1:26" s="24" customFormat="1" hidden="1" outlineLevel="1" x14ac:dyDescent="0.25">
      <c r="A112" s="44"/>
      <c r="B112" s="11" t="str">
        <f>CONCATENATE("          ", "5011", " - ", "PURCHASES @ COST-NO VALUE TEXT")</f>
        <v xml:space="preserve">          5011 - PURCHASES @ COST-NO VALUE TEXT</v>
      </c>
      <c r="C112" s="11"/>
      <c r="D112" s="2">
        <v>1161</v>
      </c>
      <c r="E112" s="2"/>
      <c r="F112" s="19">
        <f t="shared" si="13"/>
        <v>2.6148331806249746E-3</v>
      </c>
      <c r="G112" s="2"/>
      <c r="H112" s="2">
        <v>-264</v>
      </c>
      <c r="I112" s="2"/>
      <c r="J112" s="19">
        <f t="shared" si="14"/>
        <v>-4.8681378203746387E-4</v>
      </c>
      <c r="K112" s="2"/>
      <c r="L112" s="2">
        <f t="shared" si="15"/>
        <v>1425</v>
      </c>
      <c r="M112" s="2"/>
      <c r="N112" s="19">
        <f t="shared" si="16"/>
        <v>-5.3977272727272725</v>
      </c>
      <c r="O112" s="11"/>
      <c r="P112" s="2">
        <v>4902</v>
      </c>
      <c r="Q112" s="2"/>
      <c r="R112" s="19">
        <f t="shared" si="17"/>
        <v>8.8881889062380245E-4</v>
      </c>
      <c r="S112" s="2"/>
      <c r="T112" s="2">
        <v>2574</v>
      </c>
      <c r="U112" s="2"/>
      <c r="V112" s="19">
        <f t="shared" si="18"/>
        <v>4.3534467409930236E-4</v>
      </c>
      <c r="W112" s="2"/>
      <c r="X112" s="2">
        <f t="shared" si="19"/>
        <v>2328</v>
      </c>
      <c r="Y112" s="2"/>
      <c r="Z112" s="19">
        <f t="shared" si="20"/>
        <v>0.90442890442890445</v>
      </c>
    </row>
    <row r="113" spans="1:26" s="24" customFormat="1" hidden="1" outlineLevel="1" x14ac:dyDescent="0.25">
      <c r="A113" s="44"/>
      <c r="B113" s="11" t="str">
        <f>CONCATENATE("          ", "5013", " - ", "PURCHASES @ COST-TRADE BOOKS")</f>
        <v xml:space="preserve">          5013 - PURCHASES @ COST-TRADE BOOKS</v>
      </c>
      <c r="C113" s="11"/>
      <c r="D113" s="2">
        <v>37.17</v>
      </c>
      <c r="E113" s="2"/>
      <c r="F113" s="19">
        <f t="shared" si="13"/>
        <v>8.3715201829311206E-5</v>
      </c>
      <c r="G113" s="2"/>
      <c r="H113" s="2"/>
      <c r="I113" s="2"/>
      <c r="J113" s="19">
        <f t="shared" si="14"/>
        <v>0</v>
      </c>
      <c r="K113" s="2"/>
      <c r="L113" s="2">
        <f t="shared" si="15"/>
        <v>37.17</v>
      </c>
      <c r="M113" s="2"/>
      <c r="N113" s="19">
        <f t="shared" si="16"/>
        <v>0</v>
      </c>
      <c r="O113" s="11"/>
      <c r="P113" s="2">
        <v>735.31</v>
      </c>
      <c r="Q113" s="2"/>
      <c r="R113" s="19">
        <f t="shared" si="17"/>
        <v>1.3332464676960181E-4</v>
      </c>
      <c r="S113" s="2"/>
      <c r="T113" s="2">
        <v>1406.94</v>
      </c>
      <c r="U113" s="2"/>
      <c r="V113" s="19">
        <f t="shared" si="18"/>
        <v>2.3795797815744852E-4</v>
      </c>
      <c r="W113" s="2"/>
      <c r="X113" s="2">
        <f t="shared" si="19"/>
        <v>-671.63000000000011</v>
      </c>
      <c r="Y113" s="2"/>
      <c r="Z113" s="19">
        <f t="shared" si="20"/>
        <v>-0.47736932633943174</v>
      </c>
    </row>
    <row r="114" spans="1:26" s="24" customFormat="1" hidden="1" outlineLevel="1" x14ac:dyDescent="0.25">
      <c r="A114" s="44"/>
      <c r="B114" s="11" t="str">
        <f>CONCATENATE("          ", "5014", " - ", "PURCHASES @ COST-REMAINDERS")</f>
        <v xml:space="preserve">          5014 - PURCHASES @ COST-REMAINDERS</v>
      </c>
      <c r="C114" s="11"/>
      <c r="D114" s="2">
        <v>56.98</v>
      </c>
      <c r="E114" s="2"/>
      <c r="F114" s="19">
        <f t="shared" si="13"/>
        <v>1.2833177832214559E-4</v>
      </c>
      <c r="G114" s="2"/>
      <c r="H114" s="2">
        <v>52.76</v>
      </c>
      <c r="I114" s="2"/>
      <c r="J114" s="19">
        <f t="shared" si="14"/>
        <v>9.7288996743547705E-5</v>
      </c>
      <c r="K114" s="2"/>
      <c r="L114" s="2">
        <f t="shared" si="15"/>
        <v>4.2199999999999989</v>
      </c>
      <c r="M114" s="2"/>
      <c r="N114" s="19">
        <f t="shared" si="16"/>
        <v>7.9984836997725531E-2</v>
      </c>
      <c r="O114" s="11"/>
      <c r="P114" s="2">
        <v>513.79</v>
      </c>
      <c r="Q114" s="2"/>
      <c r="R114" s="19">
        <f t="shared" si="17"/>
        <v>9.3159171320604533E-5</v>
      </c>
      <c r="S114" s="2"/>
      <c r="T114" s="2">
        <v>787.96</v>
      </c>
      <c r="U114" s="2"/>
      <c r="V114" s="19">
        <f t="shared" si="18"/>
        <v>1.3326891585209257E-4</v>
      </c>
      <c r="W114" s="2"/>
      <c r="X114" s="2">
        <f t="shared" si="19"/>
        <v>-274.17000000000007</v>
      </c>
      <c r="Y114" s="2"/>
      <c r="Z114" s="19">
        <f t="shared" si="20"/>
        <v>-0.34794913447383125</v>
      </c>
    </row>
    <row r="115" spans="1:26" s="24" customFormat="1" hidden="1" outlineLevel="1" x14ac:dyDescent="0.25">
      <c r="A115" s="44"/>
      <c r="B115" s="11" t="str">
        <f>CONCATENATE("          ", "5017", " - ", "PURCHASES @ COST-DORM/HOUSEWAR")</f>
        <v xml:space="preserve">          5017 - PURCHASES @ COST-DORM/HOUSEWAR</v>
      </c>
      <c r="C115" s="11"/>
      <c r="D115" s="2"/>
      <c r="E115" s="2"/>
      <c r="F115" s="19">
        <f t="shared" si="13"/>
        <v>0</v>
      </c>
      <c r="G115" s="2"/>
      <c r="H115" s="2"/>
      <c r="I115" s="2"/>
      <c r="J115" s="19">
        <f t="shared" si="14"/>
        <v>0</v>
      </c>
      <c r="K115" s="2"/>
      <c r="L115" s="2">
        <f t="shared" si="15"/>
        <v>0</v>
      </c>
      <c r="M115" s="2"/>
      <c r="N115" s="19">
        <f t="shared" si="16"/>
        <v>0</v>
      </c>
      <c r="O115" s="11"/>
      <c r="P115" s="2">
        <v>0</v>
      </c>
      <c r="Q115" s="2"/>
      <c r="R115" s="19">
        <f t="shared" si="17"/>
        <v>0</v>
      </c>
      <c r="S115" s="2"/>
      <c r="T115" s="2">
        <v>239.9</v>
      </c>
      <c r="U115" s="2"/>
      <c r="V115" s="19">
        <f t="shared" si="18"/>
        <v>4.0574664847095043E-5</v>
      </c>
      <c r="W115" s="2"/>
      <c r="X115" s="2">
        <f t="shared" si="19"/>
        <v>-239.9</v>
      </c>
      <c r="Y115" s="2"/>
      <c r="Z115" s="19">
        <f t="shared" si="20"/>
        <v>-1</v>
      </c>
    </row>
    <row r="116" spans="1:26" s="24" customFormat="1" hidden="1" outlineLevel="1" x14ac:dyDescent="0.25">
      <c r="A116" s="44"/>
      <c r="B116" s="11" t="str">
        <f>CONCATENATE("          ", "5018", " - ", "PURCHASES @ COST-STUDY GUIDES")</f>
        <v xml:space="preserve">          5018 - PURCHASES @ COST-STUDY GUIDES</v>
      </c>
      <c r="C116" s="11"/>
      <c r="D116" s="2">
        <v>196.31</v>
      </c>
      <c r="E116" s="2"/>
      <c r="F116" s="19">
        <f t="shared" si="13"/>
        <v>4.4213428224676031E-4</v>
      </c>
      <c r="G116" s="2"/>
      <c r="H116" s="2">
        <v>1051.22</v>
      </c>
      <c r="I116" s="2"/>
      <c r="J116" s="19">
        <f t="shared" si="14"/>
        <v>1.9384408483084196E-3</v>
      </c>
      <c r="K116" s="2"/>
      <c r="L116" s="2">
        <f t="shared" si="15"/>
        <v>-854.91000000000008</v>
      </c>
      <c r="M116" s="2"/>
      <c r="N116" s="19">
        <f t="shared" si="16"/>
        <v>-0.81325507505564965</v>
      </c>
      <c r="O116" s="11"/>
      <c r="P116" s="2">
        <v>998.4</v>
      </c>
      <c r="Q116" s="2"/>
      <c r="R116" s="19">
        <f t="shared" si="17"/>
        <v>1.8102749498139623E-4</v>
      </c>
      <c r="S116" s="2"/>
      <c r="T116" s="2">
        <v>2085.77</v>
      </c>
      <c r="U116" s="2"/>
      <c r="V116" s="19">
        <f t="shared" si="18"/>
        <v>3.5276956522770081E-4</v>
      </c>
      <c r="W116" s="2"/>
      <c r="X116" s="2">
        <f t="shared" si="19"/>
        <v>-1087.3699999999999</v>
      </c>
      <c r="Y116" s="2"/>
      <c r="Z116" s="19">
        <f t="shared" si="20"/>
        <v>-0.52132785494086109</v>
      </c>
    </row>
    <row r="117" spans="1:26" s="24" customFormat="1" hidden="1" outlineLevel="1" x14ac:dyDescent="0.25">
      <c r="A117" s="44"/>
      <c r="B117" s="11" t="str">
        <f>CONCATENATE("          ", "5025", " - ", "PURCHASES @ COST-TEST FORMS")</f>
        <v xml:space="preserve">          5025 - PURCHASES @ COST-TEST FORMS</v>
      </c>
      <c r="C117" s="11"/>
      <c r="D117" s="2">
        <v>0</v>
      </c>
      <c r="E117" s="2"/>
      <c r="F117" s="19">
        <f t="shared" si="13"/>
        <v>0</v>
      </c>
      <c r="G117" s="2"/>
      <c r="H117" s="2">
        <v>12949.15</v>
      </c>
      <c r="I117" s="2"/>
      <c r="J117" s="19">
        <f t="shared" si="14"/>
        <v>2.3878123809357672E-2</v>
      </c>
      <c r="K117" s="2"/>
      <c r="L117" s="2">
        <f t="shared" si="15"/>
        <v>-12949.15</v>
      </c>
      <c r="M117" s="2"/>
      <c r="N117" s="19">
        <f t="shared" si="16"/>
        <v>-1</v>
      </c>
      <c r="O117" s="11"/>
      <c r="P117" s="2">
        <v>22098.390000000003</v>
      </c>
      <c r="Q117" s="2"/>
      <c r="R117" s="19">
        <f t="shared" si="17"/>
        <v>4.0068271081950494E-3</v>
      </c>
      <c r="S117" s="2"/>
      <c r="T117" s="2">
        <v>14999.150000000001</v>
      </c>
      <c r="U117" s="2"/>
      <c r="V117" s="19">
        <f t="shared" si="18"/>
        <v>2.5368298634485436E-3</v>
      </c>
      <c r="W117" s="2"/>
      <c r="X117" s="2">
        <f t="shared" si="19"/>
        <v>7099.2400000000016</v>
      </c>
      <c r="Y117" s="2"/>
      <c r="Z117" s="19">
        <f t="shared" si="20"/>
        <v>0.47330948753762719</v>
      </c>
    </row>
    <row r="118" spans="1:26" s="24" customFormat="1" hidden="1" outlineLevel="1" x14ac:dyDescent="0.25">
      <c r="A118" s="44"/>
      <c r="B118" s="11" t="str">
        <f>CONCATENATE("          ", "5026", " - ", "PURCHASES @ COST-WRITING INSTR")</f>
        <v xml:space="preserve">          5026 - PURCHASES @ COST-WRITING INSTR</v>
      </c>
      <c r="C118" s="11"/>
      <c r="D118" s="2">
        <v>4344.2</v>
      </c>
      <c r="E118" s="2"/>
      <c r="F118" s="19">
        <f t="shared" si="13"/>
        <v>9.7841156789586683E-3</v>
      </c>
      <c r="G118" s="2"/>
      <c r="H118" s="2">
        <v>3765.16</v>
      </c>
      <c r="I118" s="2"/>
      <c r="J118" s="19">
        <f t="shared" si="14"/>
        <v>6.9429234074855203E-3</v>
      </c>
      <c r="K118" s="2"/>
      <c r="L118" s="2">
        <f t="shared" si="15"/>
        <v>579.04</v>
      </c>
      <c r="M118" s="2"/>
      <c r="N118" s="19">
        <f t="shared" si="16"/>
        <v>0.15378894920800179</v>
      </c>
      <c r="O118" s="11"/>
      <c r="P118" s="2">
        <v>34294.769999999997</v>
      </c>
      <c r="Q118" s="2"/>
      <c r="R118" s="19">
        <f t="shared" si="17"/>
        <v>6.2182454968581101E-3</v>
      </c>
      <c r="S118" s="2"/>
      <c r="T118" s="2">
        <v>31774.220000000005</v>
      </c>
      <c r="U118" s="2"/>
      <c r="V118" s="19">
        <f t="shared" si="18"/>
        <v>5.3740238736051035E-3</v>
      </c>
      <c r="W118" s="2"/>
      <c r="X118" s="2">
        <f t="shared" si="19"/>
        <v>2520.549999999992</v>
      </c>
      <c r="Y118" s="2"/>
      <c r="Z118" s="19">
        <f t="shared" si="20"/>
        <v>7.9326888276092744E-2</v>
      </c>
    </row>
    <row r="119" spans="1:26" s="24" customFormat="1" hidden="1" outlineLevel="1" x14ac:dyDescent="0.25">
      <c r="A119" s="44"/>
      <c r="B119" s="11" t="str">
        <f>CONCATENATE("          ", "5027", " - ", "PURCHASES @ COST-SCHOOL SUPPLI")</f>
        <v xml:space="preserve">          5027 - PURCHASES @ COST-SCHOOL SUPPLI</v>
      </c>
      <c r="C119" s="11"/>
      <c r="D119" s="2">
        <v>2493.64</v>
      </c>
      <c r="E119" s="2"/>
      <c r="F119" s="19">
        <f t="shared" si="13"/>
        <v>5.6162382536896309E-3</v>
      </c>
      <c r="G119" s="2"/>
      <c r="H119" s="2">
        <v>15673.230000000001</v>
      </c>
      <c r="I119" s="2"/>
      <c r="J119" s="19">
        <f t="shared" si="14"/>
        <v>2.890130444334485E-2</v>
      </c>
      <c r="K119" s="2"/>
      <c r="L119" s="2">
        <f t="shared" si="15"/>
        <v>-13179.590000000002</v>
      </c>
      <c r="M119" s="2"/>
      <c r="N119" s="19">
        <f t="shared" si="16"/>
        <v>-0.8408981428843959</v>
      </c>
      <c r="O119" s="11"/>
      <c r="P119" s="2">
        <v>78000</v>
      </c>
      <c r="Q119" s="2"/>
      <c r="R119" s="19">
        <f t="shared" si="17"/>
        <v>1.4142773045421581E-2</v>
      </c>
      <c r="S119" s="2"/>
      <c r="T119" s="2">
        <v>97906.49</v>
      </c>
      <c r="U119" s="2"/>
      <c r="V119" s="19">
        <f t="shared" si="18"/>
        <v>1.6559078858297049E-2</v>
      </c>
      <c r="W119" s="2"/>
      <c r="X119" s="2">
        <f t="shared" si="19"/>
        <v>-19906.490000000005</v>
      </c>
      <c r="Y119" s="2"/>
      <c r="Z119" s="19">
        <f t="shared" si="20"/>
        <v>-0.20332145499241169</v>
      </c>
    </row>
    <row r="120" spans="1:26" s="24" customFormat="1" hidden="1" outlineLevel="1" x14ac:dyDescent="0.25">
      <c r="A120" s="44"/>
      <c r="B120" s="11" t="str">
        <f>CONCATENATE("          ", "5028", " - ", "PURCHASES @ COST-ART/TECH")</f>
        <v xml:space="preserve">          5028 - PURCHASES @ COST-ART/TECH</v>
      </c>
      <c r="C120" s="11"/>
      <c r="D120" s="2">
        <v>7730.31</v>
      </c>
      <c r="E120" s="2"/>
      <c r="F120" s="19">
        <f t="shared" si="13"/>
        <v>1.7410397144286861E-2</v>
      </c>
      <c r="G120" s="2"/>
      <c r="H120" s="2">
        <v>12127.84</v>
      </c>
      <c r="I120" s="2"/>
      <c r="J120" s="19">
        <f t="shared" si="14"/>
        <v>2.2363635069489528E-2</v>
      </c>
      <c r="K120" s="2"/>
      <c r="L120" s="2">
        <f t="shared" si="15"/>
        <v>-4397.53</v>
      </c>
      <c r="M120" s="2"/>
      <c r="N120" s="19">
        <f t="shared" si="16"/>
        <v>-0.36259795643741999</v>
      </c>
      <c r="O120" s="11"/>
      <c r="P120" s="2">
        <v>103000.81999999999</v>
      </c>
      <c r="Q120" s="2"/>
      <c r="R120" s="19">
        <f t="shared" si="17"/>
        <v>1.8675861804516924E-2</v>
      </c>
      <c r="S120" s="2"/>
      <c r="T120" s="2">
        <v>97793.52</v>
      </c>
      <c r="U120" s="2"/>
      <c r="V120" s="19">
        <f t="shared" si="18"/>
        <v>1.6539972064267137E-2</v>
      </c>
      <c r="W120" s="2"/>
      <c r="X120" s="2">
        <f t="shared" si="19"/>
        <v>5207.2999999999884</v>
      </c>
      <c r="Y120" s="2"/>
      <c r="Z120" s="19">
        <f t="shared" si="20"/>
        <v>5.3247904360125171E-2</v>
      </c>
    </row>
    <row r="121" spans="1:26" s="24" customFormat="1" hidden="1" outlineLevel="1" x14ac:dyDescent="0.25">
      <c r="A121" s="44"/>
      <c r="B121" s="11" t="str">
        <f>CONCATENATE("          ", "5031", " - ", "PURCHASES @ COST-FOOD")</f>
        <v xml:space="preserve">          5031 - PURCHASES @ COST-FOOD</v>
      </c>
      <c r="C121" s="11"/>
      <c r="D121" s="2">
        <v>1695.24</v>
      </c>
      <c r="E121" s="2"/>
      <c r="F121" s="19">
        <f t="shared" si="13"/>
        <v>3.8180618442055828E-3</v>
      </c>
      <c r="G121" s="2"/>
      <c r="H121" s="2">
        <v>1711.02</v>
      </c>
      <c r="I121" s="2"/>
      <c r="J121" s="19">
        <f t="shared" si="14"/>
        <v>3.1551065050823539E-3</v>
      </c>
      <c r="K121" s="2"/>
      <c r="L121" s="2">
        <f t="shared" si="15"/>
        <v>-15.779999999999973</v>
      </c>
      <c r="M121" s="2"/>
      <c r="N121" s="19">
        <f t="shared" si="16"/>
        <v>-9.2225689939334273E-3</v>
      </c>
      <c r="O121" s="11"/>
      <c r="P121" s="2">
        <v>22509.73</v>
      </c>
      <c r="Q121" s="2"/>
      <c r="R121" s="19">
        <f t="shared" si="17"/>
        <v>4.0814102910733015E-3</v>
      </c>
      <c r="S121" s="2"/>
      <c r="T121" s="2">
        <v>19133.79</v>
      </c>
      <c r="U121" s="2"/>
      <c r="V121" s="19">
        <f t="shared" si="18"/>
        <v>3.2361280387857385E-3</v>
      </c>
      <c r="W121" s="2"/>
      <c r="X121" s="2">
        <f t="shared" si="19"/>
        <v>3375.9399999999987</v>
      </c>
      <c r="Y121" s="2"/>
      <c r="Z121" s="19">
        <f t="shared" si="20"/>
        <v>0.17643864597656808</v>
      </c>
    </row>
    <row r="122" spans="1:26" s="24" customFormat="1" hidden="1" outlineLevel="1" x14ac:dyDescent="0.25">
      <c r="A122" s="44"/>
      <c r="B122" s="11" t="str">
        <f>CONCATENATE("          ", "5032", " - ", "PURCHASES @ COST-JUICE")</f>
        <v xml:space="preserve">          5032 - PURCHASES @ COST-JUICE</v>
      </c>
      <c r="C122" s="11"/>
      <c r="D122" s="2">
        <v>358.99</v>
      </c>
      <c r="E122" s="2"/>
      <c r="F122" s="19">
        <f t="shared" si="13"/>
        <v>8.0852623902890578E-4</v>
      </c>
      <c r="G122" s="2"/>
      <c r="H122" s="2">
        <v>891.9</v>
      </c>
      <c r="I122" s="2"/>
      <c r="J122" s="19">
        <f t="shared" si="14"/>
        <v>1.6446561068152047E-3</v>
      </c>
      <c r="K122" s="2"/>
      <c r="L122" s="2">
        <f t="shared" si="15"/>
        <v>-532.91</v>
      </c>
      <c r="M122" s="2"/>
      <c r="N122" s="19">
        <f t="shared" si="16"/>
        <v>-0.59749971969951787</v>
      </c>
      <c r="O122" s="11"/>
      <c r="P122" s="2">
        <v>5021.4799999999996</v>
      </c>
      <c r="Q122" s="2"/>
      <c r="R122" s="19">
        <f t="shared" si="17"/>
        <v>9.1048271784773785E-4</v>
      </c>
      <c r="S122" s="2"/>
      <c r="T122" s="2">
        <v>5570.25</v>
      </c>
      <c r="U122" s="2"/>
      <c r="V122" s="19">
        <f t="shared" si="18"/>
        <v>9.4210515575044254E-4</v>
      </c>
      <c r="W122" s="2"/>
      <c r="X122" s="2">
        <f t="shared" si="19"/>
        <v>-548.77000000000044</v>
      </c>
      <c r="Y122" s="2"/>
      <c r="Z122" s="19">
        <f t="shared" si="20"/>
        <v>-9.8518019837529808E-2</v>
      </c>
    </row>
    <row r="123" spans="1:26" s="24" customFormat="1" hidden="1" outlineLevel="1" x14ac:dyDescent="0.25">
      <c r="A123" s="44"/>
      <c r="B123" s="11" t="str">
        <f>CONCATENATE("          ", "5033", " - ", "PURCHASES @ COST-CANDY")</f>
        <v xml:space="preserve">          5033 - PURCHASES @ COST-CANDY</v>
      </c>
      <c r="C123" s="11"/>
      <c r="D123" s="2">
        <v>260.19</v>
      </c>
      <c r="E123" s="2"/>
      <c r="F123" s="19">
        <f t="shared" si="13"/>
        <v>5.8600641280517841E-4</v>
      </c>
      <c r="G123" s="2"/>
      <c r="H123" s="2">
        <v>143.51</v>
      </c>
      <c r="I123" s="2"/>
      <c r="J123" s="19">
        <f t="shared" si="14"/>
        <v>2.646312343189259E-4</v>
      </c>
      <c r="K123" s="2"/>
      <c r="L123" s="2">
        <f t="shared" si="15"/>
        <v>116.68</v>
      </c>
      <c r="M123" s="2"/>
      <c r="N123" s="19">
        <f t="shared" si="16"/>
        <v>0.81304438715072125</v>
      </c>
      <c r="O123" s="11"/>
      <c r="P123" s="2">
        <v>6197.93</v>
      </c>
      <c r="Q123" s="2"/>
      <c r="R123" s="19">
        <f t="shared" si="17"/>
        <v>1.1237938120693561E-3</v>
      </c>
      <c r="S123" s="2"/>
      <c r="T123" s="2">
        <v>4581.87</v>
      </c>
      <c r="U123" s="2"/>
      <c r="V123" s="19">
        <f t="shared" si="18"/>
        <v>7.74938889633011E-4</v>
      </c>
      <c r="W123" s="2"/>
      <c r="X123" s="2">
        <f t="shared" si="19"/>
        <v>1616.0600000000004</v>
      </c>
      <c r="Y123" s="2"/>
      <c r="Z123" s="19">
        <f t="shared" si="20"/>
        <v>0.35270751898242431</v>
      </c>
    </row>
    <row r="124" spans="1:26" s="24" customFormat="1" hidden="1" outlineLevel="1" x14ac:dyDescent="0.25">
      <c r="A124" s="44"/>
      <c r="B124" s="11" t="str">
        <f>CONCATENATE("          ", "5034", " - ", "PURCHASES @ COST-SODA")</f>
        <v xml:space="preserve">          5034 - PURCHASES @ COST-SODA</v>
      </c>
      <c r="C124" s="11"/>
      <c r="D124" s="2">
        <v>42.24</v>
      </c>
      <c r="E124" s="2"/>
      <c r="F124" s="19">
        <f t="shared" si="13"/>
        <v>9.5133982385528799E-5</v>
      </c>
      <c r="G124" s="2"/>
      <c r="H124" s="2">
        <v>401.72</v>
      </c>
      <c r="I124" s="2"/>
      <c r="J124" s="19">
        <f t="shared" si="14"/>
        <v>7.4076830500034089E-4</v>
      </c>
      <c r="K124" s="2"/>
      <c r="L124" s="2">
        <f t="shared" si="15"/>
        <v>-359.48</v>
      </c>
      <c r="M124" s="2"/>
      <c r="N124" s="19">
        <f t="shared" si="16"/>
        <v>-0.89485213581599121</v>
      </c>
      <c r="O124" s="11"/>
      <c r="P124" s="2">
        <v>2124.16</v>
      </c>
      <c r="Q124" s="2"/>
      <c r="R124" s="19">
        <f t="shared" si="17"/>
        <v>3.8514759989952184E-4</v>
      </c>
      <c r="S124" s="2"/>
      <c r="T124" s="2">
        <v>2062.34</v>
      </c>
      <c r="U124" s="2"/>
      <c r="V124" s="19">
        <f t="shared" si="18"/>
        <v>3.4880681242500206E-4</v>
      </c>
      <c r="W124" s="2"/>
      <c r="X124" s="2">
        <f t="shared" si="19"/>
        <v>61.819999999999709</v>
      </c>
      <c r="Y124" s="2"/>
      <c r="Z124" s="19">
        <f t="shared" si="20"/>
        <v>2.9975658717767053E-2</v>
      </c>
    </row>
    <row r="125" spans="1:26" s="24" customFormat="1" hidden="1" outlineLevel="1" x14ac:dyDescent="0.25">
      <c r="A125" s="44"/>
      <c r="B125" s="11" t="str">
        <f>CONCATENATE("          ", "5035", " - ", "PURCHASES @ COST-HEALTH &amp; BEAU")</f>
        <v xml:space="preserve">          5035 - PURCHASES @ COST-HEALTH &amp; BEAU</v>
      </c>
      <c r="C125" s="11"/>
      <c r="D125" s="2">
        <v>23.17</v>
      </c>
      <c r="E125" s="2"/>
      <c r="F125" s="19">
        <f t="shared" si="13"/>
        <v>5.2184052364410565E-5</v>
      </c>
      <c r="G125" s="2"/>
      <c r="H125" s="2">
        <v>42.48</v>
      </c>
      <c r="I125" s="2"/>
      <c r="J125" s="19">
        <f t="shared" si="14"/>
        <v>7.8332763109664633E-5</v>
      </c>
      <c r="K125" s="2"/>
      <c r="L125" s="2">
        <f t="shared" si="15"/>
        <v>-19.309999999999995</v>
      </c>
      <c r="M125" s="2"/>
      <c r="N125" s="19">
        <f t="shared" si="16"/>
        <v>-0.45456685499058375</v>
      </c>
      <c r="O125" s="11"/>
      <c r="P125" s="2">
        <v>824.38</v>
      </c>
      <c r="Q125" s="2"/>
      <c r="R125" s="19">
        <f t="shared" si="17"/>
        <v>1.4947460568185439E-4</v>
      </c>
      <c r="S125" s="2"/>
      <c r="T125" s="2">
        <v>600.35</v>
      </c>
      <c r="U125" s="2"/>
      <c r="V125" s="19">
        <f t="shared" si="18"/>
        <v>1.015381410627491E-4</v>
      </c>
      <c r="W125" s="2"/>
      <c r="X125" s="2">
        <f t="shared" si="19"/>
        <v>224.02999999999997</v>
      </c>
      <c r="Y125" s="2"/>
      <c r="Z125" s="19">
        <f t="shared" si="20"/>
        <v>0.37316565336886809</v>
      </c>
    </row>
    <row r="126" spans="1:26" s="24" customFormat="1" hidden="1" outlineLevel="1" x14ac:dyDescent="0.25">
      <c r="A126" s="44"/>
      <c r="B126" s="11" t="str">
        <f>CONCATENATE("          ", "5037", " - ", "PURCHASES @ COST-WATER")</f>
        <v xml:space="preserve">          5037 - PURCHASES @ COST-WATER</v>
      </c>
      <c r="C126" s="11"/>
      <c r="D126" s="2">
        <v>235.9</v>
      </c>
      <c r="E126" s="2"/>
      <c r="F126" s="19">
        <f t="shared" si="13"/>
        <v>5.312998684835758E-4</v>
      </c>
      <c r="G126" s="2"/>
      <c r="H126" s="2">
        <v>424.48</v>
      </c>
      <c r="I126" s="2"/>
      <c r="J126" s="19">
        <f t="shared" si="14"/>
        <v>7.8273755378508586E-4</v>
      </c>
      <c r="K126" s="2"/>
      <c r="L126" s="2">
        <f t="shared" si="15"/>
        <v>-188.58</v>
      </c>
      <c r="M126" s="2"/>
      <c r="N126" s="19">
        <f t="shared" si="16"/>
        <v>-0.44426121372031663</v>
      </c>
      <c r="O126" s="11"/>
      <c r="P126" s="2">
        <v>3759.27</v>
      </c>
      <c r="Q126" s="2"/>
      <c r="R126" s="19">
        <f t="shared" si="17"/>
        <v>6.8162182598028188E-4</v>
      </c>
      <c r="S126" s="2"/>
      <c r="T126" s="2">
        <v>3896.09</v>
      </c>
      <c r="U126" s="2"/>
      <c r="V126" s="19">
        <f t="shared" si="18"/>
        <v>6.5895183811637563E-4</v>
      </c>
      <c r="W126" s="2"/>
      <c r="X126" s="2">
        <f t="shared" si="19"/>
        <v>-136.82000000000016</v>
      </c>
      <c r="Y126" s="2"/>
      <c r="Z126" s="19">
        <f t="shared" si="20"/>
        <v>-3.5117258584888997E-2</v>
      </c>
    </row>
    <row r="127" spans="1:26" s="24" customFormat="1" hidden="1" outlineLevel="1" x14ac:dyDescent="0.25">
      <c r="A127" s="44"/>
      <c r="B127" s="11" t="str">
        <f>CONCATENATE("          ", "5040", " - ", "PURCHASES @ COST-LOGO CLOTHING")</f>
        <v xml:space="preserve">          5040 - PURCHASES @ COST-LOGO CLOTHING</v>
      </c>
      <c r="C127" s="11"/>
      <c r="D127" s="2">
        <v>97946.53</v>
      </c>
      <c r="E127" s="2"/>
      <c r="F127" s="19">
        <f t="shared" si="13"/>
        <v>0.22059761978559816</v>
      </c>
      <c r="G127" s="2"/>
      <c r="H127" s="2">
        <v>62222.17</v>
      </c>
      <c r="I127" s="2"/>
      <c r="J127" s="19">
        <f t="shared" si="14"/>
        <v>0.11473715872832585</v>
      </c>
      <c r="K127" s="2"/>
      <c r="L127" s="2">
        <f t="shared" si="15"/>
        <v>35724.36</v>
      </c>
      <c r="M127" s="2"/>
      <c r="N127" s="19">
        <f t="shared" si="16"/>
        <v>0.57414198186916343</v>
      </c>
      <c r="O127" s="11"/>
      <c r="P127" s="2">
        <v>716238.84000000008</v>
      </c>
      <c r="Q127" s="2"/>
      <c r="R127" s="19">
        <f t="shared" si="17"/>
        <v>0.12986670974917977</v>
      </c>
      <c r="S127" s="2"/>
      <c r="T127" s="2">
        <v>610458.11</v>
      </c>
      <c r="U127" s="2"/>
      <c r="V127" s="19">
        <f t="shared" si="18"/>
        <v>0.10324774162751596</v>
      </c>
      <c r="W127" s="2"/>
      <c r="X127" s="2">
        <f t="shared" si="19"/>
        <v>105780.7300000001</v>
      </c>
      <c r="Y127" s="2"/>
      <c r="Z127" s="19">
        <f t="shared" si="20"/>
        <v>0.17328089883186268</v>
      </c>
    </row>
    <row r="128" spans="1:26" s="24" customFormat="1" hidden="1" outlineLevel="1" x14ac:dyDescent="0.25">
      <c r="A128" s="44"/>
      <c r="B128" s="11" t="str">
        <f>CONCATENATE("          ", "5041", " - ", "PURCHASES @ COST-LOGO GIFTS")</f>
        <v xml:space="preserve">          5041 - PURCHASES @ COST-LOGO GIFTS</v>
      </c>
      <c r="C128" s="11"/>
      <c r="D128" s="2">
        <v>20607.12</v>
      </c>
      <c r="E128" s="2"/>
      <c r="F128" s="19">
        <f t="shared" si="13"/>
        <v>4.6411870054367373E-2</v>
      </c>
      <c r="G128" s="2"/>
      <c r="H128" s="2">
        <v>8923.84</v>
      </c>
      <c r="I128" s="2"/>
      <c r="J128" s="19">
        <f t="shared" si="14"/>
        <v>1.6455485987489402E-2</v>
      </c>
      <c r="K128" s="2"/>
      <c r="L128" s="2">
        <f t="shared" si="15"/>
        <v>11683.279999999999</v>
      </c>
      <c r="M128" s="2"/>
      <c r="N128" s="19">
        <f t="shared" si="16"/>
        <v>1.3092211424678164</v>
      </c>
      <c r="O128" s="11"/>
      <c r="P128" s="2">
        <v>109403.67</v>
      </c>
      <c r="Q128" s="2"/>
      <c r="R128" s="19">
        <f t="shared" si="17"/>
        <v>1.9836811219823045E-2</v>
      </c>
      <c r="S128" s="2"/>
      <c r="T128" s="2">
        <v>105443.35</v>
      </c>
      <c r="U128" s="2"/>
      <c r="V128" s="19">
        <f t="shared" si="18"/>
        <v>1.7833799860795911E-2</v>
      </c>
      <c r="W128" s="2"/>
      <c r="X128" s="2">
        <f t="shared" si="19"/>
        <v>3960.3199999999924</v>
      </c>
      <c r="Y128" s="2"/>
      <c r="Z128" s="19">
        <f t="shared" si="20"/>
        <v>3.7558745999629113E-2</v>
      </c>
    </row>
    <row r="129" spans="1:26" s="24" customFormat="1" hidden="1" outlineLevel="1" x14ac:dyDescent="0.25">
      <c r="A129" s="44"/>
      <c r="B129" s="11" t="str">
        <f>CONCATENATE("          ", "5042", " - ", "PURCHASES @ COST-EVERYDAY GIFT")</f>
        <v xml:space="preserve">          5042 - PURCHASES @ COST-EVERYDAY GIFT</v>
      </c>
      <c r="C129" s="11"/>
      <c r="D129" s="2">
        <v>7822.79</v>
      </c>
      <c r="E129" s="2"/>
      <c r="F129" s="19">
        <f t="shared" si="13"/>
        <v>1.761868290875215E-2</v>
      </c>
      <c r="G129" s="2"/>
      <c r="H129" s="2">
        <v>6183.21</v>
      </c>
      <c r="I129" s="2"/>
      <c r="J129" s="19">
        <f t="shared" si="14"/>
        <v>1.140178729254495E-2</v>
      </c>
      <c r="K129" s="2"/>
      <c r="L129" s="2">
        <f t="shared" si="15"/>
        <v>1639.58</v>
      </c>
      <c r="M129" s="2"/>
      <c r="N129" s="19">
        <f t="shared" si="16"/>
        <v>0.26516647501863916</v>
      </c>
      <c r="O129" s="11"/>
      <c r="P129" s="2">
        <v>88388.11</v>
      </c>
      <c r="Q129" s="2"/>
      <c r="R129" s="19">
        <f t="shared" si="17"/>
        <v>1.6026320251843047E-2</v>
      </c>
      <c r="S129" s="2"/>
      <c r="T129" s="2">
        <v>80573.990000000005</v>
      </c>
      <c r="U129" s="2"/>
      <c r="V129" s="19">
        <f t="shared" si="18"/>
        <v>1.3627605834277565E-2</v>
      </c>
      <c r="W129" s="2"/>
      <c r="X129" s="2">
        <f t="shared" si="19"/>
        <v>7814.1199999999953</v>
      </c>
      <c r="Y129" s="2"/>
      <c r="Z129" s="19">
        <f t="shared" si="20"/>
        <v>9.6980675773906622E-2</v>
      </c>
    </row>
    <row r="130" spans="1:26" s="24" customFormat="1" hidden="1" outlineLevel="1" x14ac:dyDescent="0.25">
      <c r="A130" s="44"/>
      <c r="B130" s="11" t="str">
        <f>CONCATENATE("          ", "5043", " - ", "PURCHASES @ COST-CARDS")</f>
        <v xml:space="preserve">          5043 - PURCHASES @ COST-CARDS</v>
      </c>
      <c r="C130" s="11"/>
      <c r="D130" s="2">
        <v>3256.15</v>
      </c>
      <c r="E130" s="2"/>
      <c r="F130" s="19">
        <f t="shared" si="13"/>
        <v>7.3335823092954442E-3</v>
      </c>
      <c r="G130" s="2"/>
      <c r="H130" s="2">
        <v>280.19</v>
      </c>
      <c r="I130" s="2"/>
      <c r="J130" s="19">
        <f t="shared" si="14"/>
        <v>5.1666800601923109E-4</v>
      </c>
      <c r="K130" s="2"/>
      <c r="L130" s="2">
        <f t="shared" si="15"/>
        <v>2975.96</v>
      </c>
      <c r="M130" s="2"/>
      <c r="N130" s="19">
        <f t="shared" si="16"/>
        <v>10.621221314108285</v>
      </c>
      <c r="O130" s="11"/>
      <c r="P130" s="2">
        <v>6784.89</v>
      </c>
      <c r="Q130" s="2"/>
      <c r="R130" s="19">
        <f t="shared" si="17"/>
        <v>1.230219992412185E-3</v>
      </c>
      <c r="S130" s="2"/>
      <c r="T130" s="2">
        <v>2544.06</v>
      </c>
      <c r="U130" s="2"/>
      <c r="V130" s="19">
        <f t="shared" si="18"/>
        <v>4.3028087474322887E-4</v>
      </c>
      <c r="W130" s="2"/>
      <c r="X130" s="2">
        <f t="shared" si="19"/>
        <v>4240.83</v>
      </c>
      <c r="Y130" s="2"/>
      <c r="Z130" s="19">
        <f t="shared" si="20"/>
        <v>1.6669536095846795</v>
      </c>
    </row>
    <row r="131" spans="1:26" s="24" customFormat="1" hidden="1" outlineLevel="1" x14ac:dyDescent="0.25">
      <c r="A131" s="44"/>
      <c r="B131" s="11" t="str">
        <f>CONCATENATE("          ", "5044", " - ", "PURCHASES @ COST-ACCESSORIES")</f>
        <v xml:space="preserve">          5044 - PURCHASES @ COST-ACCESSORIES</v>
      </c>
      <c r="C131" s="11"/>
      <c r="D131" s="2">
        <v>432</v>
      </c>
      <c r="E131" s="2"/>
      <c r="F131" s="19">
        <f t="shared" si="13"/>
        <v>9.7296118348836258E-4</v>
      </c>
      <c r="G131" s="2"/>
      <c r="H131" s="2">
        <v>836</v>
      </c>
      <c r="I131" s="2"/>
      <c r="J131" s="19">
        <f t="shared" si="14"/>
        <v>1.541576976451969E-3</v>
      </c>
      <c r="K131" s="2"/>
      <c r="L131" s="2">
        <f t="shared" si="15"/>
        <v>-404</v>
      </c>
      <c r="M131" s="2"/>
      <c r="N131" s="19">
        <f t="shared" si="16"/>
        <v>-0.48325358851674644</v>
      </c>
      <c r="O131" s="11"/>
      <c r="P131" s="2">
        <v>17687.580000000002</v>
      </c>
      <c r="Q131" s="2"/>
      <c r="R131" s="19">
        <f t="shared" si="17"/>
        <v>3.2070696110607418E-3</v>
      </c>
      <c r="S131" s="2"/>
      <c r="T131" s="2">
        <v>20975.030000000002</v>
      </c>
      <c r="U131" s="2"/>
      <c r="V131" s="19">
        <f t="shared" si="18"/>
        <v>3.5475398599740058E-3</v>
      </c>
      <c r="W131" s="2"/>
      <c r="X131" s="2">
        <f t="shared" si="19"/>
        <v>-3287.4500000000007</v>
      </c>
      <c r="Y131" s="2"/>
      <c r="Z131" s="19">
        <f t="shared" si="20"/>
        <v>-0.15673159943037032</v>
      </c>
    </row>
    <row r="132" spans="1:26" s="24" customFormat="1" hidden="1" outlineLevel="1" x14ac:dyDescent="0.25">
      <c r="A132" s="44"/>
      <c r="B132" s="11" t="str">
        <f>CONCATENATE("          ", "5045", " - ", "PURCHASES @ COST-SPECIAL ORDER")</f>
        <v xml:space="preserve">          5045 - PURCHASES @ COST-SPECIAL ORDER</v>
      </c>
      <c r="C132" s="11"/>
      <c r="D132" s="2">
        <v>-1045.9100000000001</v>
      </c>
      <c r="E132" s="2"/>
      <c r="F132" s="19">
        <f t="shared" si="13"/>
        <v>-2.3556246097738735E-3</v>
      </c>
      <c r="G132" s="2"/>
      <c r="H132" s="2">
        <v>2360.23</v>
      </c>
      <c r="I132" s="2"/>
      <c r="J132" s="19">
        <f t="shared" si="14"/>
        <v>4.3522442908268313E-3</v>
      </c>
      <c r="K132" s="2"/>
      <c r="L132" s="2">
        <f t="shared" si="15"/>
        <v>-3406.1400000000003</v>
      </c>
      <c r="M132" s="2"/>
      <c r="N132" s="19">
        <f t="shared" si="16"/>
        <v>-1.4431390161128366</v>
      </c>
      <c r="O132" s="11"/>
      <c r="P132" s="2">
        <v>41180.579999999994</v>
      </c>
      <c r="Q132" s="2"/>
      <c r="R132" s="19">
        <f t="shared" si="17"/>
        <v>7.4667640617798329E-3</v>
      </c>
      <c r="S132" s="2"/>
      <c r="T132" s="2">
        <v>51672.310000000005</v>
      </c>
      <c r="U132" s="2"/>
      <c r="V132" s="19">
        <f t="shared" si="18"/>
        <v>8.7394191751779815E-3</v>
      </c>
      <c r="W132" s="2"/>
      <c r="X132" s="2">
        <f t="shared" si="19"/>
        <v>-10491.73000000001</v>
      </c>
      <c r="Y132" s="2"/>
      <c r="Z132" s="19">
        <f t="shared" si="20"/>
        <v>-0.20304356433842438</v>
      </c>
    </row>
    <row r="133" spans="1:26" s="24" customFormat="1" hidden="1" outlineLevel="1" x14ac:dyDescent="0.25">
      <c r="A133" s="44"/>
      <c r="B133" s="11" t="str">
        <f>CONCATENATE("          ", "5081", " - ", "PURCHASES @ COST-ELECTRONICS")</f>
        <v xml:space="preserve">          5081 - PURCHASES @ COST-ELECTRONICS</v>
      </c>
      <c r="C133" s="11"/>
      <c r="D133" s="2">
        <v>526.74</v>
      </c>
      <c r="E133" s="2"/>
      <c r="F133" s="19">
        <f t="shared" si="13"/>
        <v>1.1863369763672688E-3</v>
      </c>
      <c r="G133" s="2"/>
      <c r="H133" s="2">
        <v>84.08</v>
      </c>
      <c r="I133" s="2"/>
      <c r="J133" s="19">
        <f t="shared" si="14"/>
        <v>1.5504281361253773E-4</v>
      </c>
      <c r="K133" s="2"/>
      <c r="L133" s="2">
        <f t="shared" si="15"/>
        <v>442.66</v>
      </c>
      <c r="M133" s="2"/>
      <c r="N133" s="19">
        <f t="shared" si="16"/>
        <v>5.2647478591817318</v>
      </c>
      <c r="O133" s="11"/>
      <c r="P133" s="2">
        <v>1771.55</v>
      </c>
      <c r="Q133" s="2"/>
      <c r="R133" s="19">
        <f t="shared" si="17"/>
        <v>3.2121319985405896E-4</v>
      </c>
      <c r="S133" s="2"/>
      <c r="T133" s="2">
        <v>1928.88</v>
      </c>
      <c r="U133" s="2"/>
      <c r="V133" s="19">
        <f t="shared" si="18"/>
        <v>3.2623451242294577E-4</v>
      </c>
      <c r="W133" s="2"/>
      <c r="X133" s="2">
        <f t="shared" si="19"/>
        <v>-157.33000000000015</v>
      </c>
      <c r="Y133" s="2"/>
      <c r="Z133" s="19">
        <f t="shared" si="20"/>
        <v>-8.1565468043631614E-2</v>
      </c>
    </row>
    <row r="134" spans="1:26" s="24" customFormat="1" hidden="1" outlineLevel="1" x14ac:dyDescent="0.25">
      <c r="A134" s="44"/>
      <c r="B134" s="11" t="str">
        <f>CONCATENATE("          ", "5082", " - ", "PURCHASES @ COST-COMPUTER HARD")</f>
        <v xml:space="preserve">          5082 - PURCHASES @ COST-COMPUTER HARD</v>
      </c>
      <c r="C134" s="11"/>
      <c r="D134" s="2">
        <v>105</v>
      </c>
      <c r="E134" s="2"/>
      <c r="F134" s="19">
        <f t="shared" si="13"/>
        <v>2.3648362098675481E-4</v>
      </c>
      <c r="G134" s="2"/>
      <c r="H134" s="2">
        <v>183</v>
      </c>
      <c r="I134" s="2"/>
      <c r="J134" s="19">
        <f t="shared" si="14"/>
        <v>3.3745046254869655E-4</v>
      </c>
      <c r="K134" s="2"/>
      <c r="L134" s="2">
        <f t="shared" si="15"/>
        <v>-78</v>
      </c>
      <c r="M134" s="2"/>
      <c r="N134" s="19">
        <f t="shared" si="16"/>
        <v>-0.42622950819672129</v>
      </c>
      <c r="O134" s="11"/>
      <c r="P134" s="2">
        <v>349.6</v>
      </c>
      <c r="Q134" s="2"/>
      <c r="R134" s="19">
        <f t="shared" si="17"/>
        <v>6.3388634059992116E-5</v>
      </c>
      <c r="S134" s="2"/>
      <c r="T134" s="2">
        <v>683</v>
      </c>
      <c r="U134" s="2"/>
      <c r="V134" s="19">
        <f t="shared" si="18"/>
        <v>1.1551686573808217E-4</v>
      </c>
      <c r="W134" s="2"/>
      <c r="X134" s="2">
        <f t="shared" si="19"/>
        <v>-333.4</v>
      </c>
      <c r="Y134" s="2"/>
      <c r="Z134" s="19">
        <f t="shared" si="20"/>
        <v>-0.48814055636896042</v>
      </c>
    </row>
    <row r="135" spans="1:26" s="24" customFormat="1" hidden="1" outlineLevel="1" x14ac:dyDescent="0.25">
      <c r="A135" s="44"/>
      <c r="B135" s="11" t="str">
        <f>CONCATENATE("          ", "5083", " - ", "PURCHASES @ COST-COMPUTER EQUI")</f>
        <v xml:space="preserve">          5083 - PURCHASES @ COST-COMPUTER EQUI</v>
      </c>
      <c r="C135" s="11"/>
      <c r="D135" s="2">
        <v>147.19999999999999</v>
      </c>
      <c r="E135" s="2"/>
      <c r="F135" s="19">
        <f t="shared" si="13"/>
        <v>3.315275143738124E-4</v>
      </c>
      <c r="G135" s="2"/>
      <c r="H135" s="2">
        <v>95.15</v>
      </c>
      <c r="I135" s="2"/>
      <c r="J135" s="19">
        <f t="shared" si="14"/>
        <v>1.7545580060933594E-4</v>
      </c>
      <c r="K135" s="2"/>
      <c r="L135" s="2">
        <f t="shared" si="15"/>
        <v>52.049999999999983</v>
      </c>
      <c r="M135" s="2"/>
      <c r="N135" s="19">
        <f t="shared" si="16"/>
        <v>0.54703100367840229</v>
      </c>
      <c r="O135" s="11"/>
      <c r="P135" s="2">
        <v>379.35</v>
      </c>
      <c r="Q135" s="2"/>
      <c r="R135" s="19">
        <f t="shared" si="17"/>
        <v>6.8782832753598426E-5</v>
      </c>
      <c r="S135" s="2"/>
      <c r="T135" s="2">
        <v>533.84</v>
      </c>
      <c r="U135" s="2"/>
      <c r="V135" s="19">
        <f t="shared" si="18"/>
        <v>9.0289200008225167E-5</v>
      </c>
      <c r="W135" s="2"/>
      <c r="X135" s="2">
        <f t="shared" si="19"/>
        <v>-154.49</v>
      </c>
      <c r="Y135" s="2"/>
      <c r="Z135" s="19">
        <f t="shared" si="20"/>
        <v>-0.28939382586542783</v>
      </c>
    </row>
    <row r="136" spans="1:26" s="24" customFormat="1" hidden="1" outlineLevel="1" x14ac:dyDescent="0.25">
      <c r="A136" s="44"/>
      <c r="B136" s="11" t="str">
        <f>CONCATENATE("          ", "5086", " - ", "PURCHASES @ COST-COMPUTER SUPP")</f>
        <v xml:space="preserve">          5086 - PURCHASES @ COST-COMPUTER SUPP</v>
      </c>
      <c r="C136" s="11"/>
      <c r="D136" s="2">
        <v>151.26</v>
      </c>
      <c r="E136" s="2"/>
      <c r="F136" s="19">
        <f t="shared" si="13"/>
        <v>3.406715477186336E-4</v>
      </c>
      <c r="G136" s="2"/>
      <c r="H136" s="2">
        <v>146.41999999999999</v>
      </c>
      <c r="I136" s="2"/>
      <c r="J136" s="19">
        <f t="shared" si="14"/>
        <v>2.6999724987092973E-4</v>
      </c>
      <c r="K136" s="2"/>
      <c r="L136" s="2">
        <f t="shared" si="15"/>
        <v>4.8400000000000034</v>
      </c>
      <c r="M136" s="2"/>
      <c r="N136" s="19">
        <f t="shared" si="16"/>
        <v>3.3055593498156018E-2</v>
      </c>
      <c r="O136" s="11"/>
      <c r="P136" s="2">
        <v>379.26</v>
      </c>
      <c r="Q136" s="2"/>
      <c r="R136" s="19">
        <f t="shared" si="17"/>
        <v>6.8766514169315237E-5</v>
      </c>
      <c r="S136" s="2"/>
      <c r="T136" s="2">
        <v>635.17999999999995</v>
      </c>
      <c r="U136" s="2"/>
      <c r="V136" s="19">
        <f t="shared" si="18"/>
        <v>1.0742899382066623E-4</v>
      </c>
      <c r="W136" s="2"/>
      <c r="X136" s="2">
        <f t="shared" si="19"/>
        <v>-255.91999999999996</v>
      </c>
      <c r="Y136" s="2"/>
      <c r="Z136" s="19">
        <f t="shared" si="20"/>
        <v>-0.40290941150539999</v>
      </c>
    </row>
    <row r="137" spans="1:26" s="24" customFormat="1" hidden="1" outlineLevel="1" x14ac:dyDescent="0.25">
      <c r="A137" s="44"/>
      <c r="B137" s="11" t="str">
        <f>CONCATENATE("          ", "5092", " - ", "PURCHASES @ COST-GRAD MERCH")</f>
        <v xml:space="preserve">          5092 - PURCHASES @ COST-GRAD MERCH</v>
      </c>
      <c r="C137" s="11"/>
      <c r="D137" s="2"/>
      <c r="E137" s="2"/>
      <c r="F137" s="19">
        <f t="shared" si="13"/>
        <v>0</v>
      </c>
      <c r="G137" s="2"/>
      <c r="H137" s="2">
        <v>828</v>
      </c>
      <c r="I137" s="2"/>
      <c r="J137" s="19">
        <f t="shared" si="14"/>
        <v>1.5268250436629549E-3</v>
      </c>
      <c r="K137" s="2"/>
      <c r="L137" s="2">
        <f t="shared" si="15"/>
        <v>-828</v>
      </c>
      <c r="M137" s="2"/>
      <c r="N137" s="19">
        <f t="shared" si="16"/>
        <v>-1</v>
      </c>
      <c r="O137" s="11"/>
      <c r="P137" s="2">
        <v>1924.14</v>
      </c>
      <c r="Q137" s="2"/>
      <c r="R137" s="19">
        <f t="shared" si="17"/>
        <v>3.4888045291817284E-4</v>
      </c>
      <c r="S137" s="2"/>
      <c r="T137" s="2">
        <v>-1870.04</v>
      </c>
      <c r="U137" s="2"/>
      <c r="V137" s="19">
        <f t="shared" si="18"/>
        <v>-3.1628281054881869E-4</v>
      </c>
      <c r="W137" s="2"/>
      <c r="X137" s="2">
        <f t="shared" si="19"/>
        <v>3794.1800000000003</v>
      </c>
      <c r="Y137" s="2"/>
      <c r="Z137" s="19">
        <f t="shared" si="20"/>
        <v>-2.0289298624628351</v>
      </c>
    </row>
    <row r="138" spans="1:26" s="24" customFormat="1" hidden="1" outlineLevel="1" x14ac:dyDescent="0.25">
      <c r="A138" s="44"/>
      <c r="B138" s="11" t="str">
        <f>CONCATENATE("          ", "5095", " - ", "PURCHASES @ COST-CUSTOMER SERV")</f>
        <v xml:space="preserve">          5095 - PURCHASES @ COST-CUSTOMER SERV</v>
      </c>
      <c r="C138" s="11"/>
      <c r="D138" s="2"/>
      <c r="E138" s="2"/>
      <c r="F138" s="19">
        <f t="shared" si="13"/>
        <v>0</v>
      </c>
      <c r="G138" s="2"/>
      <c r="H138" s="2">
        <v>0</v>
      </c>
      <c r="I138" s="2"/>
      <c r="J138" s="19">
        <f t="shared" si="14"/>
        <v>0</v>
      </c>
      <c r="K138" s="2"/>
      <c r="L138" s="2">
        <f t="shared" si="15"/>
        <v>0</v>
      </c>
      <c r="M138" s="2"/>
      <c r="N138" s="19">
        <f t="shared" si="16"/>
        <v>0</v>
      </c>
      <c r="O138" s="11"/>
      <c r="P138" s="2">
        <v>0</v>
      </c>
      <c r="Q138" s="2"/>
      <c r="R138" s="19">
        <f t="shared" si="17"/>
        <v>0</v>
      </c>
      <c r="S138" s="2"/>
      <c r="T138" s="2">
        <v>0</v>
      </c>
      <c r="U138" s="2"/>
      <c r="V138" s="19">
        <f t="shared" si="18"/>
        <v>0</v>
      </c>
      <c r="W138" s="2"/>
      <c r="X138" s="2">
        <f t="shared" si="19"/>
        <v>0</v>
      </c>
      <c r="Y138" s="2"/>
      <c r="Z138" s="19">
        <f t="shared" si="20"/>
        <v>0</v>
      </c>
    </row>
    <row r="139" spans="1:26" s="24" customFormat="1" hidden="1" outlineLevel="1" x14ac:dyDescent="0.25">
      <c r="A139" s="44"/>
      <c r="B139" s="11" t="str">
        <f>CONCATENATE("          ", "5200", " - ", "PURCHASES OFFSET")</f>
        <v xml:space="preserve">          5200 - PURCHASES OFFSET</v>
      </c>
      <c r="C139" s="11"/>
      <c r="D139" s="2">
        <v>-362376</v>
      </c>
      <c r="E139" s="2"/>
      <c r="F139" s="19">
        <f t="shared" si="13"/>
        <v>-0.81615227274948821</v>
      </c>
      <c r="G139" s="2"/>
      <c r="H139" s="2">
        <v>-559376</v>
      </c>
      <c r="I139" s="2"/>
      <c r="J139" s="19">
        <f t="shared" si="14"/>
        <v>-1.0314846444734409</v>
      </c>
      <c r="K139" s="2"/>
      <c r="L139" s="2">
        <f t="shared" si="15"/>
        <v>197000</v>
      </c>
      <c r="M139" s="2"/>
      <c r="N139" s="19">
        <f t="shared" si="16"/>
        <v>-0.35217814135751263</v>
      </c>
      <c r="O139" s="11"/>
      <c r="P139" s="2">
        <v>-2986522</v>
      </c>
      <c r="Q139" s="2"/>
      <c r="R139" s="19">
        <f t="shared" si="17"/>
        <v>-0.54150901078408398</v>
      </c>
      <c r="S139" s="2"/>
      <c r="T139" s="2">
        <v>-3195223</v>
      </c>
      <c r="U139" s="2"/>
      <c r="V139" s="19">
        <f t="shared" si="18"/>
        <v>-0.54041309852742625</v>
      </c>
      <c r="W139" s="2"/>
      <c r="X139" s="2">
        <f t="shared" si="19"/>
        <v>208701</v>
      </c>
      <c r="Y139" s="2"/>
      <c r="Z139" s="19">
        <f t="shared" si="20"/>
        <v>-6.5316567889001795E-2</v>
      </c>
    </row>
    <row r="140" spans="1:26" s="24" customFormat="1" hidden="1" outlineLevel="1" x14ac:dyDescent="0.25">
      <c r="A140" s="44"/>
      <c r="B140" s="11" t="str">
        <f>CONCATENATE("          ", "5300", " - ", "COG$ OFFSET")</f>
        <v xml:space="preserve">          5300 - COG$ OFFSET</v>
      </c>
      <c r="C140" s="11"/>
      <c r="D140" s="2">
        <v>170192.47</v>
      </c>
      <c r="E140" s="2"/>
      <c r="F140" s="19">
        <f t="shared" si="13"/>
        <v>0.38331172924075846</v>
      </c>
      <c r="G140" s="2"/>
      <c r="H140" s="2">
        <v>250353</v>
      </c>
      <c r="I140" s="2"/>
      <c r="J140" s="19">
        <f t="shared" si="14"/>
        <v>0.46164882869100454</v>
      </c>
      <c r="K140" s="2"/>
      <c r="L140" s="2">
        <f t="shared" si="15"/>
        <v>-80160.53</v>
      </c>
      <c r="M140" s="2"/>
      <c r="N140" s="19">
        <f t="shared" si="16"/>
        <v>-0.32019001170347466</v>
      </c>
      <c r="O140" s="11"/>
      <c r="P140" s="2">
        <v>2513090.4700000002</v>
      </c>
      <c r="Q140" s="2"/>
      <c r="R140" s="19">
        <f t="shared" si="17"/>
        <v>0.4556675405105366</v>
      </c>
      <c r="S140" s="2"/>
      <c r="T140" s="2">
        <v>2772491</v>
      </c>
      <c r="U140" s="2"/>
      <c r="V140" s="19">
        <f t="shared" si="18"/>
        <v>0.46891576955642927</v>
      </c>
      <c r="W140" s="2"/>
      <c r="X140" s="2">
        <f t="shared" si="19"/>
        <v>-259400.5299999998</v>
      </c>
      <c r="Y140" s="2"/>
      <c r="Z140" s="19">
        <f t="shared" si="20"/>
        <v>-9.3562262239985552E-2</v>
      </c>
    </row>
    <row r="141" spans="1:26" s="24" customFormat="1" hidden="1" outlineLevel="1" x14ac:dyDescent="0.25">
      <c r="A141" s="44"/>
      <c r="B141" s="11" t="str">
        <f>CONCATENATE("          ", "5500", " - ", "FREIGHT-IN")</f>
        <v xml:space="preserve">          5500 - FREIGHT-IN</v>
      </c>
      <c r="C141" s="11"/>
      <c r="D141" s="2">
        <v>80</v>
      </c>
      <c r="E141" s="2"/>
      <c r="F141" s="19">
        <f t="shared" si="13"/>
        <v>1.8017799694228936E-4</v>
      </c>
      <c r="G141" s="2"/>
      <c r="H141" s="2">
        <v>10.5</v>
      </c>
      <c r="I141" s="2"/>
      <c r="J141" s="19">
        <f t="shared" si="14"/>
        <v>1.9361911785580949E-5</v>
      </c>
      <c r="K141" s="2"/>
      <c r="L141" s="2">
        <f t="shared" si="15"/>
        <v>69.5</v>
      </c>
      <c r="M141" s="2"/>
      <c r="N141" s="19">
        <f t="shared" si="16"/>
        <v>6.6190476190476186</v>
      </c>
      <c r="O141" s="11"/>
      <c r="P141" s="2">
        <v>115.23</v>
      </c>
      <c r="Q141" s="2"/>
      <c r="R141" s="19">
        <f t="shared" si="17"/>
        <v>2.0893227410563191E-5</v>
      </c>
      <c r="S141" s="2"/>
      <c r="T141" s="2">
        <v>10.5</v>
      </c>
      <c r="U141" s="2"/>
      <c r="V141" s="19">
        <f t="shared" si="18"/>
        <v>1.7758815377011168E-6</v>
      </c>
      <c r="W141" s="2"/>
      <c r="X141" s="2">
        <f t="shared" si="19"/>
        <v>104.73</v>
      </c>
      <c r="Y141" s="2"/>
      <c r="Z141" s="19">
        <f t="shared" si="20"/>
        <v>9.9742857142857151</v>
      </c>
    </row>
    <row r="142" spans="1:26" s="24" customFormat="1" hidden="1" outlineLevel="1" x14ac:dyDescent="0.25">
      <c r="A142" s="44"/>
      <c r="B142" s="11" t="str">
        <f>CONCATENATE("          ", "5501", " - ", "FREIGHT-IN-NEW TEXT")</f>
        <v xml:space="preserve">          5501 - FREIGHT-IN-NEW TEXT</v>
      </c>
      <c r="C142" s="11"/>
      <c r="D142" s="2">
        <v>4162.3900000000003</v>
      </c>
      <c r="E142" s="2"/>
      <c r="F142" s="19">
        <f t="shared" si="13"/>
        <v>9.3746386586576989E-3</v>
      </c>
      <c r="G142" s="2"/>
      <c r="H142" s="2">
        <v>2096.16</v>
      </c>
      <c r="I142" s="2"/>
      <c r="J142" s="19">
        <f t="shared" si="14"/>
        <v>3.8653014293774631E-3</v>
      </c>
      <c r="K142" s="2"/>
      <c r="L142" s="2">
        <f t="shared" si="15"/>
        <v>2066.2300000000005</v>
      </c>
      <c r="M142" s="2"/>
      <c r="N142" s="19">
        <f t="shared" si="16"/>
        <v>0.98572150980841189</v>
      </c>
      <c r="O142" s="11"/>
      <c r="P142" s="2">
        <v>38669.939999999995</v>
      </c>
      <c r="Q142" s="2"/>
      <c r="R142" s="19">
        <f t="shared" si="17"/>
        <v>7.011540834616279E-3</v>
      </c>
      <c r="S142" s="2"/>
      <c r="T142" s="2">
        <v>38895.120000000003</v>
      </c>
      <c r="U142" s="2"/>
      <c r="V142" s="19">
        <f t="shared" si="18"/>
        <v>6.5783929061589974E-3</v>
      </c>
      <c r="W142" s="2"/>
      <c r="X142" s="2">
        <f t="shared" si="19"/>
        <v>-225.18000000000757</v>
      </c>
      <c r="Y142" s="2"/>
      <c r="Z142" s="19">
        <f t="shared" si="20"/>
        <v>-5.7894152274117561E-3</v>
      </c>
    </row>
    <row r="143" spans="1:26" s="24" customFormat="1" hidden="1" outlineLevel="1" x14ac:dyDescent="0.25">
      <c r="A143" s="44"/>
      <c r="B143" s="11" t="str">
        <f>CONCATENATE("          ", "5502", " - ", "FREIGHT-IN-USED TEXT")</f>
        <v xml:space="preserve">          5502 - FREIGHT-IN-USED TEXT</v>
      </c>
      <c r="C143" s="11"/>
      <c r="D143" s="2">
        <v>563.29999999999995</v>
      </c>
      <c r="E143" s="2"/>
      <c r="F143" s="19">
        <f t="shared" si="13"/>
        <v>1.2686783209698948E-3</v>
      </c>
      <c r="G143" s="2"/>
      <c r="H143" s="2">
        <v>119.04</v>
      </c>
      <c r="I143" s="2"/>
      <c r="J143" s="19">
        <f t="shared" si="14"/>
        <v>2.1950875990052918E-4</v>
      </c>
      <c r="K143" s="2"/>
      <c r="L143" s="2">
        <f t="shared" si="15"/>
        <v>444.25999999999993</v>
      </c>
      <c r="M143" s="2"/>
      <c r="N143" s="19">
        <f t="shared" si="16"/>
        <v>3.7320228494623646</v>
      </c>
      <c r="O143" s="11"/>
      <c r="P143" s="2">
        <v>7653.42</v>
      </c>
      <c r="Q143" s="2"/>
      <c r="R143" s="19">
        <f t="shared" si="17"/>
        <v>1.3876997702729542E-3</v>
      </c>
      <c r="S143" s="2"/>
      <c r="T143" s="2">
        <v>7870.09</v>
      </c>
      <c r="U143" s="2"/>
      <c r="V143" s="19">
        <f t="shared" si="18"/>
        <v>1.3310807172424936E-3</v>
      </c>
      <c r="W143" s="2"/>
      <c r="X143" s="2">
        <f t="shared" si="19"/>
        <v>-216.67000000000007</v>
      </c>
      <c r="Y143" s="2"/>
      <c r="Z143" s="19">
        <f t="shared" si="20"/>
        <v>-2.7530816038952549E-2</v>
      </c>
    </row>
    <row r="144" spans="1:26" s="24" customFormat="1" hidden="1" outlineLevel="1" x14ac:dyDescent="0.25">
      <c r="A144" s="44"/>
      <c r="B144" s="11" t="str">
        <f>CONCATENATE("          ", "5504", " - ", "FREIGHT-IN-DIGITAL TEXT")</f>
        <v xml:space="preserve">          5504 - FREIGHT-IN-DIGITAL TEXT</v>
      </c>
      <c r="C144" s="11"/>
      <c r="D144" s="2"/>
      <c r="E144" s="2"/>
      <c r="F144" s="19">
        <f t="shared" si="13"/>
        <v>0</v>
      </c>
      <c r="G144" s="2"/>
      <c r="H144" s="2"/>
      <c r="I144" s="2"/>
      <c r="J144" s="19">
        <f t="shared" si="14"/>
        <v>0</v>
      </c>
      <c r="K144" s="2"/>
      <c r="L144" s="2">
        <f t="shared" si="15"/>
        <v>0</v>
      </c>
      <c r="M144" s="2"/>
      <c r="N144" s="19">
        <f t="shared" si="16"/>
        <v>0</v>
      </c>
      <c r="O144" s="11"/>
      <c r="P144" s="2">
        <v>105.97</v>
      </c>
      <c r="Q144" s="2"/>
      <c r="R144" s="19">
        <f t="shared" si="17"/>
        <v>1.9214226405427242E-5</v>
      </c>
      <c r="S144" s="2"/>
      <c r="T144" s="2">
        <v>166.22</v>
      </c>
      <c r="U144" s="2"/>
      <c r="V144" s="19">
        <f t="shared" si="18"/>
        <v>2.8113050399683775E-5</v>
      </c>
      <c r="W144" s="2"/>
      <c r="X144" s="2">
        <f t="shared" si="19"/>
        <v>-60.25</v>
      </c>
      <c r="Y144" s="2"/>
      <c r="Z144" s="19">
        <f t="shared" si="20"/>
        <v>-0.36247142341475153</v>
      </c>
    </row>
    <row r="145" spans="1:26" s="24" customFormat="1" hidden="1" outlineLevel="1" x14ac:dyDescent="0.25">
      <c r="A145" s="44"/>
      <c r="B145" s="11" t="str">
        <f>CONCATENATE("          ", "5513", " - ", "FREIGHT-IN-TRADE BOOKS")</f>
        <v xml:space="preserve">          5513 - FREIGHT-IN-TRADE BOOKS</v>
      </c>
      <c r="C145" s="11"/>
      <c r="D145" s="2">
        <v>9.08</v>
      </c>
      <c r="E145" s="2"/>
      <c r="F145" s="19">
        <f t="shared" si="13"/>
        <v>2.0450202652949843E-5</v>
      </c>
      <c r="G145" s="2"/>
      <c r="H145" s="2"/>
      <c r="I145" s="2"/>
      <c r="J145" s="19">
        <f t="shared" si="14"/>
        <v>0</v>
      </c>
      <c r="K145" s="2"/>
      <c r="L145" s="2">
        <f t="shared" si="15"/>
        <v>9.08</v>
      </c>
      <c r="M145" s="2"/>
      <c r="N145" s="19">
        <f t="shared" si="16"/>
        <v>0</v>
      </c>
      <c r="O145" s="11"/>
      <c r="P145" s="2">
        <v>21.41</v>
      </c>
      <c r="Q145" s="2"/>
      <c r="R145" s="19">
        <f t="shared" si="17"/>
        <v>3.8820098833650778E-6</v>
      </c>
      <c r="S145" s="2"/>
      <c r="T145" s="2">
        <v>12.22</v>
      </c>
      <c r="U145" s="2"/>
      <c r="V145" s="19">
        <f t="shared" si="18"/>
        <v>2.0667878467340616E-6</v>
      </c>
      <c r="W145" s="2"/>
      <c r="X145" s="2">
        <f t="shared" si="19"/>
        <v>9.19</v>
      </c>
      <c r="Y145" s="2"/>
      <c r="Z145" s="19">
        <f t="shared" si="20"/>
        <v>0.7520458265139115</v>
      </c>
    </row>
    <row r="146" spans="1:26" s="24" customFormat="1" hidden="1" outlineLevel="1" x14ac:dyDescent="0.25">
      <c r="A146" s="44"/>
      <c r="B146" s="11" t="str">
        <f>CONCATENATE("          ", "5518", " - ", "FREIGHT-IN-STUDY GUIDES")</f>
        <v xml:space="preserve">          5518 - FREIGHT-IN-STUDY GUIDES</v>
      </c>
      <c r="C146" s="11"/>
      <c r="D146" s="2">
        <v>8.8699999999999992</v>
      </c>
      <c r="E146" s="2"/>
      <c r="F146" s="19">
        <f t="shared" si="13"/>
        <v>1.9977235410976332E-5</v>
      </c>
      <c r="G146" s="2"/>
      <c r="H146" s="2"/>
      <c r="I146" s="2"/>
      <c r="J146" s="19">
        <f t="shared" si="14"/>
        <v>0</v>
      </c>
      <c r="K146" s="2"/>
      <c r="L146" s="2">
        <f t="shared" si="15"/>
        <v>8.8699999999999992</v>
      </c>
      <c r="M146" s="2"/>
      <c r="N146" s="19">
        <f t="shared" si="16"/>
        <v>0</v>
      </c>
      <c r="O146" s="11"/>
      <c r="P146" s="2">
        <v>21.13</v>
      </c>
      <c r="Q146" s="2"/>
      <c r="R146" s="19">
        <f t="shared" si="17"/>
        <v>3.8312409544840767E-6</v>
      </c>
      <c r="S146" s="2"/>
      <c r="T146" s="2"/>
      <c r="U146" s="2"/>
      <c r="V146" s="19">
        <f t="shared" si="18"/>
        <v>0</v>
      </c>
      <c r="W146" s="2"/>
      <c r="X146" s="2">
        <f t="shared" si="19"/>
        <v>21.13</v>
      </c>
      <c r="Y146" s="2"/>
      <c r="Z146" s="19">
        <f t="shared" si="20"/>
        <v>0</v>
      </c>
    </row>
    <row r="147" spans="1:26" s="24" customFormat="1" hidden="1" outlineLevel="1" x14ac:dyDescent="0.25">
      <c r="A147" s="44"/>
      <c r="B147" s="11" t="str">
        <f>CONCATENATE("          ", "5525", " - ", "FREIGHT-IN-TEST FORMS")</f>
        <v xml:space="preserve">          5525 - FREIGHT-IN-TEST FORMS</v>
      </c>
      <c r="C147" s="11"/>
      <c r="D147" s="2">
        <v>247.49</v>
      </c>
      <c r="E147" s="2"/>
      <c r="F147" s="19">
        <f t="shared" si="13"/>
        <v>5.5740315579059E-4</v>
      </c>
      <c r="G147" s="2"/>
      <c r="H147" s="2"/>
      <c r="I147" s="2"/>
      <c r="J147" s="19">
        <f t="shared" si="14"/>
        <v>0</v>
      </c>
      <c r="K147" s="2"/>
      <c r="L147" s="2">
        <f t="shared" si="15"/>
        <v>247.49</v>
      </c>
      <c r="M147" s="2"/>
      <c r="N147" s="19">
        <f t="shared" si="16"/>
        <v>0</v>
      </c>
      <c r="O147" s="11"/>
      <c r="P147" s="2">
        <v>622.41</v>
      </c>
      <c r="Q147" s="2"/>
      <c r="R147" s="19">
        <f t="shared" si="17"/>
        <v>1.1285388937436982E-4</v>
      </c>
      <c r="S147" s="2"/>
      <c r="T147" s="2">
        <v>50.92</v>
      </c>
      <c r="U147" s="2"/>
      <c r="V147" s="19">
        <f t="shared" si="18"/>
        <v>8.6121797999753216E-6</v>
      </c>
      <c r="W147" s="2"/>
      <c r="X147" s="2">
        <f t="shared" si="19"/>
        <v>571.49</v>
      </c>
      <c r="Y147" s="2"/>
      <c r="Z147" s="19">
        <f t="shared" si="20"/>
        <v>11.223291437549097</v>
      </c>
    </row>
    <row r="148" spans="1:26" s="24" customFormat="1" hidden="1" outlineLevel="1" x14ac:dyDescent="0.25">
      <c r="A148" s="44"/>
      <c r="B148" s="11" t="str">
        <f>CONCATENATE("          ", "5526", " - ", "FREIGHT-IN-WRITING INSTRUMENTS")</f>
        <v xml:space="preserve">          5526 - FREIGHT-IN-WRITING INSTRUMENTS</v>
      </c>
      <c r="C148" s="11"/>
      <c r="D148" s="2">
        <v>42.86</v>
      </c>
      <c r="E148" s="2"/>
      <c r="F148" s="19">
        <f t="shared" si="13"/>
        <v>9.6530361861831528E-5</v>
      </c>
      <c r="G148" s="2"/>
      <c r="H148" s="2">
        <v>13.98</v>
      </c>
      <c r="I148" s="2"/>
      <c r="J148" s="19">
        <f t="shared" si="14"/>
        <v>2.5779002548802066E-5</v>
      </c>
      <c r="K148" s="2"/>
      <c r="L148" s="2">
        <f t="shared" si="15"/>
        <v>28.88</v>
      </c>
      <c r="M148" s="2"/>
      <c r="N148" s="19">
        <f t="shared" si="16"/>
        <v>2.0658082975679539</v>
      </c>
      <c r="O148" s="11"/>
      <c r="P148" s="2">
        <v>260.35000000000002</v>
      </c>
      <c r="Q148" s="2"/>
      <c r="R148" s="19">
        <f t="shared" si="17"/>
        <v>4.7206037979173193E-5</v>
      </c>
      <c r="S148" s="2"/>
      <c r="T148" s="2">
        <v>114.3</v>
      </c>
      <c r="U148" s="2"/>
      <c r="V148" s="19">
        <f t="shared" si="18"/>
        <v>1.9331739024689299E-5</v>
      </c>
      <c r="W148" s="2"/>
      <c r="X148" s="2">
        <f t="shared" si="19"/>
        <v>146.05000000000001</v>
      </c>
      <c r="Y148" s="2"/>
      <c r="Z148" s="19">
        <f t="shared" si="20"/>
        <v>1.2777777777777779</v>
      </c>
    </row>
    <row r="149" spans="1:26" s="24" customFormat="1" hidden="1" outlineLevel="1" x14ac:dyDescent="0.25">
      <c r="A149" s="44"/>
      <c r="B149" s="11" t="str">
        <f>CONCATENATE("          ", "5527", " - ", "FREIGHT-IN-SCHOOL SUPPLIES")</f>
        <v xml:space="preserve">          5527 - FREIGHT-IN-SCHOOL SUPPLIES</v>
      </c>
      <c r="C149" s="11"/>
      <c r="D149" s="2">
        <v>25.34</v>
      </c>
      <c r="E149" s="2"/>
      <c r="F149" s="19">
        <f t="shared" si="13"/>
        <v>5.7071380531470161E-5</v>
      </c>
      <c r="G149" s="2"/>
      <c r="H149" s="2">
        <v>215.94</v>
      </c>
      <c r="I149" s="2"/>
      <c r="J149" s="19">
        <f t="shared" si="14"/>
        <v>3.9819154580746194E-4</v>
      </c>
      <c r="K149" s="2"/>
      <c r="L149" s="2">
        <f t="shared" si="15"/>
        <v>-190.6</v>
      </c>
      <c r="M149" s="2"/>
      <c r="N149" s="19">
        <f t="shared" si="16"/>
        <v>-0.88265258868204133</v>
      </c>
      <c r="O149" s="11"/>
      <c r="P149" s="2">
        <v>897.92</v>
      </c>
      <c r="Q149" s="2"/>
      <c r="R149" s="19">
        <f t="shared" si="17"/>
        <v>1.6280870221724289E-4</v>
      </c>
      <c r="S149" s="2"/>
      <c r="T149" s="2">
        <v>1225.6500000000001</v>
      </c>
      <c r="U149" s="2"/>
      <c r="V149" s="19">
        <f t="shared" si="18"/>
        <v>2.072961149222261E-4</v>
      </c>
      <c r="W149" s="2"/>
      <c r="X149" s="2">
        <f t="shared" si="19"/>
        <v>-327.73000000000013</v>
      </c>
      <c r="Y149" s="2"/>
      <c r="Z149" s="19">
        <f t="shared" si="20"/>
        <v>-0.26739281197731823</v>
      </c>
    </row>
    <row r="150" spans="1:26" s="24" customFormat="1" hidden="1" outlineLevel="1" x14ac:dyDescent="0.25">
      <c r="A150" s="44"/>
      <c r="B150" s="11" t="str">
        <f>CONCATENATE("          ", "5528", " - ", "FREIGHT-IN-ART/TECH")</f>
        <v xml:space="preserve">          5528 - FREIGHT-IN-ART/TECH</v>
      </c>
      <c r="C150" s="11"/>
      <c r="D150" s="2">
        <v>187.14</v>
      </c>
      <c r="E150" s="2"/>
      <c r="F150" s="19">
        <f t="shared" si="13"/>
        <v>4.2148137934725036E-4</v>
      </c>
      <c r="G150" s="2"/>
      <c r="H150" s="2">
        <v>152.88</v>
      </c>
      <c r="I150" s="2"/>
      <c r="J150" s="19">
        <f t="shared" si="14"/>
        <v>2.819094355980586E-4</v>
      </c>
      <c r="K150" s="2"/>
      <c r="L150" s="2">
        <f t="shared" si="15"/>
        <v>34.259999999999991</v>
      </c>
      <c r="M150" s="2"/>
      <c r="N150" s="19">
        <f t="shared" si="16"/>
        <v>0.22409733124018832</v>
      </c>
      <c r="O150" s="11"/>
      <c r="P150" s="2">
        <v>1110.6400000000001</v>
      </c>
      <c r="Q150" s="2"/>
      <c r="R150" s="19">
        <f t="shared" si="17"/>
        <v>2.0137858275855162E-4</v>
      </c>
      <c r="S150" s="2"/>
      <c r="T150" s="2">
        <v>4657.53</v>
      </c>
      <c r="U150" s="2"/>
      <c r="V150" s="19">
        <f t="shared" si="18"/>
        <v>7.8773538459896023E-4</v>
      </c>
      <c r="W150" s="2"/>
      <c r="X150" s="2">
        <f t="shared" si="19"/>
        <v>-3546.8899999999994</v>
      </c>
      <c r="Y150" s="2"/>
      <c r="Z150" s="19">
        <f t="shared" si="20"/>
        <v>-0.76153884140306116</v>
      </c>
    </row>
    <row r="151" spans="1:26" s="24" customFormat="1" hidden="1" outlineLevel="1" x14ac:dyDescent="0.25">
      <c r="A151" s="44"/>
      <c r="B151" s="11" t="str">
        <f>CONCATENATE("          ", "5540", " - ", "FREIGHT-IN-LOGO CLOTHING")</f>
        <v xml:space="preserve">          5540 - FREIGHT-IN-LOGO CLOTHING</v>
      </c>
      <c r="C151" s="11"/>
      <c r="D151" s="2">
        <v>4036.06</v>
      </c>
      <c r="E151" s="2"/>
      <c r="F151" s="19">
        <f t="shared" si="13"/>
        <v>9.0901150792362054E-3</v>
      </c>
      <c r="G151" s="2"/>
      <c r="H151" s="2">
        <v>4053.14</v>
      </c>
      <c r="I151" s="2"/>
      <c r="J151" s="19">
        <f t="shared" si="14"/>
        <v>7.4739561080580542E-3</v>
      </c>
      <c r="K151" s="2"/>
      <c r="L151" s="2">
        <f t="shared" si="15"/>
        <v>-17.079999999999927</v>
      </c>
      <c r="M151" s="2"/>
      <c r="N151" s="19">
        <f t="shared" si="16"/>
        <v>-4.214016786984888E-3</v>
      </c>
      <c r="O151" s="11"/>
      <c r="P151" s="2">
        <v>24277.390000000003</v>
      </c>
      <c r="Q151" s="2"/>
      <c r="R151" s="19">
        <f t="shared" si="17"/>
        <v>4.401918165451121E-3</v>
      </c>
      <c r="S151" s="2"/>
      <c r="T151" s="2">
        <v>16252.329999999998</v>
      </c>
      <c r="U151" s="2"/>
      <c r="V151" s="19">
        <f t="shared" si="18"/>
        <v>2.7487821706310466E-3</v>
      </c>
      <c r="W151" s="2"/>
      <c r="X151" s="2">
        <f t="shared" si="19"/>
        <v>8025.0600000000049</v>
      </c>
      <c r="Y151" s="2"/>
      <c r="Z151" s="19">
        <f t="shared" si="20"/>
        <v>0.49377904583527443</v>
      </c>
    </row>
    <row r="152" spans="1:26" s="24" customFormat="1" hidden="1" outlineLevel="1" x14ac:dyDescent="0.25">
      <c r="A152" s="44"/>
      <c r="B152" s="11" t="str">
        <f>CONCATENATE("          ", "5541", " - ", "FREIGHT-IN-LOGO GIFTS")</f>
        <v xml:space="preserve">          5541 - FREIGHT-IN-LOGO GIFTS</v>
      </c>
      <c r="C152" s="11"/>
      <c r="D152" s="2">
        <v>709.94</v>
      </c>
      <c r="E152" s="2"/>
      <c r="F152" s="19">
        <f t="shared" si="13"/>
        <v>1.5989445893651115E-3</v>
      </c>
      <c r="G152" s="2"/>
      <c r="H152" s="2">
        <v>788.21</v>
      </c>
      <c r="I152" s="2"/>
      <c r="J152" s="19">
        <f t="shared" si="14"/>
        <v>1.4534526179535963E-3</v>
      </c>
      <c r="K152" s="2"/>
      <c r="L152" s="2">
        <f t="shared" si="15"/>
        <v>-78.269999999999982</v>
      </c>
      <c r="M152" s="2"/>
      <c r="N152" s="19">
        <f t="shared" si="16"/>
        <v>-9.9300947716978949E-2</v>
      </c>
      <c r="O152" s="11"/>
      <c r="P152" s="2">
        <v>3562.77</v>
      </c>
      <c r="Q152" s="2"/>
      <c r="R152" s="19">
        <f t="shared" si="17"/>
        <v>6.4599291696200824E-4</v>
      </c>
      <c r="S152" s="2"/>
      <c r="T152" s="2">
        <v>4756.21</v>
      </c>
      <c r="U152" s="2"/>
      <c r="V152" s="19">
        <f t="shared" si="18"/>
        <v>8.0442528842185042E-4</v>
      </c>
      <c r="W152" s="2"/>
      <c r="X152" s="2">
        <f t="shared" si="19"/>
        <v>-1193.44</v>
      </c>
      <c r="Y152" s="2"/>
      <c r="Z152" s="19">
        <f t="shared" si="20"/>
        <v>-0.25092247819166941</v>
      </c>
    </row>
    <row r="153" spans="1:26" s="24" customFormat="1" hidden="1" outlineLevel="1" x14ac:dyDescent="0.25">
      <c r="A153" s="44"/>
      <c r="B153" s="11" t="str">
        <f>CONCATENATE("          ", "5542", " - ", "FREIGHT-IN-EVERYDAY GIFTS")</f>
        <v xml:space="preserve">          5542 - FREIGHT-IN-EVERYDAY GIFTS</v>
      </c>
      <c r="C153" s="11"/>
      <c r="D153" s="2">
        <v>194.82</v>
      </c>
      <c r="E153" s="2"/>
      <c r="F153" s="19">
        <f t="shared" si="13"/>
        <v>4.3877846705371018E-4</v>
      </c>
      <c r="G153" s="2"/>
      <c r="H153" s="2">
        <v>92.11</v>
      </c>
      <c r="I153" s="2"/>
      <c r="J153" s="19">
        <f t="shared" si="14"/>
        <v>1.698500661495106E-4</v>
      </c>
      <c r="K153" s="2"/>
      <c r="L153" s="2">
        <f t="shared" si="15"/>
        <v>102.71</v>
      </c>
      <c r="M153" s="2"/>
      <c r="N153" s="19">
        <f t="shared" si="16"/>
        <v>1.1150797958962111</v>
      </c>
      <c r="O153" s="11"/>
      <c r="P153" s="2">
        <v>1708.33</v>
      </c>
      <c r="Q153" s="2"/>
      <c r="R153" s="19">
        <f t="shared" si="17"/>
        <v>3.0975030098314164E-4</v>
      </c>
      <c r="S153" s="2"/>
      <c r="T153" s="2">
        <v>1221.55</v>
      </c>
      <c r="U153" s="2"/>
      <c r="V153" s="19">
        <f t="shared" si="18"/>
        <v>2.0660267546464755E-4</v>
      </c>
      <c r="W153" s="2"/>
      <c r="X153" s="2">
        <f t="shared" si="19"/>
        <v>486.78</v>
      </c>
      <c r="Y153" s="2"/>
      <c r="Z153" s="19">
        <f t="shared" si="20"/>
        <v>0.39849371699889485</v>
      </c>
    </row>
    <row r="154" spans="1:26" s="24" customFormat="1" hidden="1" outlineLevel="1" x14ac:dyDescent="0.25">
      <c r="A154" s="44"/>
      <c r="B154" s="11" t="str">
        <f>CONCATENATE("          ", "5543", " - ", "FREIGHT-IN-CARDS")</f>
        <v xml:space="preserve">          5543 - FREIGHT-IN-CARDS</v>
      </c>
      <c r="C154" s="11"/>
      <c r="D154" s="2">
        <v>77.760000000000005</v>
      </c>
      <c r="E154" s="2"/>
      <c r="F154" s="19">
        <f t="shared" si="13"/>
        <v>1.7513301302790528E-4</v>
      </c>
      <c r="G154" s="2"/>
      <c r="H154" s="2"/>
      <c r="I154" s="2"/>
      <c r="J154" s="19">
        <f t="shared" si="14"/>
        <v>0</v>
      </c>
      <c r="K154" s="2"/>
      <c r="L154" s="2">
        <f t="shared" si="15"/>
        <v>77.760000000000005</v>
      </c>
      <c r="M154" s="2"/>
      <c r="N154" s="19">
        <f t="shared" si="16"/>
        <v>0</v>
      </c>
      <c r="O154" s="11"/>
      <c r="P154" s="2">
        <v>121.35</v>
      </c>
      <c r="Q154" s="2"/>
      <c r="R154" s="19">
        <f t="shared" si="17"/>
        <v>2.2002891141819344E-5</v>
      </c>
      <c r="S154" s="2"/>
      <c r="T154" s="2">
        <v>12.47</v>
      </c>
      <c r="U154" s="2"/>
      <c r="V154" s="19">
        <f t="shared" si="18"/>
        <v>2.1090707404888503E-6</v>
      </c>
      <c r="W154" s="2"/>
      <c r="X154" s="2">
        <f t="shared" si="19"/>
        <v>108.88</v>
      </c>
      <c r="Y154" s="2"/>
      <c r="Z154" s="19">
        <f t="shared" si="20"/>
        <v>8.7313552526062548</v>
      </c>
    </row>
    <row r="155" spans="1:26" s="24" customFormat="1" hidden="1" outlineLevel="1" x14ac:dyDescent="0.25">
      <c r="A155" s="44"/>
      <c r="B155" s="11" t="str">
        <f>CONCATENATE("          ", "5544", " - ", "FREIGHT-IN-ACCESSORIES")</f>
        <v xml:space="preserve">          5544 - FREIGHT-IN-ACCESSORIES</v>
      </c>
      <c r="C155" s="11"/>
      <c r="D155" s="2">
        <v>28.4</v>
      </c>
      <c r="E155" s="2"/>
      <c r="F155" s="19">
        <f t="shared" si="13"/>
        <v>6.396318891451272E-5</v>
      </c>
      <c r="G155" s="2"/>
      <c r="H155" s="2"/>
      <c r="I155" s="2"/>
      <c r="J155" s="19">
        <f t="shared" si="14"/>
        <v>0</v>
      </c>
      <c r="K155" s="2"/>
      <c r="L155" s="2">
        <f t="shared" si="15"/>
        <v>28.4</v>
      </c>
      <c r="M155" s="2"/>
      <c r="N155" s="19">
        <f t="shared" si="16"/>
        <v>0</v>
      </c>
      <c r="O155" s="11"/>
      <c r="P155" s="2">
        <v>442.31</v>
      </c>
      <c r="Q155" s="2"/>
      <c r="R155" s="19">
        <f t="shared" si="17"/>
        <v>8.0198589047697684E-5</v>
      </c>
      <c r="S155" s="2"/>
      <c r="T155" s="2">
        <v>590.45000000000005</v>
      </c>
      <c r="U155" s="2"/>
      <c r="V155" s="19">
        <f t="shared" si="18"/>
        <v>9.9863738470059479E-5</v>
      </c>
      <c r="W155" s="2"/>
      <c r="X155" s="2">
        <f t="shared" si="19"/>
        <v>-148.14000000000004</v>
      </c>
      <c r="Y155" s="2"/>
      <c r="Z155" s="19">
        <f t="shared" si="20"/>
        <v>-0.25089338640020331</v>
      </c>
    </row>
    <row r="156" spans="1:26" s="24" customFormat="1" hidden="1" outlineLevel="1" x14ac:dyDescent="0.25">
      <c r="A156" s="44"/>
      <c r="B156" s="11" t="str">
        <f>CONCATENATE("          ", "5545", " - ", "FREIGHT-IN-SPECIAL ORDERS")</f>
        <v xml:space="preserve">          5545 - FREIGHT-IN-SPECIAL ORDERS</v>
      </c>
      <c r="C156" s="11"/>
      <c r="D156" s="2">
        <v>322.61</v>
      </c>
      <c r="E156" s="2"/>
      <c r="F156" s="19">
        <f t="shared" si="13"/>
        <v>7.2659029491939971E-4</v>
      </c>
      <c r="G156" s="2"/>
      <c r="H156" s="2">
        <v>14.93</v>
      </c>
      <c r="I156" s="2"/>
      <c r="J156" s="19">
        <f t="shared" si="14"/>
        <v>2.7530794567497483E-5</v>
      </c>
      <c r="K156" s="2"/>
      <c r="L156" s="2">
        <f t="shared" si="15"/>
        <v>307.68</v>
      </c>
      <c r="M156" s="2"/>
      <c r="N156" s="19">
        <f t="shared" si="16"/>
        <v>20.608171466845278</v>
      </c>
      <c r="O156" s="11"/>
      <c r="P156" s="2">
        <v>827.67</v>
      </c>
      <c r="Q156" s="2"/>
      <c r="R156" s="19">
        <f t="shared" si="17"/>
        <v>1.5007114059620614E-4</v>
      </c>
      <c r="S156" s="2"/>
      <c r="T156" s="2">
        <v>1322.53</v>
      </c>
      <c r="U156" s="2"/>
      <c r="V156" s="19">
        <f t="shared" si="18"/>
        <v>2.2368158191008171E-4</v>
      </c>
      <c r="W156" s="2"/>
      <c r="X156" s="2">
        <f t="shared" si="19"/>
        <v>-494.86</v>
      </c>
      <c r="Y156" s="2"/>
      <c r="Z156" s="19">
        <f t="shared" si="20"/>
        <v>-0.37417676725669741</v>
      </c>
    </row>
    <row r="157" spans="1:26" s="24" customFormat="1" hidden="1" outlineLevel="1" x14ac:dyDescent="0.25">
      <c r="A157" s="44"/>
      <c r="B157" s="11" t="str">
        <f>CONCATENATE("          ", "5592", " - ", "FREIGHT-IN-GRAD MERCH")</f>
        <v xml:space="preserve">          5592 - FREIGHT-IN-GRAD MERCH</v>
      </c>
      <c r="C157" s="11"/>
      <c r="D157" s="2"/>
      <c r="E157" s="2"/>
      <c r="F157" s="19">
        <f t="shared" si="13"/>
        <v>0</v>
      </c>
      <c r="G157" s="2"/>
      <c r="H157" s="2"/>
      <c r="I157" s="2"/>
      <c r="J157" s="19">
        <f t="shared" si="14"/>
        <v>0</v>
      </c>
      <c r="K157" s="2"/>
      <c r="L157" s="2">
        <f t="shared" si="15"/>
        <v>0</v>
      </c>
      <c r="M157" s="2"/>
      <c r="N157" s="19">
        <f t="shared" si="16"/>
        <v>0</v>
      </c>
      <c r="O157" s="11"/>
      <c r="P157" s="2">
        <v>105.78</v>
      </c>
      <c r="Q157" s="2"/>
      <c r="R157" s="19">
        <f t="shared" si="17"/>
        <v>1.917977606082942E-5</v>
      </c>
      <c r="S157" s="2"/>
      <c r="T157" s="2">
        <v>114.3</v>
      </c>
      <c r="U157" s="2"/>
      <c r="V157" s="19">
        <f t="shared" si="18"/>
        <v>1.9331739024689299E-5</v>
      </c>
      <c r="W157" s="2"/>
      <c r="X157" s="2">
        <f t="shared" si="19"/>
        <v>-8.519999999999996</v>
      </c>
      <c r="Y157" s="2"/>
      <c r="Z157" s="19">
        <f t="shared" si="20"/>
        <v>-7.4540682414698134E-2</v>
      </c>
    </row>
    <row r="158" spans="1:26" x14ac:dyDescent="0.25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10"/>
      <c r="B159" s="29" t="s">
        <v>6</v>
      </c>
      <c r="C159" s="29"/>
      <c r="D159" s="20">
        <f>D12-D107</f>
        <v>249842.31999999977</v>
      </c>
      <c r="E159" s="14"/>
      <c r="F159" s="21">
        <f>IF(D$12=0,0,D159/D$12)</f>
        <v>0.56270110961268049</v>
      </c>
      <c r="G159" s="14"/>
      <c r="H159" s="20">
        <f>H12-H107</f>
        <v>297988.07000000018</v>
      </c>
      <c r="I159" s="14"/>
      <c r="J159" s="21">
        <f>IF(H$12=0,0,H159/H$12)</f>
        <v>0.54948749757100235</v>
      </c>
      <c r="K159" s="15"/>
      <c r="L159" s="20">
        <f>+D159-H159</f>
        <v>-48145.750000000407</v>
      </c>
      <c r="M159" s="15"/>
      <c r="N159" s="21">
        <f>IF(H159=0,0,L159/H159)</f>
        <v>-0.16156938766038648</v>
      </c>
      <c r="O159" s="28"/>
      <c r="P159" s="20">
        <f>P12-P107</f>
        <v>2294757.3499999978</v>
      </c>
      <c r="Q159" s="14"/>
      <c r="R159" s="21">
        <f>IF(P$12=0,0,P159/P$12)</f>
        <v>0.41607990250465415</v>
      </c>
      <c r="S159" s="14"/>
      <c r="T159" s="20">
        <f>T12-T107</f>
        <v>2350191.4600000032</v>
      </c>
      <c r="U159" s="14"/>
      <c r="V159" s="21">
        <f>IF(T$12=0,0,T159/T$12)</f>
        <v>0.39749158322636557</v>
      </c>
      <c r="W159" s="15"/>
      <c r="X159" s="20">
        <f>+P159-T159</f>
        <v>-55434.110000005458</v>
      </c>
      <c r="Y159" s="15"/>
      <c r="Z159" s="21">
        <f>IF(T159=0,0,X159/T159)</f>
        <v>-2.3587061285638995E-2</v>
      </c>
    </row>
    <row r="160" spans="1:26" x14ac:dyDescent="0.25">
      <c r="A160" s="9"/>
      <c r="B160" s="10"/>
      <c r="C160" s="9"/>
      <c r="D160" s="1"/>
      <c r="E160" s="1"/>
      <c r="F160" s="5"/>
      <c r="G160" s="1"/>
      <c r="H160" s="1"/>
      <c r="I160" s="1"/>
      <c r="J160" s="5"/>
      <c r="K160" s="1"/>
      <c r="L160" s="1"/>
      <c r="M160" s="1"/>
      <c r="N160" s="5"/>
      <c r="O160" s="37"/>
      <c r="P160" s="1"/>
      <c r="Q160" s="1"/>
      <c r="R160" s="5"/>
      <c r="S160" s="1"/>
      <c r="T160" s="1"/>
      <c r="U160" s="1"/>
      <c r="V160" s="5"/>
      <c r="W160" s="1"/>
      <c r="X160" s="1"/>
      <c r="Y160" s="1"/>
      <c r="Z160" s="5"/>
    </row>
    <row r="161" spans="1:26" s="23" customFormat="1" x14ac:dyDescent="0.25">
      <c r="A161" s="10"/>
      <c r="B161" s="28" t="s">
        <v>9</v>
      </c>
      <c r="C161" s="10"/>
      <c r="D161" s="22">
        <f>SUM(OSRRefD22x_0)</f>
        <v>344082.65</v>
      </c>
      <c r="E161" s="22"/>
      <c r="F161" s="33">
        <f t="shared" ref="F161:F171" si="21">IF(D$12=0,0,D161/D$12)</f>
        <v>0.77495153324493538</v>
      </c>
      <c r="G161" s="22"/>
      <c r="H161" s="22">
        <f>SUM(OSRRefH22x_0)</f>
        <v>361210.80000000005</v>
      </c>
      <c r="I161" s="22"/>
      <c r="J161" s="33">
        <f t="shared" ref="J161:J171" si="22">IF(H$12=0,0,H161/H$12)</f>
        <v>0.66606968053324989</v>
      </c>
      <c r="K161" s="4"/>
      <c r="L161" s="22">
        <f t="shared" ref="L161:L171" si="23">+D161-H161</f>
        <v>-17128.150000000023</v>
      </c>
      <c r="M161" s="4"/>
      <c r="N161" s="33">
        <f t="shared" ref="N161:N171" si="24">IF(H161=0,0,L161/H161)</f>
        <v>-4.741870951809863E-2</v>
      </c>
      <c r="O161" s="10"/>
      <c r="P161" s="22">
        <f>SUM(OSRRefP22x_0)</f>
        <v>2240086.38</v>
      </c>
      <c r="Q161" s="22"/>
      <c r="R161" s="33">
        <f t="shared" ref="R161:R171" si="25">IF(P$12=0,0,P161/P$12)</f>
        <v>0.40616709326256412</v>
      </c>
      <c r="S161" s="22"/>
      <c r="T161" s="22">
        <f>SUM(OSRRefT22x_0)</f>
        <v>2338859.85</v>
      </c>
      <c r="U161" s="22"/>
      <c r="V161" s="33">
        <f t="shared" ref="V161:V171" si="26">IF(T$12=0,0,T161/T$12)</f>
        <v>0.39557505017956224</v>
      </c>
      <c r="W161" s="4"/>
      <c r="X161" s="22">
        <f t="shared" ref="X161:X171" si="27">+P161-T161</f>
        <v>-98773.470000000205</v>
      </c>
      <c r="Y161" s="4"/>
      <c r="Z161" s="33">
        <f t="shared" ref="Z161:Z171" si="28">IF(T161=0,0,X161/T161)</f>
        <v>-4.223146162434667E-2</v>
      </c>
    </row>
    <row r="162" spans="1:26" s="27" customFormat="1" outlineLevel="1" collapsed="1" x14ac:dyDescent="0.25">
      <c r="A162" s="25"/>
      <c r="B162" s="13" t="str">
        <f>CONCATENATE("     ","*Benefits                                         ")</f>
        <v xml:space="preserve">     *Benefits                                         </v>
      </c>
      <c r="C162" s="13"/>
      <c r="D162" s="1">
        <f>SUM(OSRRefD22_0x_0)</f>
        <v>41617.129999999997</v>
      </c>
      <c r="E162" s="1"/>
      <c r="F162" s="5">
        <f t="shared" si="21"/>
        <v>9.3731139023585736E-2</v>
      </c>
      <c r="G162" s="1"/>
      <c r="H162" s="1">
        <f>SUM(OSRRefH22_0x_0)</f>
        <v>48120.560000000005</v>
      </c>
      <c r="I162" s="1"/>
      <c r="J162" s="5">
        <f t="shared" si="22"/>
        <v>8.8733908361214794E-2</v>
      </c>
      <c r="K162" s="1"/>
      <c r="L162" s="1">
        <f t="shared" si="23"/>
        <v>-6503.4300000000076</v>
      </c>
      <c r="M162" s="1"/>
      <c r="N162" s="5">
        <f t="shared" si="24"/>
        <v>-0.13514867657400509</v>
      </c>
      <c r="O162" s="13"/>
      <c r="P162" s="1">
        <f>SUM(OSRRefP22_0x_0)</f>
        <v>301746.37</v>
      </c>
      <c r="Q162" s="1"/>
      <c r="R162" s="5">
        <f t="shared" si="25"/>
        <v>5.4711928566535985E-2</v>
      </c>
      <c r="S162" s="1"/>
      <c r="T162" s="1">
        <f>SUM(OSRRefT22_0x_0)</f>
        <v>312831.39</v>
      </c>
      <c r="U162" s="1"/>
      <c r="V162" s="5">
        <f t="shared" si="26"/>
        <v>5.2909665706131218E-2</v>
      </c>
      <c r="W162" s="1"/>
      <c r="X162" s="1">
        <f t="shared" si="27"/>
        <v>-11085.020000000019</v>
      </c>
      <c r="Y162" s="1"/>
      <c r="Z162" s="5">
        <f t="shared" si="28"/>
        <v>-3.543448756852699E-2</v>
      </c>
    </row>
    <row r="163" spans="1:26" s="24" customFormat="1" hidden="1" outlineLevel="2" x14ac:dyDescent="0.25">
      <c r="A163" s="26"/>
      <c r="B163" s="11" t="str">
        <f>CONCATENATE("          ", "6111", " - ", "F.I.C.A.")</f>
        <v xml:space="preserve">          6111 - F.I.C.A.</v>
      </c>
      <c r="C163" s="11"/>
      <c r="D163" s="6">
        <v>6245.27</v>
      </c>
      <c r="E163" s="2"/>
      <c r="F163" s="7">
        <f t="shared" si="21"/>
        <v>1.4065752987047144E-2</v>
      </c>
      <c r="G163" s="2"/>
      <c r="H163" s="6">
        <v>6659.34</v>
      </c>
      <c r="I163" s="2"/>
      <c r="J163" s="7">
        <f t="shared" si="22"/>
        <v>1.2279767012399108E-2</v>
      </c>
      <c r="K163" s="2"/>
      <c r="L163" s="6">
        <f t="shared" si="23"/>
        <v>-414.06999999999971</v>
      </c>
      <c r="M163" s="2"/>
      <c r="N163" s="7">
        <f t="shared" si="24"/>
        <v>-6.2178834539158491E-2</v>
      </c>
      <c r="O163" s="11"/>
      <c r="P163" s="6">
        <v>60560.19999999999</v>
      </c>
      <c r="Q163" s="2"/>
      <c r="R163" s="7">
        <f t="shared" si="25"/>
        <v>1.098063031006846E-2</v>
      </c>
      <c r="S163" s="2"/>
      <c r="T163" s="6">
        <v>61460.009999999995</v>
      </c>
      <c r="U163" s="2"/>
      <c r="V163" s="7">
        <f t="shared" si="26"/>
        <v>1.0394828291992952E-2</v>
      </c>
      <c r="W163" s="2"/>
      <c r="X163" s="6">
        <f t="shared" si="27"/>
        <v>-899.81000000000495</v>
      </c>
      <c r="Y163" s="2"/>
      <c r="Z163" s="7">
        <f t="shared" si="28"/>
        <v>-1.464057685639825E-2</v>
      </c>
    </row>
    <row r="164" spans="1:26" s="24" customFormat="1" hidden="1" outlineLevel="2" x14ac:dyDescent="0.25">
      <c r="A164" s="26"/>
      <c r="B164" s="11" t="str">
        <f>CONCATENATE("          ", "6112", " - ", "COMPENSATION INSURANCE")</f>
        <v xml:space="preserve">          6112 - COMPENSATION INSURANCE</v>
      </c>
      <c r="C164" s="11"/>
      <c r="D164" s="6">
        <v>3045.75</v>
      </c>
      <c r="E164" s="2"/>
      <c r="F164" s="7">
        <f t="shared" si="21"/>
        <v>6.8597141773372233E-3</v>
      </c>
      <c r="G164" s="2"/>
      <c r="H164" s="6">
        <v>1898.62</v>
      </c>
      <c r="I164" s="2"/>
      <c r="J164" s="7">
        <f t="shared" si="22"/>
        <v>3.5010393289847332E-3</v>
      </c>
      <c r="K164" s="2"/>
      <c r="L164" s="6">
        <f t="shared" si="23"/>
        <v>1147.1300000000001</v>
      </c>
      <c r="M164" s="2"/>
      <c r="N164" s="7">
        <f t="shared" si="24"/>
        <v>0.60419146538011825</v>
      </c>
      <c r="O164" s="11"/>
      <c r="P164" s="6">
        <v>13449.8</v>
      </c>
      <c r="Q164" s="2"/>
      <c r="R164" s="7">
        <f t="shared" si="25"/>
        <v>2.4386854987988611E-3</v>
      </c>
      <c r="S164" s="2"/>
      <c r="T164" s="6">
        <v>10709.33</v>
      </c>
      <c r="U164" s="2"/>
      <c r="V164" s="7">
        <f t="shared" si="26"/>
        <v>1.8112858502998762E-3</v>
      </c>
      <c r="W164" s="2"/>
      <c r="X164" s="6">
        <f t="shared" si="27"/>
        <v>2740.4699999999993</v>
      </c>
      <c r="Y164" s="2"/>
      <c r="Z164" s="7">
        <f t="shared" si="28"/>
        <v>0.25589556022645671</v>
      </c>
    </row>
    <row r="165" spans="1:26" s="24" customFormat="1" hidden="1" outlineLevel="2" x14ac:dyDescent="0.25">
      <c r="A165" s="26"/>
      <c r="B165" s="11" t="str">
        <f>CONCATENATE("          ", "6113", " - ", "GROUP INSURANCE")</f>
        <v xml:space="preserve">          6113 - GROUP INSURANCE</v>
      </c>
      <c r="C165" s="11"/>
      <c r="D165" s="6">
        <v>16667.599999999999</v>
      </c>
      <c r="E165" s="2"/>
      <c r="F165" s="7">
        <f t="shared" si="21"/>
        <v>3.7539184772941277E-2</v>
      </c>
      <c r="G165" s="2"/>
      <c r="H165" s="6">
        <v>22708.27</v>
      </c>
      <c r="I165" s="2"/>
      <c r="J165" s="7">
        <f t="shared" si="22"/>
        <v>4.1873859099348029E-2</v>
      </c>
      <c r="K165" s="2"/>
      <c r="L165" s="6">
        <f t="shared" si="23"/>
        <v>-6040.6700000000019</v>
      </c>
      <c r="M165" s="2"/>
      <c r="N165" s="7">
        <f t="shared" si="24"/>
        <v>-0.26601189786804552</v>
      </c>
      <c r="O165" s="11"/>
      <c r="P165" s="6">
        <v>110919.93</v>
      </c>
      <c r="Q165" s="2"/>
      <c r="R165" s="7">
        <f t="shared" si="25"/>
        <v>2.0111735848769852E-2</v>
      </c>
      <c r="S165" s="2"/>
      <c r="T165" s="6">
        <v>115163.67</v>
      </c>
      <c r="U165" s="2"/>
      <c r="V165" s="7">
        <f t="shared" si="26"/>
        <v>1.9477812892086093E-2</v>
      </c>
      <c r="W165" s="2"/>
      <c r="X165" s="6">
        <f t="shared" si="27"/>
        <v>-4243.7400000000052</v>
      </c>
      <c r="Y165" s="2"/>
      <c r="Z165" s="7">
        <f t="shared" si="28"/>
        <v>-3.6849641905298824E-2</v>
      </c>
    </row>
    <row r="166" spans="1:26" s="24" customFormat="1" hidden="1" outlineLevel="2" x14ac:dyDescent="0.25">
      <c r="A166" s="26"/>
      <c r="B166" s="11" t="str">
        <f>CONCATENATE("          ", "6114", " - ", "STATE UNEMPLOYMENT INSURANCE")</f>
        <v xml:space="preserve">          6114 - STATE UNEMPLOYMENT INSURANCE</v>
      </c>
      <c r="C166" s="11"/>
      <c r="D166" s="6">
        <v>558.37</v>
      </c>
      <c r="E166" s="2"/>
      <c r="F166" s="7">
        <f t="shared" si="21"/>
        <v>1.2575748519083265E-3</v>
      </c>
      <c r="G166" s="2"/>
      <c r="H166" s="6">
        <v>539.79</v>
      </c>
      <c r="I166" s="2"/>
      <c r="J166" s="7">
        <f t="shared" si="22"/>
        <v>9.9536822502273715E-4</v>
      </c>
      <c r="K166" s="2"/>
      <c r="L166" s="6">
        <f t="shared" si="23"/>
        <v>18.580000000000041</v>
      </c>
      <c r="M166" s="2"/>
      <c r="N166" s="7">
        <f t="shared" si="24"/>
        <v>3.4420793271457494E-2</v>
      </c>
      <c r="O166" s="11"/>
      <c r="P166" s="6">
        <v>2957.17</v>
      </c>
      <c r="Q166" s="2"/>
      <c r="R166" s="7">
        <f t="shared" si="25"/>
        <v>5.3618697649652992E-4</v>
      </c>
      <c r="S166" s="2"/>
      <c r="T166" s="6">
        <v>3028.73</v>
      </c>
      <c r="U166" s="2"/>
      <c r="V166" s="7">
        <f t="shared" si="26"/>
        <v>5.1225387520776222E-4</v>
      </c>
      <c r="W166" s="2"/>
      <c r="X166" s="6">
        <f t="shared" si="27"/>
        <v>-71.559999999999945</v>
      </c>
      <c r="Y166" s="2"/>
      <c r="Z166" s="7">
        <f t="shared" si="28"/>
        <v>-2.3627064809342513E-2</v>
      </c>
    </row>
    <row r="167" spans="1:26" s="24" customFormat="1" hidden="1" outlineLevel="2" x14ac:dyDescent="0.25">
      <c r="A167" s="26"/>
      <c r="B167" s="11" t="str">
        <f>CONCATENATE("          ", "6115", " - ", "P.E.R.S.")</f>
        <v xml:space="preserve">          6115 - P.E.R.S.</v>
      </c>
      <c r="C167" s="11"/>
      <c r="D167" s="6">
        <v>5944.58</v>
      </c>
      <c r="E167" s="2"/>
      <c r="F167" s="7">
        <f t="shared" si="21"/>
        <v>1.3388531463289931E-2</v>
      </c>
      <c r="G167" s="2"/>
      <c r="H167" s="6">
        <v>5611.84</v>
      </c>
      <c r="I167" s="2"/>
      <c r="J167" s="7">
        <f t="shared" si="22"/>
        <v>1.0348185812837581E-2</v>
      </c>
      <c r="K167" s="2"/>
      <c r="L167" s="6">
        <f t="shared" si="23"/>
        <v>332.73999999999978</v>
      </c>
      <c r="M167" s="2"/>
      <c r="N167" s="7">
        <f t="shared" si="24"/>
        <v>5.9292495865883518E-2</v>
      </c>
      <c r="O167" s="11"/>
      <c r="P167" s="6">
        <v>41767.040000000001</v>
      </c>
      <c r="Q167" s="2"/>
      <c r="R167" s="7">
        <f t="shared" si="25"/>
        <v>7.57309958332109E-3</v>
      </c>
      <c r="S167" s="2"/>
      <c r="T167" s="6">
        <v>40848.199999999997</v>
      </c>
      <c r="U167" s="2"/>
      <c r="V167" s="7">
        <f t="shared" si="26"/>
        <v>6.9087204026974051E-3</v>
      </c>
      <c r="W167" s="2"/>
      <c r="X167" s="6">
        <f t="shared" si="27"/>
        <v>918.84000000000378</v>
      </c>
      <c r="Y167" s="2"/>
      <c r="Z167" s="7">
        <f t="shared" si="28"/>
        <v>2.2494014424136285E-2</v>
      </c>
    </row>
    <row r="168" spans="1:26" s="24" customFormat="1" hidden="1" outlineLevel="2" x14ac:dyDescent="0.25">
      <c r="A168" s="26"/>
      <c r="B168" s="11" t="str">
        <f>CONCATENATE("          ", "6117", " - ", "RETIREMENT STAFF HOURLY")</f>
        <v xml:space="preserve">          6117 - RETIREMENT STAFF HOURLY</v>
      </c>
      <c r="C168" s="11"/>
      <c r="D168" s="6">
        <v>92.54</v>
      </c>
      <c r="E168" s="2"/>
      <c r="F168" s="7">
        <f t="shared" si="21"/>
        <v>2.0842089796299326E-4</v>
      </c>
      <c r="G168" s="2"/>
      <c r="H168" s="6">
        <v>86.61</v>
      </c>
      <c r="I168" s="2"/>
      <c r="J168" s="7">
        <f t="shared" si="22"/>
        <v>1.5970811235706343E-4</v>
      </c>
      <c r="K168" s="2"/>
      <c r="L168" s="6">
        <f t="shared" si="23"/>
        <v>5.9300000000000068</v>
      </c>
      <c r="M168" s="2"/>
      <c r="N168" s="7">
        <f t="shared" si="24"/>
        <v>6.846784435977378E-2</v>
      </c>
      <c r="O168" s="11"/>
      <c r="P168" s="6">
        <v>738.74</v>
      </c>
      <c r="Q168" s="2"/>
      <c r="R168" s="7">
        <f t="shared" si="25"/>
        <v>1.3394656614839408E-4</v>
      </c>
      <c r="S168" s="2"/>
      <c r="T168" s="6">
        <v>1742.63</v>
      </c>
      <c r="U168" s="2"/>
      <c r="V168" s="7">
        <f t="shared" si="26"/>
        <v>2.947337565756283E-4</v>
      </c>
      <c r="W168" s="2"/>
      <c r="X168" s="6">
        <f t="shared" si="27"/>
        <v>-1003.8900000000001</v>
      </c>
      <c r="Y168" s="2"/>
      <c r="Z168" s="7">
        <f t="shared" si="28"/>
        <v>-0.57607753797421146</v>
      </c>
    </row>
    <row r="169" spans="1:26" s="24" customFormat="1" hidden="1" outlineLevel="2" x14ac:dyDescent="0.25">
      <c r="A169" s="26"/>
      <c r="B169" s="11" t="str">
        <f>CONCATENATE("          ", "6118", " - ", "VACATION")</f>
        <v xml:space="preserve">          6118 - VACATION</v>
      </c>
      <c r="C169" s="11"/>
      <c r="D169" s="6">
        <v>4131.93</v>
      </c>
      <c r="E169" s="2"/>
      <c r="F169" s="7">
        <f t="shared" si="21"/>
        <v>9.3060358863219228E-3</v>
      </c>
      <c r="G169" s="2"/>
      <c r="H169" s="6">
        <v>5316.32</v>
      </c>
      <c r="I169" s="2"/>
      <c r="J169" s="7">
        <f t="shared" si="22"/>
        <v>9.8032494156114012E-3</v>
      </c>
      <c r="K169" s="2"/>
      <c r="L169" s="6">
        <f t="shared" si="23"/>
        <v>-1184.3899999999994</v>
      </c>
      <c r="M169" s="2"/>
      <c r="N169" s="7">
        <f t="shared" si="24"/>
        <v>-0.22278380533903142</v>
      </c>
      <c r="O169" s="11"/>
      <c r="P169" s="6">
        <v>33641.299999999996</v>
      </c>
      <c r="Q169" s="2"/>
      <c r="R169" s="7">
        <f t="shared" si="25"/>
        <v>6.0997598827300121E-3</v>
      </c>
      <c r="S169" s="2"/>
      <c r="T169" s="6">
        <v>38190.729999999996</v>
      </c>
      <c r="U169" s="2"/>
      <c r="V169" s="7">
        <f t="shared" si="26"/>
        <v>6.459258316031254E-3</v>
      </c>
      <c r="W169" s="2"/>
      <c r="X169" s="6">
        <f t="shared" si="27"/>
        <v>-4549.43</v>
      </c>
      <c r="Y169" s="2"/>
      <c r="Z169" s="7">
        <f t="shared" si="28"/>
        <v>-0.11912393400178527</v>
      </c>
    </row>
    <row r="170" spans="1:26" s="24" customFormat="1" hidden="1" outlineLevel="2" x14ac:dyDescent="0.25">
      <c r="A170" s="26"/>
      <c r="B170" s="11" t="str">
        <f>CONCATENATE("          ", "6119", " - ", "SICK LEAVE")</f>
        <v xml:space="preserve">          6119 - SICK LEAVE</v>
      </c>
      <c r="C170" s="11"/>
      <c r="D170" s="6">
        <v>3134.75</v>
      </c>
      <c r="E170" s="2"/>
      <c r="F170" s="7">
        <f t="shared" si="21"/>
        <v>7.06016219893552E-3</v>
      </c>
      <c r="G170" s="2"/>
      <c r="H170" s="6">
        <v>3277.22</v>
      </c>
      <c r="I170" s="2"/>
      <c r="J170" s="7">
        <f t="shared" si="22"/>
        <v>6.0431661468515804E-3</v>
      </c>
      <c r="K170" s="2"/>
      <c r="L170" s="6">
        <f t="shared" si="23"/>
        <v>-142.4699999999998</v>
      </c>
      <c r="M170" s="2"/>
      <c r="N170" s="7">
        <f t="shared" si="24"/>
        <v>-4.3472821476739372E-2</v>
      </c>
      <c r="O170" s="11"/>
      <c r="P170" s="6">
        <v>26189.25</v>
      </c>
      <c r="Q170" s="2"/>
      <c r="R170" s="7">
        <f t="shared" si="25"/>
        <v>4.7485720382026558E-3</v>
      </c>
      <c r="S170" s="2"/>
      <c r="T170" s="6">
        <v>29257.94</v>
      </c>
      <c r="U170" s="2"/>
      <c r="V170" s="7">
        <f t="shared" si="26"/>
        <v>4.948441474015906E-3</v>
      </c>
      <c r="W170" s="2"/>
      <c r="X170" s="6">
        <f t="shared" si="27"/>
        <v>-3068.6899999999987</v>
      </c>
      <c r="Y170" s="2"/>
      <c r="Z170" s="7">
        <f t="shared" si="28"/>
        <v>-0.10488400755487225</v>
      </c>
    </row>
    <row r="171" spans="1:26" s="24" customFormat="1" hidden="1" outlineLevel="2" x14ac:dyDescent="0.25">
      <c r="A171" s="26"/>
      <c r="B171" s="11" t="str">
        <f>CONCATENATE("          ", "6156", " - ", "EMPLOYEE MEALS")</f>
        <v xml:space="preserve">          6156 - EMPLOYEE MEALS</v>
      </c>
      <c r="C171" s="11"/>
      <c r="D171" s="6">
        <v>1796.34</v>
      </c>
      <c r="E171" s="2"/>
      <c r="F171" s="7">
        <f t="shared" si="21"/>
        <v>4.0457617878414008E-3</v>
      </c>
      <c r="G171" s="2"/>
      <c r="H171" s="6">
        <v>2022.55</v>
      </c>
      <c r="I171" s="2"/>
      <c r="J171" s="7">
        <f t="shared" si="22"/>
        <v>3.7295652078025475E-3</v>
      </c>
      <c r="K171" s="2"/>
      <c r="L171" s="6">
        <f t="shared" si="23"/>
        <v>-226.21000000000004</v>
      </c>
      <c r="M171" s="2"/>
      <c r="N171" s="7">
        <f t="shared" si="24"/>
        <v>-0.11184395935823591</v>
      </c>
      <c r="O171" s="11"/>
      <c r="P171" s="6">
        <v>11522.94</v>
      </c>
      <c r="Q171" s="2"/>
      <c r="R171" s="7">
        <f t="shared" si="25"/>
        <v>2.0893118620001301E-3</v>
      </c>
      <c r="S171" s="2"/>
      <c r="T171" s="6">
        <v>12430.15</v>
      </c>
      <c r="U171" s="2"/>
      <c r="V171" s="7">
        <f t="shared" si="26"/>
        <v>2.102330847224337E-3</v>
      </c>
      <c r="W171" s="2"/>
      <c r="X171" s="6">
        <f t="shared" si="27"/>
        <v>-907.20999999999913</v>
      </c>
      <c r="Y171" s="2"/>
      <c r="Z171" s="7">
        <f t="shared" si="28"/>
        <v>-7.2984638158026985E-2</v>
      </c>
    </row>
    <row r="172" spans="1:26" s="27" customFormat="1" outlineLevel="1" collapsed="1" x14ac:dyDescent="0.25">
      <c r="A172" s="25"/>
      <c r="B172" s="13" t="str">
        <f>CONCATENATE("     ","*Payroll                                          ")</f>
        <v xml:space="preserve">     *Payroll                                          </v>
      </c>
      <c r="C172" s="13"/>
      <c r="D172" s="1">
        <f>SUM(OSRRefD22_1x_0)</f>
        <v>143833.29</v>
      </c>
      <c r="E172" s="1"/>
      <c r="F172" s="5">
        <f t="shared" ref="F172:F179" si="29">IF(D$12=0,0,D172/D$12)</f>
        <v>0.32394492607274278</v>
      </c>
      <c r="G172" s="1"/>
      <c r="H172" s="1">
        <f>SUM(OSRRefH22_1x_0)</f>
        <v>143004.92000000001</v>
      </c>
      <c r="I172" s="1"/>
      <c r="J172" s="5">
        <f t="shared" ref="J172:J179" si="30">IF(H$12=0,0,H172/H$12)</f>
        <v>0.26369987104229153</v>
      </c>
      <c r="K172" s="1"/>
      <c r="L172" s="1">
        <f t="shared" ref="L172:L179" si="31">+D172-H172</f>
        <v>828.36999999999534</v>
      </c>
      <c r="M172" s="1"/>
      <c r="N172" s="5">
        <f t="shared" ref="N172:N179" si="32">IF(H172=0,0,L172/H172)</f>
        <v>5.7925979050230947E-3</v>
      </c>
      <c r="O172" s="13"/>
      <c r="P172" s="1">
        <f>SUM(OSRRefP22_1x_0)</f>
        <v>1034771.15</v>
      </c>
      <c r="Q172" s="1"/>
      <c r="R172" s="5">
        <f t="shared" ref="R172:R179" si="33">IF(P$12=0,0,P172/P$12)</f>
        <v>0.18762222472307552</v>
      </c>
      <c r="S172" s="1"/>
      <c r="T172" s="1">
        <f>SUM(OSRRefT22_1x_0)</f>
        <v>990787.32000000007</v>
      </c>
      <c r="U172" s="1"/>
      <c r="V172" s="5">
        <f t="shared" ref="V172:V179" si="34">IF(T$12=0,0,T172/T$12)</f>
        <v>0.16757341994060654</v>
      </c>
      <c r="W172" s="1"/>
      <c r="X172" s="1">
        <f t="shared" ref="X172:X179" si="35">+P172-T172</f>
        <v>43983.829999999958</v>
      </c>
      <c r="Y172" s="1"/>
      <c r="Z172" s="5">
        <f t="shared" ref="Z172:Z179" si="36">IF(T172=0,0,X172/T172)</f>
        <v>4.4392806722637464E-2</v>
      </c>
    </row>
    <row r="173" spans="1:26" s="24" customFormat="1" hidden="1" outlineLevel="2" x14ac:dyDescent="0.25">
      <c r="A173" s="26"/>
      <c r="B173" s="11" t="str">
        <f>CONCATENATE("          ", "6001", " - ", "ADMINISTRATIVE SALARIES")</f>
        <v xml:space="preserve">          6001 - ADMINISTRATIVE SALARIES</v>
      </c>
      <c r="C173" s="11"/>
      <c r="D173" s="6">
        <v>10181.280000000001</v>
      </c>
      <c r="E173" s="2"/>
      <c r="F173" s="7">
        <f t="shared" si="29"/>
        <v>2.29305329588574E-2</v>
      </c>
      <c r="G173" s="2"/>
      <c r="H173" s="6">
        <v>10405</v>
      </c>
      <c r="I173" s="2"/>
      <c r="J173" s="7">
        <f t="shared" si="30"/>
        <v>1.9186732583711407E-2</v>
      </c>
      <c r="K173" s="2"/>
      <c r="L173" s="6">
        <f t="shared" si="31"/>
        <v>-223.71999999999935</v>
      </c>
      <c r="M173" s="2"/>
      <c r="N173" s="7">
        <f t="shared" si="32"/>
        <v>-2.1501201345506905E-2</v>
      </c>
      <c r="O173" s="11"/>
      <c r="P173" s="6">
        <v>66982.11</v>
      </c>
      <c r="Q173" s="2"/>
      <c r="R173" s="7">
        <f t="shared" si="33"/>
        <v>1.2145035638890555E-2</v>
      </c>
      <c r="S173" s="2"/>
      <c r="T173" s="6">
        <v>67112.25</v>
      </c>
      <c r="U173" s="2"/>
      <c r="V173" s="7">
        <f t="shared" si="34"/>
        <v>1.1350800545579217E-2</v>
      </c>
      <c r="W173" s="2"/>
      <c r="X173" s="6">
        <f t="shared" si="35"/>
        <v>-130.13999999999942</v>
      </c>
      <c r="Y173" s="2"/>
      <c r="Z173" s="7">
        <f t="shared" si="36"/>
        <v>-1.9391392778516502E-3</v>
      </c>
    </row>
    <row r="174" spans="1:26" s="24" customFormat="1" hidden="1" outlineLevel="2" x14ac:dyDescent="0.25">
      <c r="A174" s="26"/>
      <c r="B174" s="11" t="str">
        <f>CONCATENATE("          ", "6002", " - ", "STAFF SALARIES")</f>
        <v xml:space="preserve">          6002 - STAFF SALARIES</v>
      </c>
      <c r="C174" s="11"/>
      <c r="D174" s="6">
        <v>51868.94</v>
      </c>
      <c r="E174" s="2"/>
      <c r="F174" s="7">
        <f t="shared" si="29"/>
        <v>0.11682052140899739</v>
      </c>
      <c r="G174" s="2"/>
      <c r="H174" s="6">
        <v>54528.04</v>
      </c>
      <c r="I174" s="2"/>
      <c r="J174" s="7">
        <f t="shared" si="30"/>
        <v>0.10054924764958376</v>
      </c>
      <c r="K174" s="2"/>
      <c r="L174" s="6">
        <f t="shared" si="31"/>
        <v>-2659.0999999999985</v>
      </c>
      <c r="M174" s="2"/>
      <c r="N174" s="7">
        <f t="shared" si="32"/>
        <v>-4.8765735940627948E-2</v>
      </c>
      <c r="O174" s="11"/>
      <c r="P174" s="6">
        <v>349483.32</v>
      </c>
      <c r="Q174" s="2"/>
      <c r="R174" s="7">
        <f t="shared" si="33"/>
        <v>6.3367477922056992E-2</v>
      </c>
      <c r="S174" s="2"/>
      <c r="T174" s="6">
        <v>328713.49</v>
      </c>
      <c r="U174" s="2"/>
      <c r="V174" s="7">
        <f t="shared" si="34"/>
        <v>5.5595830293742925E-2</v>
      </c>
      <c r="W174" s="2"/>
      <c r="X174" s="6">
        <f t="shared" si="35"/>
        <v>20769.830000000016</v>
      </c>
      <c r="Y174" s="2"/>
      <c r="Z174" s="7">
        <f t="shared" si="36"/>
        <v>6.3185207275795158E-2</v>
      </c>
    </row>
    <row r="175" spans="1:26" s="24" customFormat="1" hidden="1" outlineLevel="2" x14ac:dyDescent="0.25">
      <c r="A175" s="26"/>
      <c r="B175" s="11" t="str">
        <f>CONCATENATE("          ", "6004", " - ", "STAFF HOURLY")</f>
        <v xml:space="preserve">          6004 - STAFF HOURLY</v>
      </c>
      <c r="C175" s="11"/>
      <c r="D175" s="6">
        <v>3238.83</v>
      </c>
      <c r="E175" s="2"/>
      <c r="F175" s="7">
        <f t="shared" si="29"/>
        <v>7.294573772957438E-3</v>
      </c>
      <c r="G175" s="2"/>
      <c r="H175" s="6">
        <v>4771.4799999999996</v>
      </c>
      <c r="I175" s="2"/>
      <c r="J175" s="7">
        <f t="shared" si="30"/>
        <v>8.7985690330155981E-3</v>
      </c>
      <c r="K175" s="2"/>
      <c r="L175" s="6">
        <f t="shared" si="31"/>
        <v>-1532.6499999999996</v>
      </c>
      <c r="M175" s="2"/>
      <c r="N175" s="7">
        <f t="shared" si="32"/>
        <v>-0.32121060970600313</v>
      </c>
      <c r="O175" s="11"/>
      <c r="P175" s="6">
        <v>15944.24</v>
      </c>
      <c r="Q175" s="2"/>
      <c r="R175" s="7">
        <f t="shared" si="33"/>
        <v>2.8909713807914435E-3</v>
      </c>
      <c r="S175" s="2"/>
      <c r="T175" s="6">
        <v>35868.800000000003</v>
      </c>
      <c r="U175" s="2"/>
      <c r="V175" s="7">
        <f t="shared" si="34"/>
        <v>6.0665466380470309E-3</v>
      </c>
      <c r="W175" s="2"/>
      <c r="X175" s="6">
        <f t="shared" si="35"/>
        <v>-19924.560000000005</v>
      </c>
      <c r="Y175" s="2"/>
      <c r="Z175" s="7">
        <f t="shared" si="36"/>
        <v>-0.55548443215273446</v>
      </c>
    </row>
    <row r="176" spans="1:26" s="24" customFormat="1" hidden="1" outlineLevel="2" x14ac:dyDescent="0.25">
      <c r="A176" s="26"/>
      <c r="B176" s="11" t="str">
        <f>CONCATENATE("          ", "6005", " - ", "TEMPORARY WAGES-HOURLY")</f>
        <v xml:space="preserve">          6005 - TEMPORARY WAGES-HOURLY</v>
      </c>
      <c r="C176" s="11"/>
      <c r="D176" s="6">
        <v>17207.34</v>
      </c>
      <c r="E176" s="2"/>
      <c r="F176" s="7">
        <f t="shared" si="29"/>
        <v>3.8754800673811672E-2</v>
      </c>
      <c r="G176" s="2"/>
      <c r="H176" s="6">
        <v>18678.400000000001</v>
      </c>
      <c r="I176" s="2"/>
      <c r="J176" s="7">
        <f t="shared" si="30"/>
        <v>3.4442812675790024E-2</v>
      </c>
      <c r="K176" s="2"/>
      <c r="L176" s="6">
        <f t="shared" si="31"/>
        <v>-1471.0600000000013</v>
      </c>
      <c r="M176" s="2"/>
      <c r="N176" s="7">
        <f t="shared" si="32"/>
        <v>-7.8757281137570731E-2</v>
      </c>
      <c r="O176" s="11"/>
      <c r="P176" s="6">
        <v>108204.72</v>
      </c>
      <c r="Q176" s="2"/>
      <c r="R176" s="7">
        <f t="shared" si="33"/>
        <v>1.9619420479530632E-2</v>
      </c>
      <c r="S176" s="2"/>
      <c r="T176" s="6">
        <v>113217.08</v>
      </c>
      <c r="U176" s="2"/>
      <c r="V176" s="7">
        <f t="shared" si="34"/>
        <v>1.9148583059469558E-2</v>
      </c>
      <c r="W176" s="2"/>
      <c r="X176" s="6">
        <f t="shared" si="35"/>
        <v>-5012.3600000000006</v>
      </c>
      <c r="Y176" s="2"/>
      <c r="Z176" s="7">
        <f t="shared" si="36"/>
        <v>-4.4272118659128112E-2</v>
      </c>
    </row>
    <row r="177" spans="1:26" s="24" customFormat="1" hidden="1" outlineLevel="2" x14ac:dyDescent="0.25">
      <c r="A177" s="26"/>
      <c r="B177" s="11" t="str">
        <f>CONCATENATE("          ", "6006", " - ", "TEMPORARY PART TIME")</f>
        <v xml:space="preserve">          6006 - TEMPORARY PART TIME</v>
      </c>
      <c r="C177" s="11"/>
      <c r="D177" s="6">
        <v>672</v>
      </c>
      <c r="E177" s="2"/>
      <c r="F177" s="7">
        <f t="shared" si="29"/>
        <v>1.5134951743152308E-3</v>
      </c>
      <c r="G177" s="2"/>
      <c r="H177" s="6">
        <v>492.25</v>
      </c>
      <c r="I177" s="2"/>
      <c r="J177" s="7">
        <f t="shared" si="30"/>
        <v>9.0770486442402114E-4</v>
      </c>
      <c r="K177" s="2"/>
      <c r="L177" s="6">
        <f t="shared" si="31"/>
        <v>179.75</v>
      </c>
      <c r="M177" s="2"/>
      <c r="N177" s="7">
        <f t="shared" si="32"/>
        <v>0.36515997968511937</v>
      </c>
      <c r="O177" s="11"/>
      <c r="P177" s="6">
        <v>20507.75</v>
      </c>
      <c r="Q177" s="2"/>
      <c r="R177" s="7">
        <f t="shared" si="33"/>
        <v>3.7184160759262106E-3</v>
      </c>
      <c r="S177" s="2"/>
      <c r="T177" s="6">
        <v>40340.51</v>
      </c>
      <c r="U177" s="2"/>
      <c r="V177" s="7">
        <f t="shared" si="34"/>
        <v>6.8228539933759321E-3</v>
      </c>
      <c r="W177" s="2"/>
      <c r="X177" s="6">
        <f t="shared" si="35"/>
        <v>-19832.760000000002</v>
      </c>
      <c r="Y177" s="2"/>
      <c r="Z177" s="7">
        <f t="shared" si="36"/>
        <v>-0.49163384399453552</v>
      </c>
    </row>
    <row r="178" spans="1:26" s="24" customFormat="1" hidden="1" outlineLevel="2" x14ac:dyDescent="0.25">
      <c r="A178" s="26"/>
      <c r="B178" s="11" t="str">
        <f>CONCATENATE("          ", "6007", " - ", "STUDENT HOURLY")</f>
        <v xml:space="preserve">          6007 - STUDENT HOURLY</v>
      </c>
      <c r="C178" s="11"/>
      <c r="D178" s="6">
        <v>59504.65</v>
      </c>
      <c r="E178" s="2"/>
      <c r="F178" s="7">
        <f t="shared" si="29"/>
        <v>0.1340178580719</v>
      </c>
      <c r="G178" s="2"/>
      <c r="H178" s="6">
        <v>51853</v>
      </c>
      <c r="I178" s="2"/>
      <c r="J178" s="7">
        <f t="shared" si="30"/>
        <v>9.5616496363593234E-2</v>
      </c>
      <c r="K178" s="2"/>
      <c r="L178" s="6">
        <f t="shared" si="31"/>
        <v>7651.6500000000015</v>
      </c>
      <c r="M178" s="2"/>
      <c r="N178" s="7">
        <f t="shared" si="32"/>
        <v>0.14756426821977517</v>
      </c>
      <c r="O178" s="11"/>
      <c r="P178" s="6">
        <v>467205.76</v>
      </c>
      <c r="Q178" s="2"/>
      <c r="R178" s="7">
        <f t="shared" si="33"/>
        <v>8.4712628579406465E-2</v>
      </c>
      <c r="S178" s="2"/>
      <c r="T178" s="6">
        <v>392153.94</v>
      </c>
      <c r="U178" s="2"/>
      <c r="V178" s="7">
        <f t="shared" si="34"/>
        <v>6.6325613522166815E-2</v>
      </c>
      <c r="W178" s="2"/>
      <c r="X178" s="6">
        <f t="shared" si="35"/>
        <v>75051.820000000007</v>
      </c>
      <c r="Y178" s="2"/>
      <c r="Z178" s="7">
        <f t="shared" si="36"/>
        <v>0.19138356738172771</v>
      </c>
    </row>
    <row r="179" spans="1:26" s="24" customFormat="1" hidden="1" outlineLevel="2" x14ac:dyDescent="0.25">
      <c r="A179" s="26"/>
      <c r="B179" s="11" t="str">
        <f>CONCATENATE("          ", "6008", " - ", "STUDENT HOURLY-FICA EXEMPT")</f>
        <v xml:space="preserve">          6008 - STUDENT HOURLY-FICA EXEMPT</v>
      </c>
      <c r="C179" s="11"/>
      <c r="D179" s="6">
        <v>1160.25</v>
      </c>
      <c r="E179" s="2"/>
      <c r="F179" s="7">
        <f t="shared" si="29"/>
        <v>2.6131440119036404E-3</v>
      </c>
      <c r="G179" s="2"/>
      <c r="H179" s="6">
        <v>2276.75</v>
      </c>
      <c r="I179" s="2"/>
      <c r="J179" s="7">
        <f t="shared" si="30"/>
        <v>4.1983078721734689E-3</v>
      </c>
      <c r="K179" s="2"/>
      <c r="L179" s="6">
        <f t="shared" si="31"/>
        <v>-1116.5</v>
      </c>
      <c r="M179" s="2"/>
      <c r="N179" s="7">
        <f t="shared" si="32"/>
        <v>-0.49039200614911604</v>
      </c>
      <c r="O179" s="11"/>
      <c r="P179" s="6">
        <v>6443.25</v>
      </c>
      <c r="Q179" s="2"/>
      <c r="R179" s="7">
        <f t="shared" si="33"/>
        <v>1.1682746464732384E-3</v>
      </c>
      <c r="S179" s="2"/>
      <c r="T179" s="6">
        <v>13381.25</v>
      </c>
      <c r="U179" s="2"/>
      <c r="V179" s="7">
        <f t="shared" si="34"/>
        <v>2.2631918882250542E-3</v>
      </c>
      <c r="W179" s="2"/>
      <c r="X179" s="6">
        <f t="shared" si="35"/>
        <v>-6938</v>
      </c>
      <c r="Y179" s="2"/>
      <c r="Z179" s="7">
        <f t="shared" si="36"/>
        <v>-0.5184866884633349</v>
      </c>
    </row>
    <row r="180" spans="1:26" s="27" customFormat="1" outlineLevel="1" collapsed="1" x14ac:dyDescent="0.25">
      <c r="A180" s="25"/>
      <c r="B180" s="13" t="str">
        <f>CONCATENATE("     ","Advertising/Promo                                 ")</f>
        <v xml:space="preserve">     Advertising/Promo                                 </v>
      </c>
      <c r="C180" s="13"/>
      <c r="D180" s="1">
        <f>SUM(OSRRefD22_2x_0)</f>
        <v>4680.18</v>
      </c>
      <c r="E180" s="1"/>
      <c r="F180" s="5">
        <f t="shared" ref="F180:F184" si="37">IF(D$12=0,0,D180/D$12)</f>
        <v>1.054081822161705E-2</v>
      </c>
      <c r="G180" s="1"/>
      <c r="H180" s="1">
        <f>SUM(OSRRefH22_2x_0)</f>
        <v>3559.41</v>
      </c>
      <c r="I180" s="1"/>
      <c r="J180" s="5">
        <f t="shared" ref="J180:J184" si="38">IF(H$12=0,0,H180/H$12)</f>
        <v>6.5635221360680653E-3</v>
      </c>
      <c r="K180" s="1"/>
      <c r="L180" s="1">
        <f t="shared" ref="L180:L184" si="39">+D180-H180</f>
        <v>1120.7700000000004</v>
      </c>
      <c r="M180" s="1"/>
      <c r="N180" s="5">
        <f t="shared" ref="N180:N184" si="40">IF(H180=0,0,L180/H180)</f>
        <v>0.31487521808389607</v>
      </c>
      <c r="O180" s="13"/>
      <c r="P180" s="1">
        <f>SUM(OSRRefP22_2x_0)</f>
        <v>37301.53</v>
      </c>
      <c r="Q180" s="1"/>
      <c r="R180" s="5">
        <f t="shared" ref="R180:R184" si="41">IF(P$12=0,0,P180/P$12)</f>
        <v>6.7634240132946723E-3</v>
      </c>
      <c r="S180" s="1"/>
      <c r="T180" s="1">
        <f>SUM(OSRRefT22_2x_0)</f>
        <v>42053.55</v>
      </c>
      <c r="U180" s="1"/>
      <c r="V180" s="5">
        <f t="shared" ref="V180:V184" si="42">IF(T$12=0,0,T180/T$12)</f>
        <v>7.1125831466467438E-3</v>
      </c>
      <c r="W180" s="1"/>
      <c r="X180" s="1">
        <f t="shared" ref="X180:X184" si="43">+P180-T180</f>
        <v>-4752.0200000000041</v>
      </c>
      <c r="Y180" s="1"/>
      <c r="Z180" s="5">
        <f t="shared" ref="Z180:Z184" si="44">IF(T180=0,0,X180/T180)</f>
        <v>-0.11299925927775428</v>
      </c>
    </row>
    <row r="181" spans="1:26" s="24" customFormat="1" hidden="1" outlineLevel="2" x14ac:dyDescent="0.25">
      <c r="A181" s="26"/>
      <c r="B181" s="11" t="str">
        <f>CONCATENATE("          ", "6362", " - ", "ADVERTISING EXPENSE")</f>
        <v xml:space="preserve">          6362 - ADVERTISING EXPENSE</v>
      </c>
      <c r="C181" s="11"/>
      <c r="D181" s="6">
        <v>4680.18</v>
      </c>
      <c r="E181" s="2"/>
      <c r="F181" s="7">
        <f t="shared" si="37"/>
        <v>1.054081822161705E-2</v>
      </c>
      <c r="G181" s="2"/>
      <c r="H181" s="6">
        <v>3559.41</v>
      </c>
      <c r="I181" s="2"/>
      <c r="J181" s="7">
        <f t="shared" si="38"/>
        <v>6.5635221360680653E-3</v>
      </c>
      <c r="K181" s="2"/>
      <c r="L181" s="6">
        <f t="shared" si="39"/>
        <v>1120.7700000000004</v>
      </c>
      <c r="M181" s="2"/>
      <c r="N181" s="7">
        <f t="shared" si="40"/>
        <v>0.31487521808389607</v>
      </c>
      <c r="O181" s="11"/>
      <c r="P181" s="6">
        <v>37301.53</v>
      </c>
      <c r="Q181" s="2"/>
      <c r="R181" s="7">
        <f t="shared" si="41"/>
        <v>6.7634240132946723E-3</v>
      </c>
      <c r="S181" s="2"/>
      <c r="T181" s="6">
        <v>42053.55</v>
      </c>
      <c r="U181" s="2"/>
      <c r="V181" s="7">
        <f t="shared" si="42"/>
        <v>7.1125831466467438E-3</v>
      </c>
      <c r="W181" s="2"/>
      <c r="X181" s="6">
        <f t="shared" si="43"/>
        <v>-4752.0200000000041</v>
      </c>
      <c r="Y181" s="2"/>
      <c r="Z181" s="7">
        <f t="shared" si="44"/>
        <v>-0.11299925927775428</v>
      </c>
    </row>
    <row r="182" spans="1:26" s="27" customFormat="1" outlineLevel="1" collapsed="1" x14ac:dyDescent="0.25">
      <c r="A182" s="25"/>
      <c r="B182" s="13" t="str">
        <f>CONCATENATE("     ","Bad Debts/Over/Short                              ")</f>
        <v xml:space="preserve">     Bad Debts/Over/Short                              </v>
      </c>
      <c r="C182" s="13"/>
      <c r="D182" s="1">
        <f>SUM(OSRRefD22_3x_0)</f>
        <v>77.56</v>
      </c>
      <c r="E182" s="1"/>
      <c r="F182" s="5">
        <f t="shared" si="37"/>
        <v>1.7468256803554954E-4</v>
      </c>
      <c r="G182" s="1"/>
      <c r="H182" s="1">
        <f>SUM(OSRRefH22_3x_0)</f>
        <v>-67.14</v>
      </c>
      <c r="I182" s="1"/>
      <c r="J182" s="5">
        <f t="shared" si="38"/>
        <v>-1.2380559593180049E-4</v>
      </c>
      <c r="K182" s="1"/>
      <c r="L182" s="1">
        <f t="shared" si="39"/>
        <v>144.69999999999999</v>
      </c>
      <c r="M182" s="1"/>
      <c r="N182" s="5">
        <f t="shared" si="40"/>
        <v>-2.155198093535895</v>
      </c>
      <c r="O182" s="13"/>
      <c r="P182" s="1">
        <f>SUM(OSRRefP22_3x_0)</f>
        <v>150.01999999999998</v>
      </c>
      <c r="Q182" s="1"/>
      <c r="R182" s="5">
        <f t="shared" si="41"/>
        <v>2.7201266824027502E-5</v>
      </c>
      <c r="S182" s="1"/>
      <c r="T182" s="1">
        <f>SUM(OSRRefT22_3x_0)</f>
        <v>1050.8399999999999</v>
      </c>
      <c r="U182" s="1"/>
      <c r="V182" s="5">
        <f t="shared" si="42"/>
        <v>1.7773022429312777E-4</v>
      </c>
      <c r="W182" s="1"/>
      <c r="X182" s="1">
        <f t="shared" si="43"/>
        <v>-900.81999999999994</v>
      </c>
      <c r="Y182" s="1"/>
      <c r="Z182" s="5">
        <f t="shared" si="44"/>
        <v>-0.85723801910852271</v>
      </c>
    </row>
    <row r="183" spans="1:26" s="24" customFormat="1" hidden="1" outlineLevel="2" x14ac:dyDescent="0.25">
      <c r="A183" s="26"/>
      <c r="B183" s="11" t="str">
        <f>CONCATENATE("          ", "6272", " - ", "CASH (OVER/SHORT)")</f>
        <v xml:space="preserve">          6272 - CASH (OVER/SHORT)</v>
      </c>
      <c r="C183" s="11"/>
      <c r="D183" s="6">
        <v>77.56</v>
      </c>
      <c r="E183" s="2"/>
      <c r="F183" s="7">
        <f t="shared" si="37"/>
        <v>1.7468256803554954E-4</v>
      </c>
      <c r="G183" s="2"/>
      <c r="H183" s="6">
        <v>-67.14</v>
      </c>
      <c r="I183" s="2"/>
      <c r="J183" s="7">
        <f t="shared" si="38"/>
        <v>-1.2380559593180049E-4</v>
      </c>
      <c r="K183" s="2"/>
      <c r="L183" s="6">
        <f t="shared" si="39"/>
        <v>144.69999999999999</v>
      </c>
      <c r="M183" s="2"/>
      <c r="N183" s="7">
        <f t="shared" si="40"/>
        <v>-2.155198093535895</v>
      </c>
      <c r="O183" s="11"/>
      <c r="P183" s="6">
        <v>105.22</v>
      </c>
      <c r="Q183" s="2"/>
      <c r="R183" s="7">
        <f t="shared" si="41"/>
        <v>1.9078238203067418E-5</v>
      </c>
      <c r="S183" s="2"/>
      <c r="T183" s="6">
        <v>1050.8399999999999</v>
      </c>
      <c r="U183" s="2"/>
      <c r="V183" s="7">
        <f t="shared" si="42"/>
        <v>1.7773022429312777E-4</v>
      </c>
      <c r="W183" s="2"/>
      <c r="X183" s="6">
        <f t="shared" si="43"/>
        <v>-945.61999999999989</v>
      </c>
      <c r="Y183" s="2"/>
      <c r="Z183" s="7">
        <f t="shared" si="44"/>
        <v>-0.89987057972669482</v>
      </c>
    </row>
    <row r="184" spans="1:26" s="24" customFormat="1" hidden="1" outlineLevel="2" x14ac:dyDescent="0.25">
      <c r="A184" s="26"/>
      <c r="B184" s="11" t="str">
        <f>CONCATENATE("          ", "6342", " - ", "BAD DEBT")</f>
        <v xml:space="preserve">          6342 - BAD DEBT</v>
      </c>
      <c r="C184" s="11"/>
      <c r="D184" s="6"/>
      <c r="E184" s="2"/>
      <c r="F184" s="7">
        <f t="shared" si="37"/>
        <v>0</v>
      </c>
      <c r="G184" s="2"/>
      <c r="H184" s="6"/>
      <c r="I184" s="2"/>
      <c r="J184" s="7">
        <f t="shared" si="38"/>
        <v>0</v>
      </c>
      <c r="K184" s="2"/>
      <c r="L184" s="6">
        <f t="shared" si="39"/>
        <v>0</v>
      </c>
      <c r="M184" s="2"/>
      <c r="N184" s="7">
        <f t="shared" si="40"/>
        <v>0</v>
      </c>
      <c r="O184" s="11"/>
      <c r="P184" s="6">
        <v>44.8</v>
      </c>
      <c r="Q184" s="2"/>
      <c r="R184" s="7">
        <f t="shared" si="41"/>
        <v>8.1230286209600873E-6</v>
      </c>
      <c r="S184" s="2"/>
      <c r="T184" s="6"/>
      <c r="U184" s="2"/>
      <c r="V184" s="7">
        <f t="shared" si="42"/>
        <v>0</v>
      </c>
      <c r="W184" s="2"/>
      <c r="X184" s="6">
        <f t="shared" si="43"/>
        <v>44.8</v>
      </c>
      <c r="Y184" s="2"/>
      <c r="Z184" s="7">
        <f t="shared" si="44"/>
        <v>0</v>
      </c>
    </row>
    <row r="185" spans="1:26" s="27" customFormat="1" outlineLevel="1" collapsed="1" x14ac:dyDescent="0.25">
      <c r="A185" s="25"/>
      <c r="B185" s="13" t="str">
        <f>CONCATENATE("     ","Bank/card Fees                                    ")</f>
        <v xml:space="preserve">     Bank/card Fees                                    </v>
      </c>
      <c r="C185" s="13"/>
      <c r="D185" s="1">
        <f>SUM(OSRRefD22_4x_0)</f>
        <v>9604.4500000000007</v>
      </c>
      <c r="E185" s="1"/>
      <c r="F185" s="5">
        <f t="shared" ref="F185:F189" si="45">IF(D$12=0,0,D185/D$12)</f>
        <v>2.1631382034154642E-2</v>
      </c>
      <c r="G185" s="1"/>
      <c r="H185" s="1">
        <f>SUM(OSRRefH22_4x_0)</f>
        <v>9195.09</v>
      </c>
      <c r="I185" s="1"/>
      <c r="J185" s="5">
        <f t="shared" ref="J185:J189" si="46">IF(H$12=0,0,H185/H$12)</f>
        <v>1.6955668708616908E-2</v>
      </c>
      <c r="K185" s="1"/>
      <c r="L185" s="1">
        <f t="shared" ref="L185:L189" si="47">+D185-H185</f>
        <v>409.36000000000058</v>
      </c>
      <c r="M185" s="1"/>
      <c r="N185" s="5">
        <f t="shared" ref="N185:N189" si="48">IF(H185=0,0,L185/H185)</f>
        <v>4.4519411990529792E-2</v>
      </c>
      <c r="O185" s="13"/>
      <c r="P185" s="1">
        <f>SUM(OSRRefP22_4x_0)</f>
        <v>91668.18</v>
      </c>
      <c r="Q185" s="1"/>
      <c r="R185" s="5">
        <f t="shared" ref="R185:R189" si="49">IF(P$12=0,0,P185/P$12)</f>
        <v>1.6621054682395556E-2</v>
      </c>
      <c r="S185" s="1"/>
      <c r="T185" s="1">
        <f>SUM(OSRRefT22_4x_0)</f>
        <v>89724.14</v>
      </c>
      <c r="U185" s="1"/>
      <c r="V185" s="5">
        <f t="shared" ref="V185:V189" si="50">IF(T$12=0,0,T185/T$12)</f>
        <v>1.5175185115439074E-2</v>
      </c>
      <c r="W185" s="1"/>
      <c r="X185" s="1">
        <f t="shared" ref="X185:X189" si="51">+P185-T185</f>
        <v>1944.0399999999936</v>
      </c>
      <c r="Y185" s="1"/>
      <c r="Z185" s="5">
        <f t="shared" ref="Z185:Z189" si="52">IF(T185=0,0,X185/T185)</f>
        <v>2.1666855764791878E-2</v>
      </c>
    </row>
    <row r="186" spans="1:26" s="24" customFormat="1" hidden="1" outlineLevel="2" x14ac:dyDescent="0.25">
      <c r="A186" s="26"/>
      <c r="B186" s="11" t="str">
        <f>CONCATENATE("          ", "6381", " - ", "BANK/CREDIT CARD FEES")</f>
        <v xml:space="preserve">          6381 - BANK/CREDIT CARD FEES</v>
      </c>
      <c r="C186" s="11"/>
      <c r="D186" s="6">
        <v>9604.4500000000007</v>
      </c>
      <c r="E186" s="2"/>
      <c r="F186" s="7">
        <f t="shared" si="45"/>
        <v>2.1631382034154642E-2</v>
      </c>
      <c r="G186" s="2"/>
      <c r="H186" s="6">
        <v>9195.09</v>
      </c>
      <c r="I186" s="2"/>
      <c r="J186" s="7">
        <f t="shared" si="46"/>
        <v>1.6955668708616908E-2</v>
      </c>
      <c r="K186" s="2"/>
      <c r="L186" s="6">
        <f t="shared" si="47"/>
        <v>409.36000000000058</v>
      </c>
      <c r="M186" s="2"/>
      <c r="N186" s="7">
        <f t="shared" si="48"/>
        <v>4.4519411990529792E-2</v>
      </c>
      <c r="O186" s="11"/>
      <c r="P186" s="6">
        <v>91668.18</v>
      </c>
      <c r="Q186" s="2"/>
      <c r="R186" s="7">
        <f t="shared" si="49"/>
        <v>1.6621054682395556E-2</v>
      </c>
      <c r="S186" s="2"/>
      <c r="T186" s="6">
        <v>89724.14</v>
      </c>
      <c r="U186" s="2"/>
      <c r="V186" s="7">
        <f t="shared" si="50"/>
        <v>1.5175185115439074E-2</v>
      </c>
      <c r="W186" s="2"/>
      <c r="X186" s="6">
        <f t="shared" si="51"/>
        <v>1944.0399999999936</v>
      </c>
      <c r="Y186" s="2"/>
      <c r="Z186" s="7">
        <f t="shared" si="52"/>
        <v>2.1666855764791878E-2</v>
      </c>
    </row>
    <row r="187" spans="1:26" s="27" customFormat="1" outlineLevel="1" collapsed="1" x14ac:dyDescent="0.25">
      <c r="A187" s="25"/>
      <c r="B187" s="13" t="str">
        <f>CONCATENATE("     ","Depreciation                                      ")</f>
        <v xml:space="preserve">     Depreciation                                      </v>
      </c>
      <c r="C187" s="13"/>
      <c r="D187" s="1">
        <f>SUM(OSRRefD22_5x_0)</f>
        <v>29777.31</v>
      </c>
      <c r="E187" s="1"/>
      <c r="F187" s="5">
        <f t="shared" si="45"/>
        <v>6.7065200876620032E-2</v>
      </c>
      <c r="G187" s="1"/>
      <c r="H187" s="1">
        <f>SUM(OSRRefH22_5x_0)</f>
        <v>29330.07</v>
      </c>
      <c r="I187" s="1"/>
      <c r="J187" s="5">
        <f t="shared" si="46"/>
        <v>5.4084402667134691E-2</v>
      </c>
      <c r="K187" s="1"/>
      <c r="L187" s="1">
        <f t="shared" si="47"/>
        <v>447.2400000000016</v>
      </c>
      <c r="M187" s="1"/>
      <c r="N187" s="5">
        <f t="shared" si="48"/>
        <v>1.5248514579065158E-2</v>
      </c>
      <c r="O187" s="13"/>
      <c r="P187" s="1">
        <f>SUM(OSRRefP22_5x_0)</f>
        <v>177814.46</v>
      </c>
      <c r="Q187" s="1"/>
      <c r="R187" s="5">
        <f t="shared" si="49"/>
        <v>3.2240891691976845E-2</v>
      </c>
      <c r="S187" s="1"/>
      <c r="T187" s="1">
        <f>SUM(OSRRefT22_5x_0)</f>
        <v>175980.42</v>
      </c>
      <c r="U187" s="1"/>
      <c r="V187" s="5">
        <f t="shared" si="50"/>
        <v>2.9763845607132227E-2</v>
      </c>
      <c r="W187" s="1"/>
      <c r="X187" s="1">
        <f t="shared" si="51"/>
        <v>1834.039999999979</v>
      </c>
      <c r="Y187" s="1"/>
      <c r="Z187" s="5">
        <f t="shared" si="52"/>
        <v>1.0421841248020541E-2</v>
      </c>
    </row>
    <row r="188" spans="1:26" s="24" customFormat="1" hidden="1" outlineLevel="2" x14ac:dyDescent="0.25">
      <c r="A188" s="26"/>
      <c r="B188" s="11" t="str">
        <f>CONCATENATE("          ", "6321", " - ", "BUILDING DEPRECIATION")</f>
        <v xml:space="preserve">          6321 - BUILDING DEPRECIATION</v>
      </c>
      <c r="C188" s="11"/>
      <c r="D188" s="6">
        <v>16396.52</v>
      </c>
      <c r="E188" s="2"/>
      <c r="F188" s="7">
        <f t="shared" si="45"/>
        <v>3.6928651630302331E-2</v>
      </c>
      <c r="G188" s="2"/>
      <c r="H188" s="6">
        <v>16453.38</v>
      </c>
      <c r="I188" s="2"/>
      <c r="J188" s="7">
        <f t="shared" si="46"/>
        <v>3.0339894489013516E-2</v>
      </c>
      <c r="K188" s="2"/>
      <c r="L188" s="6">
        <f t="shared" si="47"/>
        <v>-56.860000000000582</v>
      </c>
      <c r="M188" s="2"/>
      <c r="N188" s="7">
        <f t="shared" si="48"/>
        <v>-3.4558248821822978E-3</v>
      </c>
      <c r="O188" s="11"/>
      <c r="P188" s="6">
        <v>98379.12</v>
      </c>
      <c r="Q188" s="2"/>
      <c r="R188" s="7">
        <f t="shared" si="49"/>
        <v>1.7837866238055066E-2</v>
      </c>
      <c r="S188" s="2"/>
      <c r="T188" s="6">
        <v>98720.280000000013</v>
      </c>
      <c r="U188" s="2"/>
      <c r="V188" s="7">
        <f t="shared" si="50"/>
        <v>1.669671644273189E-2</v>
      </c>
      <c r="W188" s="2"/>
      <c r="X188" s="6">
        <f t="shared" si="51"/>
        <v>-341.16000000001804</v>
      </c>
      <c r="Y188" s="2"/>
      <c r="Z188" s="7">
        <f t="shared" si="52"/>
        <v>-3.4558248821824453E-3</v>
      </c>
    </row>
    <row r="189" spans="1:26" s="24" customFormat="1" hidden="1" outlineLevel="2" x14ac:dyDescent="0.25">
      <c r="A189" s="26"/>
      <c r="B189" s="11" t="str">
        <f>CONCATENATE("          ", "6322", " - ", "EQUIPMENT DEPRECIATION EXPENSE")</f>
        <v xml:space="preserve">          6322 - EQUIPMENT DEPRECIATION EXPENSE</v>
      </c>
      <c r="C189" s="11"/>
      <c r="D189" s="6">
        <v>13380.79</v>
      </c>
      <c r="E189" s="2"/>
      <c r="F189" s="7">
        <f t="shared" si="45"/>
        <v>3.0136549246317704E-2</v>
      </c>
      <c r="G189" s="2"/>
      <c r="H189" s="6">
        <v>12876.69</v>
      </c>
      <c r="I189" s="2"/>
      <c r="J189" s="7">
        <f t="shared" si="46"/>
        <v>2.3744508178121179E-2</v>
      </c>
      <c r="K189" s="2"/>
      <c r="L189" s="6">
        <f t="shared" si="47"/>
        <v>504.10000000000036</v>
      </c>
      <c r="M189" s="2"/>
      <c r="N189" s="7">
        <f t="shared" si="48"/>
        <v>3.9148259374109366E-2</v>
      </c>
      <c r="O189" s="11"/>
      <c r="P189" s="6">
        <v>79435.34</v>
      </c>
      <c r="Q189" s="2"/>
      <c r="R189" s="7">
        <f t="shared" si="49"/>
        <v>1.4403025453921777E-2</v>
      </c>
      <c r="S189" s="2"/>
      <c r="T189" s="6">
        <v>77260.14</v>
      </c>
      <c r="U189" s="2"/>
      <c r="V189" s="7">
        <f t="shared" si="50"/>
        <v>1.3067129164400339E-2</v>
      </c>
      <c r="W189" s="2"/>
      <c r="X189" s="6">
        <f t="shared" si="51"/>
        <v>2175.1999999999971</v>
      </c>
      <c r="Y189" s="2"/>
      <c r="Z189" s="7">
        <f t="shared" si="52"/>
        <v>2.8154233217801534E-2</v>
      </c>
    </row>
    <row r="190" spans="1:26" s="27" customFormat="1" outlineLevel="1" collapsed="1" x14ac:dyDescent="0.25">
      <c r="A190" s="25"/>
      <c r="B190" s="13" t="str">
        <f>CONCATENATE("     ","Discounts and Markdowns                           ")</f>
        <v xml:space="preserve">     Discounts and Markdowns                           </v>
      </c>
      <c r="C190" s="13"/>
      <c r="D190" s="1">
        <f>SUM(OSRRefD22_6x_0)</f>
        <v>40819.409999999996</v>
      </c>
      <c r="E190" s="1"/>
      <c r="F190" s="5">
        <f t="shared" ref="F190:F192" si="53">IF(D$12=0,0,D190/D$12)</f>
        <v>9.1934494127075689E-2</v>
      </c>
      <c r="G190" s="1"/>
      <c r="H190" s="1">
        <f>SUM(OSRRefH22_6x_0)</f>
        <v>53167.780000000006</v>
      </c>
      <c r="I190" s="1"/>
      <c r="J190" s="5">
        <f t="shared" ref="J190:J192" si="54">IF(H$12=0,0,H190/H$12)</f>
        <v>9.8040939637635729E-2</v>
      </c>
      <c r="K190" s="1"/>
      <c r="L190" s="1">
        <f t="shared" ref="L190:L192" si="55">+D190-H190</f>
        <v>-12348.37000000001</v>
      </c>
      <c r="M190" s="1"/>
      <c r="N190" s="5">
        <f t="shared" ref="N190:N192" si="56">IF(H190=0,0,L190/H190)</f>
        <v>-0.23225287946948336</v>
      </c>
      <c r="O190" s="13"/>
      <c r="P190" s="1">
        <f>SUM(OSRRefP22_6x_0)</f>
        <v>187704.34</v>
      </c>
      <c r="Q190" s="1"/>
      <c r="R190" s="5">
        <f t="shared" ref="R190:R192" si="57">IF(P$12=0,0,P190/P$12)</f>
        <v>3.4034101028982661E-2</v>
      </c>
      <c r="S190" s="1"/>
      <c r="T190" s="1">
        <f>SUM(OSRRefT22_6x_0)</f>
        <v>169356.81</v>
      </c>
      <c r="U190" s="1"/>
      <c r="V190" s="5">
        <f t="shared" ref="V190:V192" si="58">IF(T$12=0,0,T190/T$12)</f>
        <v>2.8643584015519606E-2</v>
      </c>
      <c r="W190" s="1"/>
      <c r="X190" s="1">
        <f t="shared" ref="X190:X192" si="59">+P190-T190</f>
        <v>18347.53</v>
      </c>
      <c r="Y190" s="1"/>
      <c r="Z190" s="5">
        <f t="shared" ref="Z190:Z192" si="60">IF(T190=0,0,X190/T190)</f>
        <v>0.108336535153207</v>
      </c>
    </row>
    <row r="191" spans="1:26" s="24" customFormat="1" hidden="1" outlineLevel="2" x14ac:dyDescent="0.25">
      <c r="A191" s="26"/>
      <c r="B191" s="11" t="str">
        <f>CONCATENATE("          ", "6382", " - ", "DISCOUNTS/MARK DOWNS")</f>
        <v xml:space="preserve">          6382 - DISCOUNTS/MARK DOWNS</v>
      </c>
      <c r="C191" s="11"/>
      <c r="D191" s="6">
        <v>40940.659999999996</v>
      </c>
      <c r="E191" s="2"/>
      <c r="F191" s="7">
        <f t="shared" si="53"/>
        <v>9.2207576403691358E-2</v>
      </c>
      <c r="G191" s="2"/>
      <c r="H191" s="6">
        <v>53315.48</v>
      </c>
      <c r="I191" s="2"/>
      <c r="J191" s="7">
        <f t="shared" si="54"/>
        <v>9.83132971967529E-2</v>
      </c>
      <c r="K191" s="2"/>
      <c r="L191" s="6">
        <f t="shared" si="55"/>
        <v>-12374.820000000007</v>
      </c>
      <c r="M191" s="2"/>
      <c r="N191" s="7">
        <f t="shared" si="56"/>
        <v>-0.23210557234034104</v>
      </c>
      <c r="O191" s="11"/>
      <c r="P191" s="6">
        <v>190190.84</v>
      </c>
      <c r="Q191" s="2"/>
      <c r="R191" s="7">
        <f t="shared" si="57"/>
        <v>3.4484947249206262E-2</v>
      </c>
      <c r="S191" s="2"/>
      <c r="T191" s="6">
        <v>172183.5</v>
      </c>
      <c r="U191" s="2"/>
      <c r="V191" s="7">
        <f t="shared" si="58"/>
        <v>2.91216665473105E-2</v>
      </c>
      <c r="W191" s="2"/>
      <c r="X191" s="6">
        <f t="shared" si="59"/>
        <v>18007.339999999997</v>
      </c>
      <c r="Y191" s="2"/>
      <c r="Z191" s="7">
        <f t="shared" si="60"/>
        <v>0.1045822625280587</v>
      </c>
    </row>
    <row r="192" spans="1:26" s="24" customFormat="1" hidden="1" outlineLevel="2" x14ac:dyDescent="0.25">
      <c r="A192" s="26"/>
      <c r="B192" s="11" t="str">
        <f>CONCATENATE("          ", "9175", " - ", "EARNED DISCOUNTS")</f>
        <v xml:space="preserve">          9175 - EARNED DISCOUNTS</v>
      </c>
      <c r="C192" s="11"/>
      <c r="D192" s="6">
        <v>-121.25</v>
      </c>
      <c r="E192" s="2"/>
      <c r="F192" s="7">
        <f t="shared" si="53"/>
        <v>-2.7308227661565731E-4</v>
      </c>
      <c r="G192" s="2"/>
      <c r="H192" s="6">
        <v>-147.69999999999999</v>
      </c>
      <c r="I192" s="2"/>
      <c r="J192" s="7">
        <f t="shared" si="54"/>
        <v>-2.7235755911717203E-4</v>
      </c>
      <c r="K192" s="2"/>
      <c r="L192" s="6">
        <f t="shared" si="55"/>
        <v>26.449999999999989</v>
      </c>
      <c r="M192" s="2"/>
      <c r="N192" s="7">
        <f t="shared" si="56"/>
        <v>-0.17907921462423826</v>
      </c>
      <c r="O192" s="11"/>
      <c r="P192" s="6">
        <v>-2486.5</v>
      </c>
      <c r="Q192" s="2"/>
      <c r="R192" s="7">
        <f t="shared" si="57"/>
        <v>-4.5084622022359947E-4</v>
      </c>
      <c r="S192" s="2"/>
      <c r="T192" s="6">
        <v>-2826.69</v>
      </c>
      <c r="U192" s="2"/>
      <c r="V192" s="7">
        <f t="shared" si="58"/>
        <v>-4.7808253179089236E-4</v>
      </c>
      <c r="W192" s="2"/>
      <c r="X192" s="6">
        <f t="shared" si="59"/>
        <v>340.19000000000005</v>
      </c>
      <c r="Y192" s="2"/>
      <c r="Z192" s="7">
        <f t="shared" si="60"/>
        <v>-0.12034924240012171</v>
      </c>
    </row>
    <row r="193" spans="1:26" s="27" customFormat="1" outlineLevel="1" collapsed="1" x14ac:dyDescent="0.25">
      <c r="A193" s="25"/>
      <c r="B193" s="13" t="str">
        <f>CONCATENATE("     ","Donations                                         ")</f>
        <v xml:space="preserve">     Donations                                         </v>
      </c>
      <c r="C193" s="13"/>
      <c r="D193" s="1">
        <f>SUM(OSRRefD22_7x_0)</f>
        <v>150.84</v>
      </c>
      <c r="E193" s="1"/>
      <c r="F193" s="5">
        <f t="shared" ref="F193:F201" si="61">IF(D$12=0,0,D193/D$12)</f>
        <v>3.3972561323468664E-4</v>
      </c>
      <c r="G193" s="1"/>
      <c r="H193" s="1">
        <f>SUM(OSRRefH22_7x_0)</f>
        <v>413.22</v>
      </c>
      <c r="I193" s="1"/>
      <c r="J193" s="5">
        <f t="shared" ref="J193:J201" si="62">IF(H$12=0,0,H193/H$12)</f>
        <v>7.6197420838454866E-4</v>
      </c>
      <c r="K193" s="1"/>
      <c r="L193" s="1">
        <f t="shared" ref="L193:L201" si="63">+D193-H193</f>
        <v>-262.38</v>
      </c>
      <c r="M193" s="1"/>
      <c r="N193" s="5">
        <f t="shared" ref="N193:N201" si="64">IF(H193=0,0,L193/H193)</f>
        <v>-0.63496442572963552</v>
      </c>
      <c r="O193" s="13"/>
      <c r="P193" s="1">
        <f>SUM(OSRRefP22_7x_0)</f>
        <v>9798.2199999999993</v>
      </c>
      <c r="Q193" s="1"/>
      <c r="R193" s="5">
        <f t="shared" ref="R193:R201" si="65">IF(P$12=0,0,P193/P$12)</f>
        <v>1.7765897655014184E-3</v>
      </c>
      <c r="S193" s="1"/>
      <c r="T193" s="1">
        <f>SUM(OSRRefT22_7x_0)</f>
        <v>5400.7</v>
      </c>
      <c r="U193" s="1"/>
      <c r="V193" s="5">
        <f t="shared" ref="V193:V201" si="66">IF(T$12=0,0,T193/T$12)</f>
        <v>9.1342889720594494E-4</v>
      </c>
      <c r="W193" s="1"/>
      <c r="X193" s="1">
        <f t="shared" ref="X193:X201" si="67">+P193-T193</f>
        <v>4397.5199999999995</v>
      </c>
      <c r="Y193" s="1"/>
      <c r="Z193" s="5">
        <f t="shared" ref="Z193:Z201" si="68">IF(T193=0,0,X193/T193)</f>
        <v>0.81425000462902952</v>
      </c>
    </row>
    <row r="194" spans="1:26" s="24" customFormat="1" hidden="1" outlineLevel="2" x14ac:dyDescent="0.25">
      <c r="A194" s="26"/>
      <c r="B194" s="11" t="str">
        <f>CONCATENATE("          ", "6399", " - ", "DONATION-ON CAMPUS")</f>
        <v xml:space="preserve">          6399 - DONATION-ON CAMPUS</v>
      </c>
      <c r="C194" s="11"/>
      <c r="D194" s="6">
        <v>150.84</v>
      </c>
      <c r="E194" s="2"/>
      <c r="F194" s="7">
        <f t="shared" si="61"/>
        <v>3.3972561323468664E-4</v>
      </c>
      <c r="G194" s="2"/>
      <c r="H194" s="6">
        <v>413.22</v>
      </c>
      <c r="I194" s="2"/>
      <c r="J194" s="7">
        <f t="shared" si="62"/>
        <v>7.6197420838454866E-4</v>
      </c>
      <c r="K194" s="2"/>
      <c r="L194" s="6">
        <f t="shared" si="63"/>
        <v>-262.38</v>
      </c>
      <c r="M194" s="2"/>
      <c r="N194" s="7">
        <f t="shared" si="64"/>
        <v>-0.63496442572963552</v>
      </c>
      <c r="O194" s="11"/>
      <c r="P194" s="6">
        <v>9798.2199999999993</v>
      </c>
      <c r="Q194" s="2"/>
      <c r="R194" s="7">
        <f t="shared" si="65"/>
        <v>1.7765897655014184E-3</v>
      </c>
      <c r="S194" s="2"/>
      <c r="T194" s="6">
        <v>5400.7</v>
      </c>
      <c r="U194" s="2"/>
      <c r="V194" s="7">
        <f t="shared" si="66"/>
        <v>9.1342889720594494E-4</v>
      </c>
      <c r="W194" s="2"/>
      <c r="X194" s="6">
        <f t="shared" si="67"/>
        <v>4397.5199999999995</v>
      </c>
      <c r="Y194" s="2"/>
      <c r="Z194" s="7">
        <f t="shared" si="68"/>
        <v>0.81425000462902952</v>
      </c>
    </row>
    <row r="195" spans="1:26" s="27" customFormat="1" outlineLevel="1" collapsed="1" x14ac:dyDescent="0.25">
      <c r="A195" s="25"/>
      <c r="B195" s="13" t="str">
        <f>CONCATENATE("     ","Employees' Appreciation                           ")</f>
        <v xml:space="preserve">     Employees' Appreciation                           </v>
      </c>
      <c r="C195" s="13"/>
      <c r="D195" s="1">
        <f>SUM(OSRRefD22_8x_0)</f>
        <v>152.4</v>
      </c>
      <c r="E195" s="1"/>
      <c r="F195" s="5">
        <f t="shared" si="61"/>
        <v>3.4323908417506125E-4</v>
      </c>
      <c r="G195" s="1"/>
      <c r="H195" s="1">
        <f>SUM(OSRRefH22_8x_0)</f>
        <v>-14.91</v>
      </c>
      <c r="I195" s="1"/>
      <c r="J195" s="5">
        <f t="shared" si="62"/>
        <v>-2.7493914735524949E-5</v>
      </c>
      <c r="K195" s="1"/>
      <c r="L195" s="1">
        <f t="shared" si="63"/>
        <v>167.31</v>
      </c>
      <c r="M195" s="1"/>
      <c r="N195" s="5">
        <f t="shared" si="64"/>
        <v>-11.221327967806841</v>
      </c>
      <c r="O195" s="13"/>
      <c r="P195" s="1">
        <f>SUM(OSRRefP22_8x_0)</f>
        <v>1194.04</v>
      </c>
      <c r="Q195" s="1"/>
      <c r="R195" s="5">
        <f t="shared" si="65"/>
        <v>2.1650047086096388E-4</v>
      </c>
      <c r="S195" s="1"/>
      <c r="T195" s="1">
        <f>SUM(OSRRefT22_8x_0)</f>
        <v>2623.61</v>
      </c>
      <c r="U195" s="1"/>
      <c r="V195" s="5">
        <f t="shared" si="66"/>
        <v>4.4373529153600259E-4</v>
      </c>
      <c r="W195" s="1"/>
      <c r="X195" s="1">
        <f t="shared" si="67"/>
        <v>-1429.5700000000002</v>
      </c>
      <c r="Y195" s="1"/>
      <c r="Z195" s="5">
        <f t="shared" si="68"/>
        <v>-0.54488662567988388</v>
      </c>
    </row>
    <row r="196" spans="1:26" s="24" customFormat="1" hidden="1" outlineLevel="2" x14ac:dyDescent="0.25">
      <c r="A196" s="26"/>
      <c r="B196" s="11" t="str">
        <f>CONCATENATE("          ", "6277", " - ", "EMPLOYEE APPRECIATION")</f>
        <v xml:space="preserve">          6277 - EMPLOYEE APPRECIATION</v>
      </c>
      <c r="C196" s="11"/>
      <c r="D196" s="6">
        <v>152.4</v>
      </c>
      <c r="E196" s="2"/>
      <c r="F196" s="7">
        <f t="shared" si="61"/>
        <v>3.4323908417506125E-4</v>
      </c>
      <c r="G196" s="2"/>
      <c r="H196" s="6">
        <v>-14.91</v>
      </c>
      <c r="I196" s="2"/>
      <c r="J196" s="7">
        <f t="shared" si="62"/>
        <v>-2.7493914735524949E-5</v>
      </c>
      <c r="K196" s="2"/>
      <c r="L196" s="6">
        <f t="shared" si="63"/>
        <v>167.31</v>
      </c>
      <c r="M196" s="2"/>
      <c r="N196" s="7">
        <f t="shared" si="64"/>
        <v>-11.221327967806841</v>
      </c>
      <c r="O196" s="11"/>
      <c r="P196" s="6">
        <v>1194.04</v>
      </c>
      <c r="Q196" s="2"/>
      <c r="R196" s="7">
        <f t="shared" si="65"/>
        <v>2.1650047086096388E-4</v>
      </c>
      <c r="S196" s="2"/>
      <c r="T196" s="6">
        <v>2623.61</v>
      </c>
      <c r="U196" s="2"/>
      <c r="V196" s="7">
        <f t="shared" si="66"/>
        <v>4.4373529153600259E-4</v>
      </c>
      <c r="W196" s="2"/>
      <c r="X196" s="6">
        <f t="shared" si="67"/>
        <v>-1429.5700000000002</v>
      </c>
      <c r="Y196" s="2"/>
      <c r="Z196" s="7">
        <f t="shared" si="68"/>
        <v>-0.54488662567988388</v>
      </c>
    </row>
    <row r="197" spans="1:26" s="27" customFormat="1" outlineLevel="1" collapsed="1" x14ac:dyDescent="0.25">
      <c r="A197" s="25"/>
      <c r="B197" s="13" t="str">
        <f>CONCATENATE("     ","Equipment Rental                                  ")</f>
        <v xml:space="preserve">     Equipment Rental                                  </v>
      </c>
      <c r="C197" s="13"/>
      <c r="D197" s="1">
        <f>SUM(OSRRefD22_9x_0)</f>
        <v>0</v>
      </c>
      <c r="E197" s="1"/>
      <c r="F197" s="5">
        <f t="shared" si="61"/>
        <v>0</v>
      </c>
      <c r="G197" s="1"/>
      <c r="H197" s="1">
        <f>SUM(OSRRefH22_9x_0)</f>
        <v>3400.41</v>
      </c>
      <c r="I197" s="1"/>
      <c r="J197" s="5">
        <f t="shared" si="62"/>
        <v>6.270327471886411E-3</v>
      </c>
      <c r="K197" s="1"/>
      <c r="L197" s="1">
        <f t="shared" si="63"/>
        <v>-3400.41</v>
      </c>
      <c r="M197" s="1"/>
      <c r="N197" s="5">
        <f t="shared" si="64"/>
        <v>-1</v>
      </c>
      <c r="O197" s="13"/>
      <c r="P197" s="1">
        <f>SUM(OSRRefP22_9x_0)</f>
        <v>11090.14</v>
      </c>
      <c r="Q197" s="1"/>
      <c r="R197" s="5">
        <f t="shared" si="65"/>
        <v>2.0108376033583547E-3</v>
      </c>
      <c r="S197" s="1"/>
      <c r="T197" s="1">
        <f>SUM(OSRRefT22_9x_0)</f>
        <v>20403.740000000002</v>
      </c>
      <c r="U197" s="1"/>
      <c r="V197" s="5">
        <f t="shared" si="66"/>
        <v>3.4509166824813133E-3</v>
      </c>
      <c r="W197" s="1"/>
      <c r="X197" s="1">
        <f t="shared" si="67"/>
        <v>-9313.6000000000022</v>
      </c>
      <c r="Y197" s="1"/>
      <c r="Z197" s="5">
        <f t="shared" si="68"/>
        <v>-0.4564653342965555</v>
      </c>
    </row>
    <row r="198" spans="1:26" s="24" customFormat="1" hidden="1" outlineLevel="2" x14ac:dyDescent="0.25">
      <c r="A198" s="26"/>
      <c r="B198" s="11" t="str">
        <f>CONCATENATE("          ", "6351", " - ", "EQUIPMENT RENTAL")</f>
        <v xml:space="preserve">          6351 - EQUIPMENT RENTAL</v>
      </c>
      <c r="C198" s="11"/>
      <c r="D198" s="6"/>
      <c r="E198" s="2"/>
      <c r="F198" s="7">
        <f t="shared" si="61"/>
        <v>0</v>
      </c>
      <c r="G198" s="2"/>
      <c r="H198" s="6">
        <v>3400.41</v>
      </c>
      <c r="I198" s="2"/>
      <c r="J198" s="7">
        <f t="shared" si="62"/>
        <v>6.270327471886411E-3</v>
      </c>
      <c r="K198" s="2"/>
      <c r="L198" s="6">
        <f t="shared" si="63"/>
        <v>-3400.41</v>
      </c>
      <c r="M198" s="2"/>
      <c r="N198" s="7">
        <f t="shared" si="64"/>
        <v>-1</v>
      </c>
      <c r="O198" s="11"/>
      <c r="P198" s="6">
        <v>11090.14</v>
      </c>
      <c r="Q198" s="2"/>
      <c r="R198" s="7">
        <f t="shared" si="65"/>
        <v>2.0108376033583547E-3</v>
      </c>
      <c r="S198" s="2"/>
      <c r="T198" s="6">
        <v>20403.740000000002</v>
      </c>
      <c r="U198" s="2"/>
      <c r="V198" s="7">
        <f t="shared" si="66"/>
        <v>3.4509166824813133E-3</v>
      </c>
      <c r="W198" s="2"/>
      <c r="X198" s="6">
        <f t="shared" si="67"/>
        <v>-9313.6000000000022</v>
      </c>
      <c r="Y198" s="2"/>
      <c r="Z198" s="7">
        <f t="shared" si="68"/>
        <v>-0.4564653342965555</v>
      </c>
    </row>
    <row r="199" spans="1:26" s="27" customFormat="1" outlineLevel="1" collapsed="1" x14ac:dyDescent="0.25">
      <c r="A199" s="25"/>
      <c r="B199" s="13" t="str">
        <f>CONCATENATE("     ","Freight out/Postage                               ")</f>
        <v xml:space="preserve">     Freight out/Postage                               </v>
      </c>
      <c r="C199" s="13"/>
      <c r="D199" s="1">
        <f>SUM(OSRRefD22_10x_0)</f>
        <v>1883.96</v>
      </c>
      <c r="E199" s="1"/>
      <c r="F199" s="5">
        <f t="shared" si="61"/>
        <v>4.2431017389924436E-3</v>
      </c>
      <c r="G199" s="1"/>
      <c r="H199" s="1">
        <f>SUM(OSRRefH22_10x_0)</f>
        <v>1063.8100000000002</v>
      </c>
      <c r="I199" s="1"/>
      <c r="J199" s="5">
        <f t="shared" si="62"/>
        <v>1.9616567025351308E-3</v>
      </c>
      <c r="K199" s="1"/>
      <c r="L199" s="1">
        <f t="shared" si="63"/>
        <v>820.14999999999986</v>
      </c>
      <c r="M199" s="1"/>
      <c r="N199" s="5">
        <f t="shared" si="64"/>
        <v>0.7709553397693194</v>
      </c>
      <c r="O199" s="13"/>
      <c r="P199" s="1">
        <f>SUM(OSRRefP22_10x_0)</f>
        <v>6558.2800000000025</v>
      </c>
      <c r="Q199" s="1"/>
      <c r="R199" s="5">
        <f t="shared" si="65"/>
        <v>1.1891316103631727E-3</v>
      </c>
      <c r="S199" s="1"/>
      <c r="T199" s="1">
        <f>SUM(OSRRefT22_10x_0)</f>
        <v>10997.55</v>
      </c>
      <c r="U199" s="1"/>
      <c r="V199" s="5">
        <f t="shared" si="66"/>
        <v>1.8600329528518967E-3</v>
      </c>
      <c r="W199" s="1"/>
      <c r="X199" s="1">
        <f t="shared" si="67"/>
        <v>-4439.2699999999968</v>
      </c>
      <c r="Y199" s="1"/>
      <c r="Z199" s="5">
        <f t="shared" si="68"/>
        <v>-0.40365990606998803</v>
      </c>
    </row>
    <row r="200" spans="1:26" s="24" customFormat="1" hidden="1" outlineLevel="2" x14ac:dyDescent="0.25">
      <c r="A200" s="26"/>
      <c r="B200" s="11" t="str">
        <f>CONCATENATE("          ", "6305", " - ", "FREIGHT OUT")</f>
        <v xml:space="preserve">          6305 - FREIGHT OUT</v>
      </c>
      <c r="C200" s="11"/>
      <c r="D200" s="6">
        <v>5990.2</v>
      </c>
      <c r="E200" s="2"/>
      <c r="F200" s="7">
        <f t="shared" si="61"/>
        <v>1.3491277966046272E-2</v>
      </c>
      <c r="G200" s="2"/>
      <c r="H200" s="6">
        <v>2854.38</v>
      </c>
      <c r="I200" s="2"/>
      <c r="J200" s="7">
        <f t="shared" si="62"/>
        <v>5.2634527392882435E-3</v>
      </c>
      <c r="K200" s="2"/>
      <c r="L200" s="6">
        <f t="shared" si="63"/>
        <v>3135.8199999999997</v>
      </c>
      <c r="M200" s="2"/>
      <c r="N200" s="7">
        <f t="shared" si="64"/>
        <v>1.0985993455671632</v>
      </c>
      <c r="O200" s="11"/>
      <c r="P200" s="6">
        <v>34712.120000000003</v>
      </c>
      <c r="Q200" s="2"/>
      <c r="R200" s="7">
        <f t="shared" si="65"/>
        <v>6.2939183985312747E-3</v>
      </c>
      <c r="S200" s="2"/>
      <c r="T200" s="6">
        <v>35948.18</v>
      </c>
      <c r="U200" s="2"/>
      <c r="V200" s="7">
        <f t="shared" si="66"/>
        <v>6.0799723024720512E-3</v>
      </c>
      <c r="W200" s="2"/>
      <c r="X200" s="6">
        <f t="shared" si="67"/>
        <v>-1236.0599999999977</v>
      </c>
      <c r="Y200" s="2"/>
      <c r="Z200" s="7">
        <f t="shared" si="68"/>
        <v>-3.4384494569683295E-2</v>
      </c>
    </row>
    <row r="201" spans="1:26" s="24" customFormat="1" hidden="1" outlineLevel="2" x14ac:dyDescent="0.25">
      <c r="A201" s="26"/>
      <c r="B201" s="11" t="str">
        <f>CONCATENATE("          ", "6307", " - ", "POSTAGE")</f>
        <v xml:space="preserve">          6307 - POSTAGE</v>
      </c>
      <c r="C201" s="11"/>
      <c r="D201" s="6">
        <v>-4106.24</v>
      </c>
      <c r="E201" s="2"/>
      <c r="F201" s="7">
        <f t="shared" si="61"/>
        <v>-9.2481762270538292E-3</v>
      </c>
      <c r="G201" s="2"/>
      <c r="H201" s="6">
        <v>-1790.57</v>
      </c>
      <c r="I201" s="2"/>
      <c r="J201" s="7">
        <f t="shared" si="62"/>
        <v>-3.3017960367531123E-3</v>
      </c>
      <c r="K201" s="2"/>
      <c r="L201" s="6">
        <f t="shared" si="63"/>
        <v>-2315.67</v>
      </c>
      <c r="M201" s="2"/>
      <c r="N201" s="7">
        <f t="shared" si="64"/>
        <v>1.2932585712929403</v>
      </c>
      <c r="O201" s="11"/>
      <c r="P201" s="6">
        <v>-28153.84</v>
      </c>
      <c r="Q201" s="2"/>
      <c r="R201" s="7">
        <f t="shared" si="65"/>
        <v>-5.1047867881681011E-3</v>
      </c>
      <c r="S201" s="2"/>
      <c r="T201" s="6">
        <v>-24950.63</v>
      </c>
      <c r="U201" s="2"/>
      <c r="V201" s="7">
        <f t="shared" si="66"/>
        <v>-4.2199393496201538E-3</v>
      </c>
      <c r="W201" s="2"/>
      <c r="X201" s="6">
        <f t="shared" si="67"/>
        <v>-3203.2099999999991</v>
      </c>
      <c r="Y201" s="2"/>
      <c r="Z201" s="7">
        <f t="shared" si="68"/>
        <v>0.12838192863266373</v>
      </c>
    </row>
    <row r="202" spans="1:26" s="27" customFormat="1" outlineLevel="1" collapsed="1" x14ac:dyDescent="0.25">
      <c r="A202" s="25"/>
      <c r="B202" s="13" t="str">
        <f>CONCATENATE("     ","General                                           ")</f>
        <v xml:space="preserve">     General                                           </v>
      </c>
      <c r="C202" s="13"/>
      <c r="D202" s="1">
        <f>SUM(OSRRefD22_11x_0)</f>
        <v>2105.2199999999998</v>
      </c>
      <c r="E202" s="1"/>
      <c r="F202" s="5">
        <f t="shared" ref="F202:F215" si="69">IF(D$12=0,0,D202/D$12)</f>
        <v>4.74142903403558E-3</v>
      </c>
      <c r="G202" s="1"/>
      <c r="H202" s="1">
        <f>SUM(OSRRefH22_11x_0)</f>
        <v>-521.63</v>
      </c>
      <c r="I202" s="1"/>
      <c r="J202" s="5">
        <f t="shared" ref="J202:J215" si="70">IF(H$12=0,0,H202/H$12)</f>
        <v>-9.6188133759167525E-4</v>
      </c>
      <c r="K202" s="1"/>
      <c r="L202" s="1">
        <f t="shared" ref="L202:L215" si="71">+D202-H202</f>
        <v>2626.85</v>
      </c>
      <c r="M202" s="1"/>
      <c r="N202" s="5">
        <f t="shared" ref="N202:N215" si="72">IF(H202=0,0,L202/H202)</f>
        <v>-5.0358491651170372</v>
      </c>
      <c r="O202" s="13"/>
      <c r="P202" s="1">
        <f>SUM(OSRRefP22_11x_0)</f>
        <v>-1347.75</v>
      </c>
      <c r="Q202" s="1"/>
      <c r="R202" s="5">
        <f t="shared" ref="R202:R215" si="73">IF(P$12=0,0,P202/P$12)</f>
        <v>-2.4437079964060172E-4</v>
      </c>
      <c r="S202" s="1"/>
      <c r="T202" s="1">
        <f>SUM(OSRRefT22_11x_0)</f>
        <v>13708.12</v>
      </c>
      <c r="U202" s="1"/>
      <c r="V202" s="5">
        <f t="shared" ref="V202:V215" si="74">IF(T$12=0,0,T202/T$12)</f>
        <v>2.3184759261515651E-3</v>
      </c>
      <c r="W202" s="1"/>
      <c r="X202" s="1">
        <f t="shared" ref="X202:X215" si="75">+P202-T202</f>
        <v>-15055.87</v>
      </c>
      <c r="Y202" s="1"/>
      <c r="Z202" s="5">
        <f t="shared" ref="Z202:Z215" si="76">IF(T202=0,0,X202/T202)</f>
        <v>-1.0983176394720793</v>
      </c>
    </row>
    <row r="203" spans="1:26" s="24" customFormat="1" hidden="1" outlineLevel="2" x14ac:dyDescent="0.25">
      <c r="A203" s="26"/>
      <c r="B203" s="11" t="str">
        <f>CONCATENATE("          ", "6279", " - ", "GENERAL EXPENSE")</f>
        <v xml:space="preserve">          6279 - GENERAL EXPENSE</v>
      </c>
      <c r="C203" s="11"/>
      <c r="D203" s="6">
        <v>2105.2199999999998</v>
      </c>
      <c r="E203" s="2"/>
      <c r="F203" s="7">
        <f t="shared" si="69"/>
        <v>4.74142903403558E-3</v>
      </c>
      <c r="G203" s="2"/>
      <c r="H203" s="6">
        <v>-521.63</v>
      </c>
      <c r="I203" s="2"/>
      <c r="J203" s="7">
        <f t="shared" si="70"/>
        <v>-9.6188133759167525E-4</v>
      </c>
      <c r="K203" s="2"/>
      <c r="L203" s="6">
        <f t="shared" si="71"/>
        <v>2626.85</v>
      </c>
      <c r="M203" s="2"/>
      <c r="N203" s="7">
        <f t="shared" si="72"/>
        <v>-5.0358491651170372</v>
      </c>
      <c r="O203" s="11"/>
      <c r="P203" s="6">
        <v>-1347.75</v>
      </c>
      <c r="Q203" s="2"/>
      <c r="R203" s="7">
        <f t="shared" si="73"/>
        <v>-2.4437079964060172E-4</v>
      </c>
      <c r="S203" s="2"/>
      <c r="T203" s="6">
        <v>13708.12</v>
      </c>
      <c r="U203" s="2"/>
      <c r="V203" s="7">
        <f t="shared" si="74"/>
        <v>2.3184759261515651E-3</v>
      </c>
      <c r="W203" s="2"/>
      <c r="X203" s="6">
        <f t="shared" si="75"/>
        <v>-15055.87</v>
      </c>
      <c r="Y203" s="2"/>
      <c r="Z203" s="7">
        <f t="shared" si="76"/>
        <v>-1.0983176394720793</v>
      </c>
    </row>
    <row r="204" spans="1:26" s="27" customFormat="1" outlineLevel="1" collapsed="1" x14ac:dyDescent="0.25">
      <c r="A204" s="25"/>
      <c r="B204" s="13" t="str">
        <f>CONCATENATE("     ","Insurance                                         ")</f>
        <v xml:space="preserve">     Insurance                                         </v>
      </c>
      <c r="C204" s="13"/>
      <c r="D204" s="1">
        <f>SUM(OSRRefD22_12x_0)</f>
        <v>4044.74</v>
      </c>
      <c r="E204" s="1"/>
      <c r="F204" s="5">
        <f t="shared" si="69"/>
        <v>9.1096643919044429E-3</v>
      </c>
      <c r="G204" s="1"/>
      <c r="H204" s="1">
        <f>SUM(OSRRefH22_12x_0)</f>
        <v>3809.97</v>
      </c>
      <c r="I204" s="1"/>
      <c r="J204" s="5">
        <f t="shared" si="70"/>
        <v>7.0255526710199852E-3</v>
      </c>
      <c r="K204" s="1"/>
      <c r="L204" s="1">
        <f t="shared" si="71"/>
        <v>234.76999999999998</v>
      </c>
      <c r="M204" s="1"/>
      <c r="N204" s="5">
        <f t="shared" si="72"/>
        <v>6.1619907768302638E-2</v>
      </c>
      <c r="O204" s="13"/>
      <c r="P204" s="1">
        <f>SUM(OSRRefP22_12x_0)</f>
        <v>24268.44</v>
      </c>
      <c r="Q204" s="1"/>
      <c r="R204" s="5">
        <f t="shared" si="73"/>
        <v>4.4002953729029605E-3</v>
      </c>
      <c r="S204" s="1"/>
      <c r="T204" s="1">
        <f>SUM(OSRRefT22_12x_0)</f>
        <v>22859.82</v>
      </c>
      <c r="U204" s="1"/>
      <c r="V204" s="5">
        <f t="shared" si="74"/>
        <v>3.8663173612543565E-3</v>
      </c>
      <c r="W204" s="1"/>
      <c r="X204" s="1">
        <f t="shared" si="75"/>
        <v>1408.619999999999</v>
      </c>
      <c r="Y204" s="1"/>
      <c r="Z204" s="5">
        <f t="shared" si="76"/>
        <v>6.1619907768302597E-2</v>
      </c>
    </row>
    <row r="205" spans="1:26" s="24" customFormat="1" hidden="1" outlineLevel="2" x14ac:dyDescent="0.25">
      <c r="A205" s="26"/>
      <c r="B205" s="11" t="str">
        <f>CONCATENATE("          ", "6314", " - ", "LIABILITY INSURANCE")</f>
        <v xml:space="preserve">          6314 - LIABILITY INSURANCE</v>
      </c>
      <c r="C205" s="11"/>
      <c r="D205" s="6">
        <v>4044.74</v>
      </c>
      <c r="E205" s="2"/>
      <c r="F205" s="7">
        <f t="shared" si="69"/>
        <v>9.1096643919044429E-3</v>
      </c>
      <c r="G205" s="2"/>
      <c r="H205" s="6">
        <v>3809.97</v>
      </c>
      <c r="I205" s="2"/>
      <c r="J205" s="7">
        <f t="shared" si="70"/>
        <v>7.0255526710199852E-3</v>
      </c>
      <c r="K205" s="2"/>
      <c r="L205" s="6">
        <f t="shared" si="71"/>
        <v>234.76999999999998</v>
      </c>
      <c r="M205" s="2"/>
      <c r="N205" s="7">
        <f t="shared" si="72"/>
        <v>6.1619907768302638E-2</v>
      </c>
      <c r="O205" s="11"/>
      <c r="P205" s="6">
        <v>24268.44</v>
      </c>
      <c r="Q205" s="2"/>
      <c r="R205" s="7">
        <f t="shared" si="73"/>
        <v>4.4002953729029605E-3</v>
      </c>
      <c r="S205" s="2"/>
      <c r="T205" s="6">
        <v>22859.82</v>
      </c>
      <c r="U205" s="2"/>
      <c r="V205" s="7">
        <f t="shared" si="74"/>
        <v>3.8663173612543565E-3</v>
      </c>
      <c r="W205" s="2"/>
      <c r="X205" s="6">
        <f t="shared" si="75"/>
        <v>1408.619999999999</v>
      </c>
      <c r="Y205" s="2"/>
      <c r="Z205" s="7">
        <f t="shared" si="76"/>
        <v>6.1619907768302597E-2</v>
      </c>
    </row>
    <row r="206" spans="1:26" s="27" customFormat="1" outlineLevel="1" collapsed="1" x14ac:dyDescent="0.25">
      <c r="A206" s="25"/>
      <c r="B206" s="13" t="str">
        <f>CONCATENATE("     ","Inventory Adjustment                              ")</f>
        <v xml:space="preserve">     Inventory Adjustment                              </v>
      </c>
      <c r="C206" s="13"/>
      <c r="D206" s="1">
        <f>SUM(OSRRefD22_13x_0)</f>
        <v>10050</v>
      </c>
      <c r="E206" s="1"/>
      <c r="F206" s="5">
        <f t="shared" si="69"/>
        <v>2.2634860865875104E-2</v>
      </c>
      <c r="G206" s="1"/>
      <c r="H206" s="1">
        <f>SUM(OSRRefH22_13x_0)</f>
        <v>8750</v>
      </c>
      <c r="I206" s="1"/>
      <c r="J206" s="5">
        <f t="shared" si="70"/>
        <v>1.6134926487984126E-2</v>
      </c>
      <c r="K206" s="1"/>
      <c r="L206" s="1">
        <f t="shared" si="71"/>
        <v>1300</v>
      </c>
      <c r="M206" s="1"/>
      <c r="N206" s="5">
        <f t="shared" si="72"/>
        <v>0.14857142857142858</v>
      </c>
      <c r="O206" s="13"/>
      <c r="P206" s="1">
        <f>SUM(OSRRefP22_13x_0)</f>
        <v>31200</v>
      </c>
      <c r="Q206" s="1"/>
      <c r="R206" s="5">
        <f t="shared" si="73"/>
        <v>5.657109218168632E-3</v>
      </c>
      <c r="S206" s="1"/>
      <c r="T206" s="1">
        <f>SUM(OSRRefT22_13x_0)</f>
        <v>52500</v>
      </c>
      <c r="U206" s="1"/>
      <c r="V206" s="5">
        <f t="shared" si="74"/>
        <v>8.8794076885055848E-3</v>
      </c>
      <c r="W206" s="1"/>
      <c r="X206" s="1">
        <f t="shared" si="75"/>
        <v>-21300</v>
      </c>
      <c r="Y206" s="1"/>
      <c r="Z206" s="5">
        <f t="shared" si="76"/>
        <v>-0.40571428571428569</v>
      </c>
    </row>
    <row r="207" spans="1:26" s="24" customFormat="1" hidden="1" outlineLevel="2" x14ac:dyDescent="0.25">
      <c r="A207" s="26"/>
      <c r="B207" s="11" t="str">
        <f>CONCATENATE("          ", "6408", " - ", "INVENTORY ADJUSTMENT")</f>
        <v xml:space="preserve">          6408 - INVENTORY ADJUSTMENT</v>
      </c>
      <c r="C207" s="11"/>
      <c r="D207" s="6">
        <v>10050</v>
      </c>
      <c r="E207" s="2"/>
      <c r="F207" s="7">
        <f t="shared" si="69"/>
        <v>2.2634860865875104E-2</v>
      </c>
      <c r="G207" s="2"/>
      <c r="H207" s="6">
        <v>8750</v>
      </c>
      <c r="I207" s="2"/>
      <c r="J207" s="7">
        <f t="shared" si="70"/>
        <v>1.6134926487984126E-2</v>
      </c>
      <c r="K207" s="2"/>
      <c r="L207" s="6">
        <f t="shared" si="71"/>
        <v>1300</v>
      </c>
      <c r="M207" s="2"/>
      <c r="N207" s="7">
        <f t="shared" si="72"/>
        <v>0.14857142857142858</v>
      </c>
      <c r="O207" s="11"/>
      <c r="P207" s="6">
        <v>31200</v>
      </c>
      <c r="Q207" s="2"/>
      <c r="R207" s="7">
        <f t="shared" si="73"/>
        <v>5.657109218168632E-3</v>
      </c>
      <c r="S207" s="2"/>
      <c r="T207" s="6">
        <v>52500</v>
      </c>
      <c r="U207" s="2"/>
      <c r="V207" s="7">
        <f t="shared" si="74"/>
        <v>8.8794076885055848E-3</v>
      </c>
      <c r="W207" s="2"/>
      <c r="X207" s="6">
        <f t="shared" si="75"/>
        <v>-21300</v>
      </c>
      <c r="Y207" s="2"/>
      <c r="Z207" s="7">
        <f t="shared" si="76"/>
        <v>-0.40571428571428569</v>
      </c>
    </row>
    <row r="208" spans="1:26" s="27" customFormat="1" outlineLevel="1" collapsed="1" x14ac:dyDescent="0.25">
      <c r="A208" s="25"/>
      <c r="B208" s="13" t="str">
        <f>CONCATENATE("     ","Professional Services                             ")</f>
        <v xml:space="preserve">     Professional Services                             </v>
      </c>
      <c r="C208" s="13"/>
      <c r="D208" s="1">
        <f>SUM(OSRRefD22_14x_0)</f>
        <v>41.15</v>
      </c>
      <c r="E208" s="1"/>
      <c r="F208" s="5">
        <f t="shared" si="69"/>
        <v>9.2679057177190091E-5</v>
      </c>
      <c r="G208" s="1"/>
      <c r="H208" s="1">
        <f>SUM(OSRRefH22_14x_0)</f>
        <v>0</v>
      </c>
      <c r="I208" s="1"/>
      <c r="J208" s="5">
        <f t="shared" si="70"/>
        <v>0</v>
      </c>
      <c r="K208" s="1"/>
      <c r="L208" s="1">
        <f t="shared" si="71"/>
        <v>41.15</v>
      </c>
      <c r="M208" s="1"/>
      <c r="N208" s="5">
        <f t="shared" si="72"/>
        <v>0</v>
      </c>
      <c r="O208" s="13"/>
      <c r="P208" s="1">
        <f>SUM(OSRRefP22_14x_0)</f>
        <v>6199.56</v>
      </c>
      <c r="Q208" s="1"/>
      <c r="R208" s="5">
        <f t="shared" si="73"/>
        <v>1.1240893597624848E-3</v>
      </c>
      <c r="S208" s="1"/>
      <c r="T208" s="1">
        <f>SUM(OSRRefT22_14x_0)</f>
        <v>8276.43</v>
      </c>
      <c r="U208" s="1"/>
      <c r="V208" s="5">
        <f t="shared" si="74"/>
        <v>1.3998056414357767E-3</v>
      </c>
      <c r="W208" s="1"/>
      <c r="X208" s="1">
        <f t="shared" si="75"/>
        <v>-2076.87</v>
      </c>
      <c r="Y208" s="1"/>
      <c r="Z208" s="5">
        <f t="shared" si="76"/>
        <v>-0.25093790438631147</v>
      </c>
    </row>
    <row r="209" spans="1:26" s="24" customFormat="1" hidden="1" outlineLevel="2" x14ac:dyDescent="0.25">
      <c r="A209" s="26"/>
      <c r="B209" s="11" t="str">
        <f>CONCATENATE("          ", "6336", " - ", "PROFESSIONAL SERVICES")</f>
        <v xml:space="preserve">          6336 - PROFESSIONAL SERVICES</v>
      </c>
      <c r="C209" s="11"/>
      <c r="D209" s="6">
        <v>41.15</v>
      </c>
      <c r="E209" s="2"/>
      <c r="F209" s="7">
        <f t="shared" si="69"/>
        <v>9.2679057177190091E-5</v>
      </c>
      <c r="G209" s="2"/>
      <c r="H209" s="6"/>
      <c r="I209" s="2"/>
      <c r="J209" s="7">
        <f t="shared" si="70"/>
        <v>0</v>
      </c>
      <c r="K209" s="2"/>
      <c r="L209" s="6">
        <f t="shared" si="71"/>
        <v>41.15</v>
      </c>
      <c r="M209" s="2"/>
      <c r="N209" s="7">
        <f t="shared" si="72"/>
        <v>0</v>
      </c>
      <c r="O209" s="11"/>
      <c r="P209" s="6">
        <v>6199.56</v>
      </c>
      <c r="Q209" s="2"/>
      <c r="R209" s="7">
        <f t="shared" si="73"/>
        <v>1.1240893597624848E-3</v>
      </c>
      <c r="S209" s="2"/>
      <c r="T209" s="6">
        <v>8276.43</v>
      </c>
      <c r="U209" s="2"/>
      <c r="V209" s="7">
        <f t="shared" si="74"/>
        <v>1.3998056414357767E-3</v>
      </c>
      <c r="W209" s="2"/>
      <c r="X209" s="6">
        <f t="shared" si="75"/>
        <v>-2076.87</v>
      </c>
      <c r="Y209" s="2"/>
      <c r="Z209" s="7">
        <f t="shared" si="76"/>
        <v>-0.25093790438631147</v>
      </c>
    </row>
    <row r="210" spans="1:26" s="27" customFormat="1" outlineLevel="1" collapsed="1" x14ac:dyDescent="0.25">
      <c r="A210" s="25"/>
      <c r="B210" s="13" t="str">
        <f>CONCATENATE("     ","Rent                                              ")</f>
        <v xml:space="preserve">     Rent                                              </v>
      </c>
      <c r="C210" s="13"/>
      <c r="D210" s="1">
        <f>SUM(OSRRefD22_15x_0)</f>
        <v>6100</v>
      </c>
      <c r="E210" s="1"/>
      <c r="F210" s="5">
        <f t="shared" si="69"/>
        <v>1.3738572266849564E-2</v>
      </c>
      <c r="G210" s="1"/>
      <c r="H210" s="1">
        <f>SUM(OSRRefH22_15x_0)</f>
        <v>6100</v>
      </c>
      <c r="I210" s="1"/>
      <c r="J210" s="5">
        <f t="shared" si="70"/>
        <v>1.1248348751623219E-2</v>
      </c>
      <c r="K210" s="1"/>
      <c r="L210" s="1">
        <f t="shared" si="71"/>
        <v>0</v>
      </c>
      <c r="M210" s="1"/>
      <c r="N210" s="5">
        <f t="shared" si="72"/>
        <v>0</v>
      </c>
      <c r="O210" s="13"/>
      <c r="P210" s="1">
        <f>SUM(OSRRefP22_15x_0)</f>
        <v>36600</v>
      </c>
      <c r="Q210" s="1"/>
      <c r="R210" s="5">
        <f t="shared" si="73"/>
        <v>6.6362242751593567E-3</v>
      </c>
      <c r="S210" s="1"/>
      <c r="T210" s="1">
        <f>SUM(OSRRefT22_15x_0)</f>
        <v>37500.85</v>
      </c>
      <c r="U210" s="1"/>
      <c r="V210" s="5">
        <f t="shared" si="74"/>
        <v>6.3425778250570403E-3</v>
      </c>
      <c r="W210" s="1"/>
      <c r="X210" s="1">
        <f t="shared" si="75"/>
        <v>-900.84999999999854</v>
      </c>
      <c r="Y210" s="1"/>
      <c r="Z210" s="5">
        <f t="shared" si="76"/>
        <v>-2.4022122165230884E-2</v>
      </c>
    </row>
    <row r="211" spans="1:26" s="24" customFormat="1" hidden="1" outlineLevel="2" x14ac:dyDescent="0.25">
      <c r="A211" s="26"/>
      <c r="B211" s="11" t="str">
        <f>CONCATENATE("          ", "6273", " - ", "RENT")</f>
        <v xml:space="preserve">          6273 - RENT</v>
      </c>
      <c r="C211" s="11"/>
      <c r="D211" s="6">
        <v>6100</v>
      </c>
      <c r="E211" s="2"/>
      <c r="F211" s="7">
        <f t="shared" si="69"/>
        <v>1.3738572266849564E-2</v>
      </c>
      <c r="G211" s="2"/>
      <c r="H211" s="6">
        <v>6100</v>
      </c>
      <c r="I211" s="2"/>
      <c r="J211" s="7">
        <f t="shared" si="70"/>
        <v>1.1248348751623219E-2</v>
      </c>
      <c r="K211" s="2"/>
      <c r="L211" s="6">
        <f t="shared" si="71"/>
        <v>0</v>
      </c>
      <c r="M211" s="2"/>
      <c r="N211" s="7">
        <f t="shared" si="72"/>
        <v>0</v>
      </c>
      <c r="O211" s="11"/>
      <c r="P211" s="6">
        <v>36600</v>
      </c>
      <c r="Q211" s="2"/>
      <c r="R211" s="7">
        <f t="shared" si="73"/>
        <v>6.6362242751593567E-3</v>
      </c>
      <c r="S211" s="2"/>
      <c r="T211" s="6">
        <v>37500.85</v>
      </c>
      <c r="U211" s="2"/>
      <c r="V211" s="7">
        <f t="shared" si="74"/>
        <v>6.3425778250570403E-3</v>
      </c>
      <c r="W211" s="2"/>
      <c r="X211" s="6">
        <f t="shared" si="75"/>
        <v>-900.84999999999854</v>
      </c>
      <c r="Y211" s="2"/>
      <c r="Z211" s="7">
        <f t="shared" si="76"/>
        <v>-2.4022122165230884E-2</v>
      </c>
    </row>
    <row r="212" spans="1:26" s="27" customFormat="1" outlineLevel="1" collapsed="1" x14ac:dyDescent="0.25">
      <c r="A212" s="25"/>
      <c r="B212" s="13" t="str">
        <f>CONCATENATE("     ","Repair and Maintenance                            ")</f>
        <v xml:space="preserve">     Repair and Maintenance                            </v>
      </c>
      <c r="C212" s="13"/>
      <c r="D212" s="1">
        <f>SUM(OSRRefD22_16x_0)</f>
        <v>11953.09</v>
      </c>
      <c r="E212" s="1"/>
      <c r="F212" s="5">
        <f t="shared" si="69"/>
        <v>2.6921047668386371E-2</v>
      </c>
      <c r="G212" s="1"/>
      <c r="H212" s="1">
        <f>SUM(OSRRefH22_16x_0)</f>
        <v>7496.76</v>
      </c>
      <c r="I212" s="1"/>
      <c r="J212" s="5">
        <f t="shared" si="70"/>
        <v>1.3823962456921128E-2</v>
      </c>
      <c r="K212" s="1"/>
      <c r="L212" s="1">
        <f t="shared" si="71"/>
        <v>4456.33</v>
      </c>
      <c r="M212" s="1"/>
      <c r="N212" s="5">
        <f t="shared" si="72"/>
        <v>0.59443412887700819</v>
      </c>
      <c r="O212" s="13"/>
      <c r="P212" s="1">
        <f>SUM(OSRRefP22_16x_0)</f>
        <v>82154.84</v>
      </c>
      <c r="Q212" s="1"/>
      <c r="R212" s="5">
        <f t="shared" si="73"/>
        <v>1.4896118675678496E-2</v>
      </c>
      <c r="S212" s="1"/>
      <c r="T212" s="1">
        <f>SUM(OSRRefT22_16x_0)</f>
        <v>122408</v>
      </c>
      <c r="U212" s="1"/>
      <c r="V212" s="5">
        <f t="shared" si="74"/>
        <v>2.07030578349446E-2</v>
      </c>
      <c r="W212" s="1"/>
      <c r="X212" s="1">
        <f t="shared" si="75"/>
        <v>-40253.160000000003</v>
      </c>
      <c r="Y212" s="1"/>
      <c r="Z212" s="5">
        <f t="shared" si="76"/>
        <v>-0.32884419318998759</v>
      </c>
    </row>
    <row r="213" spans="1:26" s="24" customFormat="1" hidden="1" outlineLevel="2" x14ac:dyDescent="0.25">
      <c r="A213" s="26"/>
      <c r="B213" s="11" t="str">
        <f>CONCATENATE("          ", "6371", " - ", "COMPUTER SOFTWARE MAINTENANCE")</f>
        <v xml:space="preserve">          6371 - COMPUTER SOFTWARE MAINTENANCE</v>
      </c>
      <c r="C213" s="11"/>
      <c r="D213" s="6">
        <v>601</v>
      </c>
      <c r="E213" s="2"/>
      <c r="F213" s="7">
        <f t="shared" si="69"/>
        <v>1.353587202028949E-3</v>
      </c>
      <c r="G213" s="2"/>
      <c r="H213" s="6">
        <v>601</v>
      </c>
      <c r="I213" s="2"/>
      <c r="J213" s="7">
        <f t="shared" si="70"/>
        <v>1.1082389507746811E-3</v>
      </c>
      <c r="K213" s="2"/>
      <c r="L213" s="6">
        <f t="shared" si="71"/>
        <v>0</v>
      </c>
      <c r="M213" s="2"/>
      <c r="N213" s="7">
        <f t="shared" si="72"/>
        <v>0</v>
      </c>
      <c r="O213" s="11"/>
      <c r="P213" s="6">
        <v>13953.4</v>
      </c>
      <c r="Q213" s="2"/>
      <c r="R213" s="7">
        <f t="shared" si="73"/>
        <v>2.5299970437434034E-3</v>
      </c>
      <c r="S213" s="2"/>
      <c r="T213" s="6">
        <v>50037.83</v>
      </c>
      <c r="U213" s="2"/>
      <c r="V213" s="7">
        <f t="shared" si="74"/>
        <v>8.4629769984406744E-3</v>
      </c>
      <c r="W213" s="2"/>
      <c r="X213" s="6">
        <f t="shared" si="75"/>
        <v>-36084.43</v>
      </c>
      <c r="Y213" s="2"/>
      <c r="Z213" s="7">
        <f t="shared" si="76"/>
        <v>-0.72114298321889658</v>
      </c>
    </row>
    <row r="214" spans="1:26" s="24" customFormat="1" hidden="1" outlineLevel="2" x14ac:dyDescent="0.25">
      <c r="A214" s="26"/>
      <c r="B214" s="11" t="str">
        <f>CONCATENATE("          ", "6373", " - ", "MAINTENANCE CONTRACTS")</f>
        <v xml:space="preserve">          6373 - MAINTENANCE CONTRACTS</v>
      </c>
      <c r="C214" s="11"/>
      <c r="D214" s="6">
        <v>7860.47</v>
      </c>
      <c r="E214" s="2"/>
      <c r="F214" s="7">
        <f t="shared" si="69"/>
        <v>1.7703546745311969E-2</v>
      </c>
      <c r="G214" s="2"/>
      <c r="H214" s="6">
        <v>2495.77</v>
      </c>
      <c r="I214" s="2"/>
      <c r="J214" s="7">
        <f t="shared" si="70"/>
        <v>4.6021789121047018E-3</v>
      </c>
      <c r="K214" s="2"/>
      <c r="L214" s="6">
        <f t="shared" si="71"/>
        <v>5364.7000000000007</v>
      </c>
      <c r="M214" s="2"/>
      <c r="N214" s="7">
        <f t="shared" si="72"/>
        <v>2.1495169827347875</v>
      </c>
      <c r="O214" s="11"/>
      <c r="P214" s="6">
        <v>39698.39</v>
      </c>
      <c r="Q214" s="2"/>
      <c r="R214" s="7">
        <f t="shared" si="73"/>
        <v>7.1980169235722254E-3</v>
      </c>
      <c r="S214" s="2"/>
      <c r="T214" s="6">
        <v>51407.619999999995</v>
      </c>
      <c r="U214" s="2"/>
      <c r="V214" s="7">
        <f t="shared" si="74"/>
        <v>8.6946517385861604E-3</v>
      </c>
      <c r="W214" s="2"/>
      <c r="X214" s="6">
        <f t="shared" si="75"/>
        <v>-11709.229999999996</v>
      </c>
      <c r="Y214" s="2"/>
      <c r="Z214" s="7">
        <f t="shared" si="76"/>
        <v>-0.22777226411181839</v>
      </c>
    </row>
    <row r="215" spans="1:26" s="24" customFormat="1" hidden="1" outlineLevel="2" x14ac:dyDescent="0.25">
      <c r="A215" s="26"/>
      <c r="B215" s="11" t="str">
        <f>CONCATENATE("          ", "6375", " - ", "OUTSIDE REPAIRS &amp; MAINTENANCE")</f>
        <v xml:space="preserve">          6375 - OUTSIDE REPAIRS &amp; MAINTENANCE</v>
      </c>
      <c r="C215" s="11"/>
      <c r="D215" s="6">
        <v>3491.62</v>
      </c>
      <c r="E215" s="2"/>
      <c r="F215" s="7">
        <f t="shared" si="69"/>
        <v>7.8639137210454544E-3</v>
      </c>
      <c r="G215" s="2"/>
      <c r="H215" s="6">
        <v>4399.99</v>
      </c>
      <c r="I215" s="2"/>
      <c r="J215" s="7">
        <f t="shared" si="70"/>
        <v>8.1135445940417449E-3</v>
      </c>
      <c r="K215" s="2"/>
      <c r="L215" s="6">
        <f t="shared" si="71"/>
        <v>-908.36999999999989</v>
      </c>
      <c r="M215" s="2"/>
      <c r="N215" s="7">
        <f t="shared" si="72"/>
        <v>-0.20644819647317378</v>
      </c>
      <c r="O215" s="11"/>
      <c r="P215" s="6">
        <v>28503.05</v>
      </c>
      <c r="Q215" s="2"/>
      <c r="R215" s="7">
        <f t="shared" si="73"/>
        <v>5.1681047083628664E-3</v>
      </c>
      <c r="S215" s="2"/>
      <c r="T215" s="6">
        <v>20962.550000000003</v>
      </c>
      <c r="U215" s="2"/>
      <c r="V215" s="7">
        <f t="shared" si="74"/>
        <v>3.5454290979177669E-3</v>
      </c>
      <c r="W215" s="2"/>
      <c r="X215" s="6">
        <f t="shared" si="75"/>
        <v>7540.4999999999964</v>
      </c>
      <c r="Y215" s="2"/>
      <c r="Z215" s="7">
        <f t="shared" si="76"/>
        <v>0.35971291660604243</v>
      </c>
    </row>
    <row r="216" spans="1:26" s="27" customFormat="1" outlineLevel="1" collapsed="1" x14ac:dyDescent="0.25">
      <c r="A216" s="25"/>
      <c r="B216" s="13" t="str">
        <f>CONCATENATE("     ","Royalty &amp; Commissions                             ")</f>
        <v xml:space="preserve">     Royalty &amp; Commissions                             </v>
      </c>
      <c r="C216" s="13"/>
      <c r="D216" s="1">
        <f>SUM(OSRRefD22_17x_0)</f>
        <v>12955.019999999999</v>
      </c>
      <c r="E216" s="1"/>
      <c r="F216" s="5">
        <f t="shared" ref="F216:F219" si="77">IF(D$12=0,0,D216/D$12)</f>
        <v>2.9177619424341217E-2</v>
      </c>
      <c r="G216" s="1"/>
      <c r="H216" s="1">
        <f>SUM(OSRRefH22_17x_0)</f>
        <v>12726.050000000001</v>
      </c>
      <c r="I216" s="1"/>
      <c r="J216" s="5">
        <f t="shared" ref="J216:J219" si="78">IF(H$12=0,0,H216/H$12)</f>
        <v>2.3466729283704045E-2</v>
      </c>
      <c r="K216" s="1"/>
      <c r="L216" s="1">
        <f t="shared" ref="L216:L219" si="79">+D216-H216</f>
        <v>228.96999999999753</v>
      </c>
      <c r="M216" s="1"/>
      <c r="N216" s="5">
        <f t="shared" ref="N216:N219" si="80">IF(H216=0,0,L216/H216)</f>
        <v>1.799222853909874E-2</v>
      </c>
      <c r="O216" s="13"/>
      <c r="P216" s="1">
        <f>SUM(OSRRefP22_17x_0)</f>
        <v>63490.770000000004</v>
      </c>
      <c r="Q216" s="1"/>
      <c r="R216" s="5">
        <f t="shared" ref="R216:R219" si="81">IF(P$12=0,0,P216/P$12)</f>
        <v>1.1511994238321298E-2</v>
      </c>
      <c r="S216" s="1"/>
      <c r="T216" s="1">
        <f>SUM(OSRRefT22_17x_0)</f>
        <v>84399.96</v>
      </c>
      <c r="U216" s="1"/>
      <c r="V216" s="5">
        <f t="shared" ref="V216:V219" si="82">IF(T$12=0,0,T216/T$12)</f>
        <v>1.4274698166353596E-2</v>
      </c>
      <c r="W216" s="1"/>
      <c r="X216" s="1">
        <f t="shared" ref="X216:X219" si="83">+P216-T216</f>
        <v>-20909.190000000002</v>
      </c>
      <c r="Y216" s="1"/>
      <c r="Z216" s="5">
        <f t="shared" ref="Z216:Z219" si="84">IF(T216=0,0,X216/T216)</f>
        <v>-0.24773933542148599</v>
      </c>
    </row>
    <row r="217" spans="1:26" s="24" customFormat="1" hidden="1" outlineLevel="2" x14ac:dyDescent="0.25">
      <c r="A217" s="26"/>
      <c r="B217" s="11" t="str">
        <f>CONCATENATE("          ", "6253", " - ", "ROYALTY DUE ATHLETICS-LRG")</f>
        <v xml:space="preserve">          6253 - ROYALTY DUE ATHLETICS-LRG</v>
      </c>
      <c r="C217" s="11"/>
      <c r="D217" s="6"/>
      <c r="E217" s="2"/>
      <c r="F217" s="7">
        <f t="shared" si="77"/>
        <v>0</v>
      </c>
      <c r="G217" s="2"/>
      <c r="H217" s="6">
        <v>3178</v>
      </c>
      <c r="I217" s="2"/>
      <c r="J217" s="7">
        <f t="shared" si="78"/>
        <v>5.8602053004358345E-3</v>
      </c>
      <c r="K217" s="2"/>
      <c r="L217" s="6">
        <f t="shared" si="79"/>
        <v>-3178</v>
      </c>
      <c r="M217" s="2"/>
      <c r="N217" s="7">
        <f t="shared" si="80"/>
        <v>-1</v>
      </c>
      <c r="O217" s="11"/>
      <c r="P217" s="6">
        <v>4366.95</v>
      </c>
      <c r="Q217" s="2"/>
      <c r="R217" s="7">
        <f t="shared" si="81"/>
        <v>7.918049070603047E-4</v>
      </c>
      <c r="S217" s="2"/>
      <c r="T217" s="6">
        <v>26172.42</v>
      </c>
      <c r="U217" s="2"/>
      <c r="V217" s="7">
        <f t="shared" si="82"/>
        <v>4.426582616662806E-3</v>
      </c>
      <c r="W217" s="2"/>
      <c r="X217" s="6">
        <f t="shared" si="83"/>
        <v>-21805.469999999998</v>
      </c>
      <c r="Y217" s="2"/>
      <c r="Z217" s="7">
        <f t="shared" si="84"/>
        <v>-0.8331468775145745</v>
      </c>
    </row>
    <row r="218" spans="1:26" s="24" customFormat="1" hidden="1" outlineLevel="2" x14ac:dyDescent="0.25">
      <c r="A218" s="26"/>
      <c r="B218" s="11" t="str">
        <f>CONCATENATE("          ", "6254", " - ", "ROYALTY &amp; COMMISSIONS")</f>
        <v xml:space="preserve">          6254 - ROYALTY &amp; COMMISSIONS</v>
      </c>
      <c r="C218" s="11"/>
      <c r="D218" s="6">
        <v>262.72000000000003</v>
      </c>
      <c r="E218" s="2"/>
      <c r="F218" s="7">
        <f t="shared" si="77"/>
        <v>5.9170454195847839E-4</v>
      </c>
      <c r="G218" s="2"/>
      <c r="H218" s="6">
        <v>238.52</v>
      </c>
      <c r="I218" s="2"/>
      <c r="J218" s="7">
        <f t="shared" si="78"/>
        <v>4.3982887610445414E-4</v>
      </c>
      <c r="K218" s="2"/>
      <c r="L218" s="6">
        <f t="shared" si="79"/>
        <v>24.200000000000017</v>
      </c>
      <c r="M218" s="2"/>
      <c r="N218" s="7">
        <f t="shared" si="80"/>
        <v>0.1014589971490861</v>
      </c>
      <c r="O218" s="11"/>
      <c r="P218" s="6">
        <v>2563.84</v>
      </c>
      <c r="Q218" s="2"/>
      <c r="R218" s="7">
        <f t="shared" si="81"/>
        <v>4.6486932365094445E-4</v>
      </c>
      <c r="S218" s="2"/>
      <c r="T218" s="6">
        <v>2977.31</v>
      </c>
      <c r="U218" s="2"/>
      <c r="V218" s="7">
        <f t="shared" si="82"/>
        <v>5.0355712962027737E-4</v>
      </c>
      <c r="W218" s="2"/>
      <c r="X218" s="6">
        <f t="shared" si="83"/>
        <v>-413.4699999999998</v>
      </c>
      <c r="Y218" s="2"/>
      <c r="Z218" s="7">
        <f t="shared" si="84"/>
        <v>-0.13887368127605113</v>
      </c>
    </row>
    <row r="219" spans="1:26" s="24" customFormat="1" hidden="1" outlineLevel="2" x14ac:dyDescent="0.25">
      <c r="A219" s="26"/>
      <c r="B219" s="11" t="str">
        <f>CONCATENATE("          ", "6259", " - ", "ROYALTY &amp; COMMISSIONS")</f>
        <v xml:space="preserve">          6259 - ROYALTY &amp; COMMISSIONS</v>
      </c>
      <c r="C219" s="11"/>
      <c r="D219" s="6">
        <v>12692.3</v>
      </c>
      <c r="E219" s="2"/>
      <c r="F219" s="7">
        <f t="shared" si="77"/>
        <v>2.858591488238274E-2</v>
      </c>
      <c r="G219" s="2"/>
      <c r="H219" s="6">
        <v>9309.5300000000007</v>
      </c>
      <c r="I219" s="2"/>
      <c r="J219" s="7">
        <f t="shared" si="78"/>
        <v>1.7166695107163756E-2</v>
      </c>
      <c r="K219" s="2"/>
      <c r="L219" s="6">
        <f t="shared" si="79"/>
        <v>3382.7699999999986</v>
      </c>
      <c r="M219" s="2"/>
      <c r="N219" s="7">
        <f t="shared" si="80"/>
        <v>0.36336635684078555</v>
      </c>
      <c r="O219" s="11"/>
      <c r="P219" s="6">
        <v>56559.98</v>
      </c>
      <c r="Q219" s="2"/>
      <c r="R219" s="7">
        <f t="shared" si="81"/>
        <v>1.0255320007610048E-2</v>
      </c>
      <c r="S219" s="2"/>
      <c r="T219" s="6">
        <v>55250.23</v>
      </c>
      <c r="U219" s="2"/>
      <c r="V219" s="7">
        <f t="shared" si="82"/>
        <v>9.3445584200705124E-3</v>
      </c>
      <c r="W219" s="2"/>
      <c r="X219" s="6">
        <f t="shared" si="83"/>
        <v>1309.75</v>
      </c>
      <c r="Y219" s="2"/>
      <c r="Z219" s="7">
        <f t="shared" si="84"/>
        <v>2.3705783668230881E-2</v>
      </c>
    </row>
    <row r="220" spans="1:26" s="27" customFormat="1" outlineLevel="1" collapsed="1" x14ac:dyDescent="0.25">
      <c r="A220" s="25"/>
      <c r="B220" s="13" t="str">
        <f>CONCATENATE("     ","Services                                          ")</f>
        <v xml:space="preserve">     Services                                          </v>
      </c>
      <c r="C220" s="13"/>
      <c r="D220" s="1">
        <f>SUM(OSRRefD22_18x_0)</f>
        <v>4525.41</v>
      </c>
      <c r="E220" s="1"/>
      <c r="F220" s="5">
        <f t="shared" ref="F220:F224" si="85">IF(D$12=0,0,D220/D$12)</f>
        <v>1.0192241364282572E-2</v>
      </c>
      <c r="G220" s="1"/>
      <c r="H220" s="1">
        <f>SUM(OSRRefH22_18x_0)</f>
        <v>8085.33</v>
      </c>
      <c r="I220" s="1"/>
      <c r="J220" s="5">
        <f t="shared" ref="J220:J224" si="86">IF(H$12=0,0,H220/H$12)</f>
        <v>1.4909280592124877E-2</v>
      </c>
      <c r="K220" s="1"/>
      <c r="L220" s="1">
        <f t="shared" ref="L220:L224" si="87">+D220-H220</f>
        <v>-3559.92</v>
      </c>
      <c r="M220" s="1"/>
      <c r="N220" s="5">
        <f t="shared" ref="N220:N224" si="88">IF(H220=0,0,L220/H220)</f>
        <v>-0.44029371713956017</v>
      </c>
      <c r="O220" s="13"/>
      <c r="P220" s="1">
        <f>SUM(OSRRefP22_18x_0)</f>
        <v>27391.88</v>
      </c>
      <c r="Q220" s="1"/>
      <c r="R220" s="5">
        <f t="shared" ref="R220:R224" si="89">IF(P$12=0,0,P220/P$12)</f>
        <v>4.9666300272746475E-3</v>
      </c>
      <c r="S220" s="1"/>
      <c r="T220" s="1">
        <f>SUM(OSRRefT22_18x_0)</f>
        <v>26173.93</v>
      </c>
      <c r="U220" s="1"/>
      <c r="V220" s="5">
        <f t="shared" ref="V220:V224" si="90">IF(T$12=0,0,T220/T$12)</f>
        <v>4.426838005341085E-3</v>
      </c>
      <c r="W220" s="1"/>
      <c r="X220" s="1">
        <f t="shared" ref="X220:X224" si="91">+P220-T220</f>
        <v>1217.9500000000007</v>
      </c>
      <c r="Y220" s="1"/>
      <c r="Z220" s="5">
        <f t="shared" ref="Z220:Z224" si="92">IF(T220=0,0,X220/T220)</f>
        <v>4.653294327600023E-2</v>
      </c>
    </row>
    <row r="221" spans="1:26" s="24" customFormat="1" hidden="1" outlineLevel="2" x14ac:dyDescent="0.25">
      <c r="A221" s="26"/>
      <c r="B221" s="11" t="str">
        <f>CONCATENATE("          ", "6282", " - ", "JANITORIAL/EXTERMINATOR EXPENS")</f>
        <v xml:space="preserve">          6282 - JANITORIAL/EXTERMINATOR EXPENS</v>
      </c>
      <c r="C221" s="11"/>
      <c r="D221" s="6">
        <v>266.5</v>
      </c>
      <c r="E221" s="2"/>
      <c r="F221" s="7">
        <f t="shared" si="85"/>
        <v>6.0021795231400142E-4</v>
      </c>
      <c r="G221" s="2"/>
      <c r="H221" s="6">
        <v>210.5</v>
      </c>
      <c r="I221" s="2"/>
      <c r="J221" s="7">
        <f t="shared" si="86"/>
        <v>3.8816023151093236E-4</v>
      </c>
      <c r="K221" s="2"/>
      <c r="L221" s="6">
        <f t="shared" si="87"/>
        <v>56</v>
      </c>
      <c r="M221" s="2"/>
      <c r="N221" s="7">
        <f t="shared" si="88"/>
        <v>0.26603325415676959</v>
      </c>
      <c r="O221" s="11"/>
      <c r="P221" s="6">
        <v>1599</v>
      </c>
      <c r="Q221" s="2"/>
      <c r="R221" s="7">
        <f t="shared" si="89"/>
        <v>2.8992684743114238E-4</v>
      </c>
      <c r="S221" s="2"/>
      <c r="T221" s="6">
        <v>1357.29</v>
      </c>
      <c r="U221" s="2"/>
      <c r="V221" s="7">
        <f t="shared" si="90"/>
        <v>2.295605954577475E-4</v>
      </c>
      <c r="W221" s="2"/>
      <c r="X221" s="6">
        <f t="shared" si="91"/>
        <v>241.71000000000004</v>
      </c>
      <c r="Y221" s="2"/>
      <c r="Z221" s="7">
        <f t="shared" si="92"/>
        <v>0.17808279733881488</v>
      </c>
    </row>
    <row r="222" spans="1:26" s="24" customFormat="1" hidden="1" outlineLevel="2" x14ac:dyDescent="0.25">
      <c r="A222" s="26"/>
      <c r="B222" s="11" t="str">
        <f>CONCATENATE("          ", "6283", " - ", "PLANT SERVICE")</f>
        <v xml:space="preserve">          6283 - PLANT SERVICE</v>
      </c>
      <c r="C222" s="11"/>
      <c r="D222" s="6"/>
      <c r="E222" s="2"/>
      <c r="F222" s="7">
        <f t="shared" si="85"/>
        <v>0</v>
      </c>
      <c r="G222" s="2"/>
      <c r="H222" s="6">
        <v>173</v>
      </c>
      <c r="I222" s="2"/>
      <c r="J222" s="7">
        <f t="shared" si="86"/>
        <v>3.1901054656242899E-4</v>
      </c>
      <c r="K222" s="2"/>
      <c r="L222" s="6">
        <f t="shared" si="87"/>
        <v>-173</v>
      </c>
      <c r="M222" s="2"/>
      <c r="N222" s="7">
        <f t="shared" si="88"/>
        <v>-1</v>
      </c>
      <c r="O222" s="11"/>
      <c r="P222" s="6">
        <v>541.98</v>
      </c>
      <c r="Q222" s="2"/>
      <c r="R222" s="7">
        <f t="shared" si="89"/>
        <v>9.8270514553302411E-5</v>
      </c>
      <c r="S222" s="2"/>
      <c r="T222" s="6">
        <v>1160.5</v>
      </c>
      <c r="U222" s="2"/>
      <c r="V222" s="7">
        <f t="shared" si="90"/>
        <v>1.9627719280972819E-4</v>
      </c>
      <c r="W222" s="2"/>
      <c r="X222" s="6">
        <f t="shared" si="91"/>
        <v>-618.52</v>
      </c>
      <c r="Y222" s="2"/>
      <c r="Z222" s="7">
        <f t="shared" si="92"/>
        <v>-0.53297716501507975</v>
      </c>
    </row>
    <row r="223" spans="1:26" s="24" customFormat="1" hidden="1" outlineLevel="2" x14ac:dyDescent="0.25">
      <c r="A223" s="26"/>
      <c r="B223" s="11" t="str">
        <f>CONCATENATE("          ", "6284", " - ", "TRASH REMOVAL EXPENSE")</f>
        <v xml:space="preserve">          6284 - TRASH REMOVAL EXPENSE</v>
      </c>
      <c r="C223" s="11"/>
      <c r="D223" s="6">
        <v>134.82</v>
      </c>
      <c r="E223" s="2"/>
      <c r="F223" s="7">
        <f t="shared" si="85"/>
        <v>3.0364496934699313E-4</v>
      </c>
      <c r="G223" s="2"/>
      <c r="H223" s="6">
        <v>121.46</v>
      </c>
      <c r="I223" s="2"/>
      <c r="J223" s="7">
        <f t="shared" si="86"/>
        <v>2.2397121956920592E-4</v>
      </c>
      <c r="K223" s="2"/>
      <c r="L223" s="6">
        <f t="shared" si="87"/>
        <v>13.36</v>
      </c>
      <c r="M223" s="2"/>
      <c r="N223" s="7">
        <f t="shared" si="88"/>
        <v>0.10999506010209123</v>
      </c>
      <c r="O223" s="11"/>
      <c r="P223" s="6">
        <v>808.92</v>
      </c>
      <c r="Q223" s="2"/>
      <c r="R223" s="7">
        <f t="shared" si="89"/>
        <v>1.4667143553721056E-4</v>
      </c>
      <c r="S223" s="2"/>
      <c r="T223" s="6">
        <v>728.76</v>
      </c>
      <c r="U223" s="2"/>
      <c r="V223" s="7">
        <f t="shared" si="90"/>
        <v>1.2325632661095866E-4</v>
      </c>
      <c r="W223" s="2"/>
      <c r="X223" s="6">
        <f t="shared" si="91"/>
        <v>80.159999999999968</v>
      </c>
      <c r="Y223" s="2"/>
      <c r="Z223" s="7">
        <f t="shared" si="92"/>
        <v>0.10999506010209117</v>
      </c>
    </row>
    <row r="224" spans="1:26" s="24" customFormat="1" hidden="1" outlineLevel="2" x14ac:dyDescent="0.25">
      <c r="A224" s="26"/>
      <c r="B224" s="11" t="str">
        <f>CONCATENATE("          ", "6285", " - ", "JANITORIAL SERVICES")</f>
        <v xml:space="preserve">          6285 - JANITORIAL SERVICES</v>
      </c>
      <c r="C224" s="11"/>
      <c r="D224" s="6">
        <v>4124.09</v>
      </c>
      <c r="E224" s="2"/>
      <c r="F224" s="7">
        <f t="shared" si="85"/>
        <v>9.2883784426215782E-3</v>
      </c>
      <c r="G224" s="2"/>
      <c r="H224" s="6">
        <v>7580.37</v>
      </c>
      <c r="I224" s="2"/>
      <c r="J224" s="7">
        <f t="shared" si="86"/>
        <v>1.397813859448231E-2</v>
      </c>
      <c r="K224" s="2"/>
      <c r="L224" s="6">
        <f t="shared" si="87"/>
        <v>-3456.2799999999997</v>
      </c>
      <c r="M224" s="2"/>
      <c r="N224" s="7">
        <f t="shared" si="88"/>
        <v>-0.45595135857484526</v>
      </c>
      <c r="O224" s="11"/>
      <c r="P224" s="6">
        <v>24441.98</v>
      </c>
      <c r="Q224" s="2"/>
      <c r="R224" s="7">
        <f t="shared" si="89"/>
        <v>4.431761229752992E-3</v>
      </c>
      <c r="S224" s="2"/>
      <c r="T224" s="6">
        <v>22927.38</v>
      </c>
      <c r="U224" s="2"/>
      <c r="V224" s="7">
        <f t="shared" si="90"/>
        <v>3.877743890462651E-3</v>
      </c>
      <c r="W224" s="2"/>
      <c r="X224" s="6">
        <f t="shared" si="91"/>
        <v>1514.5999999999985</v>
      </c>
      <c r="Y224" s="2"/>
      <c r="Z224" s="7">
        <f t="shared" si="92"/>
        <v>6.6060753561898417E-2</v>
      </c>
    </row>
    <row r="225" spans="1:26" s="27" customFormat="1" outlineLevel="1" collapsed="1" x14ac:dyDescent="0.25">
      <c r="A225" s="25"/>
      <c r="B225" s="13" t="str">
        <f>CONCATENATE("     ","Subscriptions &amp; Dues                              ")</f>
        <v xml:space="preserve">     Subscriptions &amp; Dues                              </v>
      </c>
      <c r="C225" s="13"/>
      <c r="D225" s="1">
        <f>SUM(OSRRefD22_19x_0)</f>
        <v>250</v>
      </c>
      <c r="E225" s="1"/>
      <c r="F225" s="5">
        <f t="shared" ref="F225:F227" si="93">IF(D$12=0,0,D225/D$12)</f>
        <v>5.6305624044465424E-4</v>
      </c>
      <c r="G225" s="1"/>
      <c r="H225" s="1">
        <f>SUM(OSRRefH22_19x_0)</f>
        <v>4105.67</v>
      </c>
      <c r="I225" s="1"/>
      <c r="J225" s="5">
        <f t="shared" ref="J225:J227" si="94">IF(H$12=0,0,H225/H$12)</f>
        <v>7.5708209867339183E-3</v>
      </c>
      <c r="K225" s="1"/>
      <c r="L225" s="1">
        <f t="shared" ref="L225:L227" si="95">+D225-H225</f>
        <v>-3855.67</v>
      </c>
      <c r="M225" s="1"/>
      <c r="N225" s="5">
        <f t="shared" ref="N225:N227" si="96">IF(H225=0,0,L225/H225)</f>
        <v>-0.93910859859657503</v>
      </c>
      <c r="O225" s="13"/>
      <c r="P225" s="1">
        <f>SUM(OSRRefP22_19x_0)</f>
        <v>2467.7600000000002</v>
      </c>
      <c r="Q225" s="1"/>
      <c r="R225" s="5">
        <f t="shared" ref="R225:R227" si="97">IF(P$12=0,0,P225/P$12)</f>
        <v>4.4744832834063542E-4</v>
      </c>
      <c r="S225" s="1"/>
      <c r="T225" s="1">
        <f>SUM(OSRRefT22_19x_0)</f>
        <v>10864.61</v>
      </c>
      <c r="U225" s="1"/>
      <c r="V225" s="5">
        <f t="shared" ref="V225:V227" si="98">IF(T$12=0,0,T225/T$12)</f>
        <v>1.8375486012688507E-3</v>
      </c>
      <c r="W225" s="1"/>
      <c r="X225" s="1">
        <f t="shared" ref="X225:X227" si="99">+P225-T225</f>
        <v>-8396.85</v>
      </c>
      <c r="Y225" s="1"/>
      <c r="Z225" s="5">
        <f t="shared" ref="Z225:Z227" si="100">IF(T225=0,0,X225/T225)</f>
        <v>-0.77286253257134863</v>
      </c>
    </row>
    <row r="226" spans="1:26" s="24" customFormat="1" hidden="1" outlineLevel="2" x14ac:dyDescent="0.25">
      <c r="A226" s="26"/>
      <c r="B226" s="11" t="str">
        <f>CONCATENATE("          ", "6258", " - ", "MEMBERSHIP DUES")</f>
        <v xml:space="preserve">          6258 - MEMBERSHIP DUES</v>
      </c>
      <c r="C226" s="11"/>
      <c r="D226" s="6">
        <v>250</v>
      </c>
      <c r="E226" s="2"/>
      <c r="F226" s="7">
        <f t="shared" si="93"/>
        <v>5.6305624044465424E-4</v>
      </c>
      <c r="G226" s="2"/>
      <c r="H226" s="6">
        <v>255.71</v>
      </c>
      <c r="I226" s="2"/>
      <c r="J226" s="7">
        <f t="shared" si="94"/>
        <v>4.715270916848481E-4</v>
      </c>
      <c r="K226" s="2"/>
      <c r="L226" s="6">
        <f t="shared" si="95"/>
        <v>-5.710000000000008</v>
      </c>
      <c r="M226" s="2"/>
      <c r="N226" s="7">
        <f t="shared" si="96"/>
        <v>-2.2329983184075742E-2</v>
      </c>
      <c r="O226" s="11"/>
      <c r="P226" s="6">
        <v>1677.4</v>
      </c>
      <c r="Q226" s="2"/>
      <c r="R226" s="7">
        <f t="shared" si="97"/>
        <v>3.0414214751782259E-4</v>
      </c>
      <c r="S226" s="2"/>
      <c r="T226" s="6">
        <v>5202.1000000000004</v>
      </c>
      <c r="U226" s="2"/>
      <c r="V226" s="7">
        <f t="shared" si="98"/>
        <v>8.7983936640714105E-4</v>
      </c>
      <c r="W226" s="2"/>
      <c r="X226" s="6">
        <f t="shared" si="99"/>
        <v>-3524.7000000000003</v>
      </c>
      <c r="Y226" s="2"/>
      <c r="Z226" s="7">
        <f t="shared" si="100"/>
        <v>-0.67755329578439472</v>
      </c>
    </row>
    <row r="227" spans="1:26" s="24" customFormat="1" hidden="1" outlineLevel="2" x14ac:dyDescent="0.25">
      <c r="A227" s="26"/>
      <c r="B227" s="11" t="str">
        <f>CONCATENATE("          ", "6275", " - ", "SUBSCRIPTIONS")</f>
        <v xml:space="preserve">          6275 - SUBSCRIPTIONS</v>
      </c>
      <c r="C227" s="11"/>
      <c r="D227" s="6"/>
      <c r="E227" s="2"/>
      <c r="F227" s="7">
        <f t="shared" si="93"/>
        <v>0</v>
      </c>
      <c r="G227" s="2"/>
      <c r="H227" s="6">
        <v>3849.96</v>
      </c>
      <c r="I227" s="2"/>
      <c r="J227" s="7">
        <f t="shared" si="94"/>
        <v>7.09929389504907E-3</v>
      </c>
      <c r="K227" s="2"/>
      <c r="L227" s="6">
        <f t="shared" si="95"/>
        <v>-3849.96</v>
      </c>
      <c r="M227" s="2"/>
      <c r="N227" s="7">
        <f t="shared" si="96"/>
        <v>-1</v>
      </c>
      <c r="O227" s="11"/>
      <c r="P227" s="6">
        <v>790.36</v>
      </c>
      <c r="Q227" s="2"/>
      <c r="R227" s="7">
        <f t="shared" si="97"/>
        <v>1.4330618082281283E-4</v>
      </c>
      <c r="S227" s="2"/>
      <c r="T227" s="6">
        <v>5662.51</v>
      </c>
      <c r="U227" s="2"/>
      <c r="V227" s="7">
        <f t="shared" si="98"/>
        <v>9.5770923486170967E-4</v>
      </c>
      <c r="W227" s="2"/>
      <c r="X227" s="6">
        <f t="shared" si="99"/>
        <v>-4872.1500000000005</v>
      </c>
      <c r="Y227" s="2"/>
      <c r="Z227" s="7">
        <f t="shared" si="100"/>
        <v>-0.8604223215499841</v>
      </c>
    </row>
    <row r="228" spans="1:26" s="27" customFormat="1" outlineLevel="1" collapsed="1" x14ac:dyDescent="0.25">
      <c r="A228" s="25"/>
      <c r="B228" s="13" t="str">
        <f>CONCATENATE("     ","Supplies                                          ")</f>
        <v xml:space="preserve">     Supplies                                          </v>
      </c>
      <c r="C228" s="13"/>
      <c r="D228" s="1">
        <f>SUM(OSRRefD22_20x_0)</f>
        <v>7584.7900000000009</v>
      </c>
      <c r="E228" s="1"/>
      <c r="F228" s="5">
        <f t="shared" ref="F228:F235" si="101">IF(D$12=0,0,D228/D$12)</f>
        <v>1.7082653367848838E-2</v>
      </c>
      <c r="G228" s="1"/>
      <c r="H228" s="1">
        <f>SUM(OSRRefH22_20x_0)</f>
        <v>9766.7900000000009</v>
      </c>
      <c r="I228" s="1"/>
      <c r="J228" s="5">
        <f t="shared" ref="J228:J235" si="102">IF(H$12=0,0,H228/H$12)</f>
        <v>1.8009878705551825E-2</v>
      </c>
      <c r="K228" s="1"/>
      <c r="L228" s="1">
        <f t="shared" ref="L228:L235" si="103">+D228-H228</f>
        <v>-2182</v>
      </c>
      <c r="M228" s="1"/>
      <c r="N228" s="5">
        <f t="shared" ref="N228:N235" si="104">IF(H228=0,0,L228/H228)</f>
        <v>-0.22341014806297665</v>
      </c>
      <c r="O228" s="13"/>
      <c r="P228" s="1">
        <f>SUM(OSRRefP22_20x_0)</f>
        <v>50768.310000000005</v>
      </c>
      <c r="Q228" s="1"/>
      <c r="R228" s="5">
        <f t="shared" ref="R228:R235" si="105">IF(P$12=0,0,P228/P$12)</f>
        <v>9.2051882849949612E-3</v>
      </c>
      <c r="S228" s="1"/>
      <c r="T228" s="1">
        <f>SUM(OSRRefT22_20x_0)</f>
        <v>90146.03</v>
      </c>
      <c r="U228" s="1"/>
      <c r="V228" s="5">
        <f t="shared" ref="V228:V235" si="106">IF(T$12=0,0,T228/T$12)</f>
        <v>1.5246540035623906E-2</v>
      </c>
      <c r="W228" s="1"/>
      <c r="X228" s="1">
        <f t="shared" ref="X228:X235" si="107">+P228-T228</f>
        <v>-39377.719999999994</v>
      </c>
      <c r="Y228" s="1"/>
      <c r="Z228" s="5">
        <f t="shared" ref="Z228:Z235" si="108">IF(T228=0,0,X228/T228)</f>
        <v>-0.43682145514339338</v>
      </c>
    </row>
    <row r="229" spans="1:26" s="24" customFormat="1" hidden="1" outlineLevel="2" x14ac:dyDescent="0.25">
      <c r="A229" s="26"/>
      <c r="B229" s="11" t="str">
        <f>CONCATENATE("          ", "6234", " - ", "EXPENDABLE SUPPLIES &amp; EQUIPMEN")</f>
        <v xml:space="preserve">          6234 - EXPENDABLE SUPPLIES &amp; EQUIPMEN</v>
      </c>
      <c r="C229" s="11"/>
      <c r="D229" s="6"/>
      <c r="E229" s="2"/>
      <c r="F229" s="7">
        <f t="shared" si="101"/>
        <v>0</v>
      </c>
      <c r="G229" s="2"/>
      <c r="H229" s="6">
        <v>16.46</v>
      </c>
      <c r="I229" s="2"/>
      <c r="J229" s="7">
        <f t="shared" si="102"/>
        <v>3.0352101713396423E-5</v>
      </c>
      <c r="K229" s="2"/>
      <c r="L229" s="6">
        <f t="shared" si="103"/>
        <v>-16.46</v>
      </c>
      <c r="M229" s="2"/>
      <c r="N229" s="7">
        <f t="shared" si="104"/>
        <v>-1</v>
      </c>
      <c r="O229" s="11"/>
      <c r="P229" s="6">
        <v>1822.75</v>
      </c>
      <c r="Q229" s="2"/>
      <c r="R229" s="7">
        <f t="shared" si="105"/>
        <v>3.3049666113515623E-4</v>
      </c>
      <c r="S229" s="2"/>
      <c r="T229" s="6">
        <v>3475.8</v>
      </c>
      <c r="U229" s="2"/>
      <c r="V229" s="7">
        <f t="shared" si="106"/>
        <v>5.8786752845157541E-4</v>
      </c>
      <c r="W229" s="2"/>
      <c r="X229" s="6">
        <f t="shared" si="107"/>
        <v>-1653.0500000000002</v>
      </c>
      <c r="Y229" s="2"/>
      <c r="Z229" s="7">
        <f t="shared" si="108"/>
        <v>-0.47558835376028541</v>
      </c>
    </row>
    <row r="230" spans="1:26" s="24" customFormat="1" hidden="1" outlineLevel="2" x14ac:dyDescent="0.25">
      <c r="A230" s="26"/>
      <c r="B230" s="11" t="str">
        <f>CONCATENATE("          ", "6237", " - ", "JANITORIAL SUPPLIES")</f>
        <v xml:space="preserve">          6237 - JANITORIAL SUPPLIES</v>
      </c>
      <c r="C230" s="11"/>
      <c r="D230" s="6">
        <v>131.72999999999999</v>
      </c>
      <c r="E230" s="2"/>
      <c r="F230" s="7">
        <f t="shared" si="101"/>
        <v>2.9668559421509719E-4</v>
      </c>
      <c r="G230" s="2"/>
      <c r="H230" s="6">
        <v>489.53</v>
      </c>
      <c r="I230" s="2"/>
      <c r="J230" s="7">
        <f t="shared" si="102"/>
        <v>9.0268920727575638E-4</v>
      </c>
      <c r="K230" s="2"/>
      <c r="L230" s="6">
        <f t="shared" si="103"/>
        <v>-357.79999999999995</v>
      </c>
      <c r="M230" s="2"/>
      <c r="N230" s="7">
        <f t="shared" si="104"/>
        <v>-0.7309051539231507</v>
      </c>
      <c r="O230" s="11"/>
      <c r="P230" s="6">
        <v>2989.48</v>
      </c>
      <c r="Q230" s="2"/>
      <c r="R230" s="7">
        <f t="shared" si="105"/>
        <v>5.4204534825419111E-4</v>
      </c>
      <c r="S230" s="2"/>
      <c r="T230" s="6">
        <v>3710.44</v>
      </c>
      <c r="U230" s="2"/>
      <c r="V230" s="7">
        <f t="shared" si="106"/>
        <v>6.2755256121406976E-4</v>
      </c>
      <c r="W230" s="2"/>
      <c r="X230" s="6">
        <f t="shared" si="107"/>
        <v>-720.96</v>
      </c>
      <c r="Y230" s="2"/>
      <c r="Z230" s="7">
        <f t="shared" si="108"/>
        <v>-0.19430579661711281</v>
      </c>
    </row>
    <row r="231" spans="1:26" s="24" customFormat="1" hidden="1" outlineLevel="2" x14ac:dyDescent="0.25">
      <c r="A231" s="26"/>
      <c r="B231" s="11" t="str">
        <f>CONCATENATE("          ", "6241", " - ", "OFFICE EXPENSE")</f>
        <v xml:space="preserve">          6241 - OFFICE EXPENSE</v>
      </c>
      <c r="C231" s="11"/>
      <c r="D231" s="6">
        <v>2931.36</v>
      </c>
      <c r="E231" s="2"/>
      <c r="F231" s="7">
        <f t="shared" si="101"/>
        <v>6.6020821639593674E-3</v>
      </c>
      <c r="G231" s="2"/>
      <c r="H231" s="6">
        <v>4947.09</v>
      </c>
      <c r="I231" s="2"/>
      <c r="J231" s="7">
        <f t="shared" si="102"/>
        <v>9.1223923976504438E-3</v>
      </c>
      <c r="K231" s="2"/>
      <c r="L231" s="6">
        <f t="shared" si="103"/>
        <v>-2015.73</v>
      </c>
      <c r="M231" s="2"/>
      <c r="N231" s="7">
        <f t="shared" si="104"/>
        <v>-0.40745771756729715</v>
      </c>
      <c r="O231" s="11"/>
      <c r="P231" s="6">
        <v>17494.830000000002</v>
      </c>
      <c r="Q231" s="2"/>
      <c r="R231" s="7">
        <f t="shared" si="105"/>
        <v>3.1721206430542674E-3</v>
      </c>
      <c r="S231" s="2"/>
      <c r="T231" s="6">
        <v>15817.249999999998</v>
      </c>
      <c r="U231" s="2"/>
      <c r="V231" s="7">
        <f t="shared" si="106"/>
        <v>2.6751964049717132E-3</v>
      </c>
      <c r="W231" s="2"/>
      <c r="X231" s="6">
        <f t="shared" si="107"/>
        <v>1677.5800000000036</v>
      </c>
      <c r="Y231" s="2"/>
      <c r="Z231" s="7">
        <f t="shared" si="108"/>
        <v>0.10606015584251395</v>
      </c>
    </row>
    <row r="232" spans="1:26" s="24" customFormat="1" hidden="1" outlineLevel="2" x14ac:dyDescent="0.25">
      <c r="A232" s="26"/>
      <c r="B232" s="11" t="str">
        <f>CONCATENATE("          ", "6243", " - ", "PAPER SUPPLIES")</f>
        <v xml:space="preserve">          6243 - PAPER SUPPLIES</v>
      </c>
      <c r="C232" s="11"/>
      <c r="D232" s="6">
        <v>3229.02</v>
      </c>
      <c r="E232" s="2"/>
      <c r="F232" s="7">
        <f t="shared" si="101"/>
        <v>7.2724794460823899E-3</v>
      </c>
      <c r="G232" s="2"/>
      <c r="H232" s="6">
        <v>886.72</v>
      </c>
      <c r="I232" s="2"/>
      <c r="J232" s="7">
        <f t="shared" si="102"/>
        <v>1.6351042303343181E-3</v>
      </c>
      <c r="K232" s="2"/>
      <c r="L232" s="6">
        <f t="shared" si="103"/>
        <v>2342.3000000000002</v>
      </c>
      <c r="M232" s="2"/>
      <c r="N232" s="7">
        <f t="shared" si="104"/>
        <v>2.641532840129917</v>
      </c>
      <c r="O232" s="11"/>
      <c r="P232" s="6">
        <v>9558.5</v>
      </c>
      <c r="Q232" s="2"/>
      <c r="R232" s="7">
        <f t="shared" si="105"/>
        <v>1.7331243096751561E-3</v>
      </c>
      <c r="S232" s="2"/>
      <c r="T232" s="6">
        <v>19158.75</v>
      </c>
      <c r="U232" s="2"/>
      <c r="V232" s="7">
        <f t="shared" si="106"/>
        <v>3.2403495628982163E-3</v>
      </c>
      <c r="W232" s="2"/>
      <c r="X232" s="6">
        <f t="shared" si="107"/>
        <v>-9600.25</v>
      </c>
      <c r="Y232" s="2"/>
      <c r="Z232" s="7">
        <f t="shared" si="108"/>
        <v>-0.5010895804788934</v>
      </c>
    </row>
    <row r="233" spans="1:26" s="24" customFormat="1" hidden="1" outlineLevel="2" x14ac:dyDescent="0.25">
      <c r="A233" s="26"/>
      <c r="B233" s="11" t="str">
        <f>CONCATENATE("          ", "6245", " - ", "PRINTING")</f>
        <v xml:space="preserve">          6245 - PRINTING</v>
      </c>
      <c r="C233" s="11"/>
      <c r="D233" s="6">
        <v>748.76</v>
      </c>
      <c r="E233" s="2"/>
      <c r="F233" s="7">
        <f t="shared" si="101"/>
        <v>1.6863759623813573E-3</v>
      </c>
      <c r="G233" s="2"/>
      <c r="H233" s="6">
        <v>2689.99</v>
      </c>
      <c r="I233" s="2"/>
      <c r="J233" s="7">
        <f t="shared" si="102"/>
        <v>4.9603189603899898E-3</v>
      </c>
      <c r="K233" s="2"/>
      <c r="L233" s="6">
        <f t="shared" si="103"/>
        <v>-1941.2299999999998</v>
      </c>
      <c r="M233" s="2"/>
      <c r="N233" s="7">
        <f t="shared" si="104"/>
        <v>-0.72164952286067974</v>
      </c>
      <c r="O233" s="11"/>
      <c r="P233" s="6">
        <v>5593.81</v>
      </c>
      <c r="Q233" s="2"/>
      <c r="R233" s="7">
        <f t="shared" si="105"/>
        <v>1.0142562216565345E-3</v>
      </c>
      <c r="S233" s="2"/>
      <c r="T233" s="6">
        <v>9312.9500000000007</v>
      </c>
      <c r="U233" s="2"/>
      <c r="V233" s="7">
        <f t="shared" si="106"/>
        <v>1.5751139015746302E-3</v>
      </c>
      <c r="W233" s="2"/>
      <c r="X233" s="6">
        <f t="shared" si="107"/>
        <v>-3719.1400000000003</v>
      </c>
      <c r="Y233" s="2"/>
      <c r="Z233" s="7">
        <f t="shared" si="108"/>
        <v>-0.39935144073574969</v>
      </c>
    </row>
    <row r="234" spans="1:26" s="24" customFormat="1" hidden="1" outlineLevel="2" x14ac:dyDescent="0.25">
      <c r="A234" s="26"/>
      <c r="B234" s="11" t="str">
        <f>CONCATENATE("          ", "6247", " - ", "STORE SUPPLIES")</f>
        <v xml:space="preserve">          6247 - STORE SUPPLIES</v>
      </c>
      <c r="C234" s="11"/>
      <c r="D234" s="6">
        <v>543.91999999999996</v>
      </c>
      <c r="E234" s="2"/>
      <c r="F234" s="7">
        <f t="shared" si="101"/>
        <v>1.2250302012106254E-3</v>
      </c>
      <c r="G234" s="2"/>
      <c r="H234" s="6">
        <v>737</v>
      </c>
      <c r="I234" s="2"/>
      <c r="J234" s="7">
        <f t="shared" si="102"/>
        <v>1.35902180818792E-3</v>
      </c>
      <c r="K234" s="2"/>
      <c r="L234" s="6">
        <f t="shared" si="103"/>
        <v>-193.08000000000004</v>
      </c>
      <c r="M234" s="2"/>
      <c r="N234" s="7">
        <f t="shared" si="104"/>
        <v>-0.26198100407055636</v>
      </c>
      <c r="O234" s="11"/>
      <c r="P234" s="6">
        <v>13308.94</v>
      </c>
      <c r="Q234" s="2"/>
      <c r="R234" s="7">
        <f t="shared" si="105"/>
        <v>2.4131451012196553E-3</v>
      </c>
      <c r="S234" s="2"/>
      <c r="T234" s="6">
        <v>38571.839999999997</v>
      </c>
      <c r="U234" s="2"/>
      <c r="V234" s="7">
        <f t="shared" si="106"/>
        <v>6.5237160505868036E-3</v>
      </c>
      <c r="W234" s="2"/>
      <c r="X234" s="6">
        <f t="shared" si="107"/>
        <v>-25262.899999999994</v>
      </c>
      <c r="Y234" s="2"/>
      <c r="Z234" s="7">
        <f t="shared" si="108"/>
        <v>-0.65495708786513673</v>
      </c>
    </row>
    <row r="235" spans="1:26" s="24" customFormat="1" hidden="1" outlineLevel="2" x14ac:dyDescent="0.25">
      <c r="A235" s="26"/>
      <c r="B235" s="11" t="str">
        <f>CONCATENATE("          ", "6248", " - ", "UNIFORMS")</f>
        <v xml:space="preserve">          6248 - UNIFORMS</v>
      </c>
      <c r="C235" s="11"/>
      <c r="D235" s="6"/>
      <c r="E235" s="2"/>
      <c r="F235" s="7">
        <f t="shared" si="101"/>
        <v>0</v>
      </c>
      <c r="G235" s="2"/>
      <c r="H235" s="6"/>
      <c r="I235" s="2"/>
      <c r="J235" s="7">
        <f t="shared" si="102"/>
        <v>0</v>
      </c>
      <c r="K235" s="2"/>
      <c r="L235" s="6">
        <f t="shared" si="103"/>
        <v>0</v>
      </c>
      <c r="M235" s="2"/>
      <c r="N235" s="7">
        <f t="shared" si="104"/>
        <v>0</v>
      </c>
      <c r="O235" s="11"/>
      <c r="P235" s="6"/>
      <c r="Q235" s="2"/>
      <c r="R235" s="7">
        <f t="shared" si="105"/>
        <v>0</v>
      </c>
      <c r="S235" s="2"/>
      <c r="T235" s="6">
        <v>99</v>
      </c>
      <c r="U235" s="2"/>
      <c r="V235" s="7">
        <f t="shared" si="106"/>
        <v>1.6744025926896244E-5</v>
      </c>
      <c r="W235" s="2"/>
      <c r="X235" s="6">
        <f t="shared" si="107"/>
        <v>-99</v>
      </c>
      <c r="Y235" s="2"/>
      <c r="Z235" s="7">
        <f t="shared" si="108"/>
        <v>-1</v>
      </c>
    </row>
    <row r="236" spans="1:26" s="27" customFormat="1" outlineLevel="1" collapsed="1" x14ac:dyDescent="0.25">
      <c r="A236" s="25"/>
      <c r="B236" s="13" t="str">
        <f>CONCATENATE("     ","Telephone/Data Lines                              ")</f>
        <v xml:space="preserve">     Telephone/Data Lines                              </v>
      </c>
      <c r="C236" s="13"/>
      <c r="D236" s="1">
        <f>SUM(OSRRefD22_21x_0)</f>
        <v>2600.59</v>
      </c>
      <c r="E236" s="1"/>
      <c r="F236" s="5">
        <f t="shared" ref="F236:F238" si="109">IF(D$12=0,0,D236/D$12)</f>
        <v>5.8571137133518539E-3</v>
      </c>
      <c r="G236" s="1"/>
      <c r="H236" s="1">
        <f>SUM(OSRRefH22_21x_0)</f>
        <v>2158.3000000000002</v>
      </c>
      <c r="I236" s="1"/>
      <c r="J236" s="5">
        <f t="shared" ref="J236:J238" si="110">IF(H$12=0,0,H236/H$12)</f>
        <v>3.9798870673161306E-3</v>
      </c>
      <c r="K236" s="1"/>
      <c r="L236" s="1">
        <f t="shared" ref="L236:L238" si="111">+D236-H236</f>
        <v>442.28999999999996</v>
      </c>
      <c r="M236" s="1"/>
      <c r="N236" s="5">
        <f t="shared" ref="N236:N238" si="112">IF(H236=0,0,L236/H236)</f>
        <v>0.20492517258953802</v>
      </c>
      <c r="O236" s="13"/>
      <c r="P236" s="1">
        <f>SUM(OSRRefP22_21x_0)</f>
        <v>16055.26</v>
      </c>
      <c r="Q236" s="1"/>
      <c r="R236" s="5">
        <f t="shared" ref="R236:R238" si="113">IF(P$12=0,0,P236/P$12)</f>
        <v>2.91110126109276E-3</v>
      </c>
      <c r="S236" s="1"/>
      <c r="T236" s="1">
        <f>SUM(OSRRefT22_21x_0)</f>
        <v>15875.22</v>
      </c>
      <c r="U236" s="1"/>
      <c r="V236" s="5">
        <f t="shared" ref="V236:V238" si="114">IF(T$12=0,0,T236/T$12)</f>
        <v>2.6850009623755737E-3</v>
      </c>
      <c r="W236" s="1"/>
      <c r="X236" s="1">
        <f t="shared" ref="X236:X238" si="115">+P236-T236</f>
        <v>180.04000000000087</v>
      </c>
      <c r="Y236" s="1"/>
      <c r="Z236" s="5">
        <f t="shared" ref="Z236:Z238" si="116">IF(T236=0,0,X236/T236)</f>
        <v>1.1340945196350091E-2</v>
      </c>
    </row>
    <row r="237" spans="1:26" s="24" customFormat="1" hidden="1" outlineLevel="2" x14ac:dyDescent="0.25">
      <c r="A237" s="26"/>
      <c r="B237" s="11" t="str">
        <f>CONCATENATE("          ", "6303", " - ", "DATA PHONE LINES")</f>
        <v xml:space="preserve">          6303 - DATA PHONE LINES</v>
      </c>
      <c r="C237" s="11"/>
      <c r="D237" s="6">
        <v>295</v>
      </c>
      <c r="E237" s="2"/>
      <c r="F237" s="7">
        <f t="shared" si="109"/>
        <v>6.6440636372469206E-4</v>
      </c>
      <c r="G237" s="2"/>
      <c r="H237" s="6"/>
      <c r="I237" s="2"/>
      <c r="J237" s="7">
        <f t="shared" si="110"/>
        <v>0</v>
      </c>
      <c r="K237" s="2"/>
      <c r="L237" s="6">
        <f t="shared" si="111"/>
        <v>295</v>
      </c>
      <c r="M237" s="2"/>
      <c r="N237" s="7">
        <f t="shared" si="112"/>
        <v>0</v>
      </c>
      <c r="O237" s="11"/>
      <c r="P237" s="6">
        <v>1770</v>
      </c>
      <c r="Q237" s="2"/>
      <c r="R237" s="7">
        <f t="shared" si="113"/>
        <v>3.20932157569182E-4</v>
      </c>
      <c r="S237" s="2"/>
      <c r="T237" s="6">
        <v>885</v>
      </c>
      <c r="U237" s="2"/>
      <c r="V237" s="7">
        <f t="shared" si="114"/>
        <v>1.4968144389195128E-4</v>
      </c>
      <c r="W237" s="2"/>
      <c r="X237" s="6">
        <f t="shared" si="115"/>
        <v>885</v>
      </c>
      <c r="Y237" s="2"/>
      <c r="Z237" s="7">
        <f t="shared" si="116"/>
        <v>1</v>
      </c>
    </row>
    <row r="238" spans="1:26" s="24" customFormat="1" hidden="1" outlineLevel="2" x14ac:dyDescent="0.25">
      <c r="A238" s="26"/>
      <c r="B238" s="11" t="str">
        <f>CONCATENATE("          ", "6309", " - ", "TELEPHONE")</f>
        <v xml:space="preserve">          6309 - TELEPHONE</v>
      </c>
      <c r="C238" s="11"/>
      <c r="D238" s="6">
        <v>2305.59</v>
      </c>
      <c r="E238" s="2"/>
      <c r="F238" s="7">
        <f t="shared" si="109"/>
        <v>5.1927073496271618E-3</v>
      </c>
      <c r="G238" s="2"/>
      <c r="H238" s="6">
        <v>2158.3000000000002</v>
      </c>
      <c r="I238" s="2"/>
      <c r="J238" s="7">
        <f t="shared" si="110"/>
        <v>3.9798870673161306E-3</v>
      </c>
      <c r="K238" s="2"/>
      <c r="L238" s="6">
        <f t="shared" si="111"/>
        <v>147.28999999999996</v>
      </c>
      <c r="M238" s="2"/>
      <c r="N238" s="7">
        <f t="shared" si="112"/>
        <v>6.8243524996525015E-2</v>
      </c>
      <c r="O238" s="11"/>
      <c r="P238" s="6">
        <v>14285.26</v>
      </c>
      <c r="Q238" s="2"/>
      <c r="R238" s="7">
        <f t="shared" si="113"/>
        <v>2.590169103523578E-3</v>
      </c>
      <c r="S238" s="2"/>
      <c r="T238" s="6">
        <v>14990.22</v>
      </c>
      <c r="U238" s="2"/>
      <c r="V238" s="7">
        <f t="shared" si="114"/>
        <v>2.5353195184836222E-3</v>
      </c>
      <c r="W238" s="2"/>
      <c r="X238" s="6">
        <f t="shared" si="115"/>
        <v>-704.95999999999913</v>
      </c>
      <c r="Y238" s="2"/>
      <c r="Z238" s="7">
        <f t="shared" si="116"/>
        <v>-4.7027995586455644E-2</v>
      </c>
    </row>
    <row r="239" spans="1:26" s="27" customFormat="1" outlineLevel="1" collapsed="1" x14ac:dyDescent="0.25">
      <c r="A239" s="25"/>
      <c r="B239" s="13" t="str">
        <f>CONCATENATE("     ","Training                                          ")</f>
        <v xml:space="preserve">     Training                                          </v>
      </c>
      <c r="C239" s="13"/>
      <c r="D239" s="1">
        <f>SUM(OSRRefD22_22x_0)</f>
        <v>0</v>
      </c>
      <c r="E239" s="1"/>
      <c r="F239" s="5">
        <f t="shared" ref="F239:F244" si="117">IF(D$12=0,0,D239/D$12)</f>
        <v>0</v>
      </c>
      <c r="G239" s="1"/>
      <c r="H239" s="1">
        <f>SUM(OSRRefH22_22x_0)</f>
        <v>1751.17</v>
      </c>
      <c r="I239" s="1"/>
      <c r="J239" s="5">
        <f t="shared" ref="J239:J244" si="118">IF(H$12=0,0,H239/H$12)</f>
        <v>3.2291427677672182E-3</v>
      </c>
      <c r="K239" s="1"/>
      <c r="L239" s="1">
        <f t="shared" ref="L239:L244" si="119">+D239-H239</f>
        <v>-1751.17</v>
      </c>
      <c r="M239" s="1"/>
      <c r="N239" s="5">
        <f t="shared" ref="N239:N244" si="120">IF(H239=0,0,L239/H239)</f>
        <v>-1</v>
      </c>
      <c r="O239" s="13"/>
      <c r="P239" s="1">
        <f>SUM(OSRRefP22_22x_0)</f>
        <v>7563.8</v>
      </c>
      <c r="Q239" s="1"/>
      <c r="R239" s="5">
        <f t="shared" ref="R239:R244" si="121">IF(P$12=0,0,P239/P$12)</f>
        <v>1.3714500866789713E-3</v>
      </c>
      <c r="S239" s="1"/>
      <c r="T239" s="1">
        <f>SUM(OSRRefT22_22x_0)</f>
        <v>5021.88</v>
      </c>
      <c r="U239" s="1"/>
      <c r="V239" s="5">
        <f t="shared" ref="V239:V244" si="122">IF(T$12=0,0,T239/T$12)</f>
        <v>8.4935847395718907E-4</v>
      </c>
      <c r="W239" s="1"/>
      <c r="X239" s="1">
        <f t="shared" ref="X239:X244" si="123">+P239-T239</f>
        <v>2541.92</v>
      </c>
      <c r="Y239" s="1"/>
      <c r="Z239" s="5">
        <f t="shared" ref="Z239:Z244" si="124">IF(T239=0,0,X239/T239)</f>
        <v>0.50616900443658552</v>
      </c>
    </row>
    <row r="240" spans="1:26" s="24" customFormat="1" hidden="1" outlineLevel="2" x14ac:dyDescent="0.25">
      <c r="A240" s="26"/>
      <c r="B240" s="11" t="str">
        <f>CONCATENATE("          ", "6376", " - ", "TRAINING")</f>
        <v xml:space="preserve">          6376 - TRAINING</v>
      </c>
      <c r="C240" s="11"/>
      <c r="D240" s="6"/>
      <c r="E240" s="2"/>
      <c r="F240" s="7">
        <f t="shared" si="117"/>
        <v>0</v>
      </c>
      <c r="G240" s="2"/>
      <c r="H240" s="6">
        <v>1751.17</v>
      </c>
      <c r="I240" s="2"/>
      <c r="J240" s="7">
        <f t="shared" si="118"/>
        <v>3.2291427677672182E-3</v>
      </c>
      <c r="K240" s="2"/>
      <c r="L240" s="6">
        <f t="shared" si="119"/>
        <v>-1751.17</v>
      </c>
      <c r="M240" s="2"/>
      <c r="N240" s="7">
        <f t="shared" si="120"/>
        <v>-1</v>
      </c>
      <c r="O240" s="11"/>
      <c r="P240" s="6">
        <v>7563.8</v>
      </c>
      <c r="Q240" s="2"/>
      <c r="R240" s="7">
        <f t="shared" si="121"/>
        <v>1.3714500866789713E-3</v>
      </c>
      <c r="S240" s="2"/>
      <c r="T240" s="6">
        <v>5021.88</v>
      </c>
      <c r="U240" s="2"/>
      <c r="V240" s="7">
        <f t="shared" si="122"/>
        <v>8.4935847395718907E-4</v>
      </c>
      <c r="W240" s="2"/>
      <c r="X240" s="6">
        <f t="shared" si="123"/>
        <v>2541.92</v>
      </c>
      <c r="Y240" s="2"/>
      <c r="Z240" s="7">
        <f t="shared" si="124"/>
        <v>0.50616900443658552</v>
      </c>
    </row>
    <row r="241" spans="1:26" s="27" customFormat="1" outlineLevel="1" collapsed="1" x14ac:dyDescent="0.25">
      <c r="A241" s="25"/>
      <c r="B241" s="13" t="str">
        <f>CONCATENATE("     ","Travel                                            ")</f>
        <v xml:space="preserve">     Travel                                            </v>
      </c>
      <c r="C241" s="13"/>
      <c r="D241" s="1">
        <f>SUM(OSRRefD22_23x_0)</f>
        <v>-159.65</v>
      </c>
      <c r="E241" s="1"/>
      <c r="F241" s="5">
        <f t="shared" si="117"/>
        <v>-3.5956771514795624E-4</v>
      </c>
      <c r="G241" s="1"/>
      <c r="H241" s="1">
        <f>SUM(OSRRefH22_23x_0)</f>
        <v>162.68</v>
      </c>
      <c r="I241" s="1"/>
      <c r="J241" s="5">
        <f t="shared" si="118"/>
        <v>2.9998055326460084E-4</v>
      </c>
      <c r="K241" s="1"/>
      <c r="L241" s="1">
        <f t="shared" si="119"/>
        <v>-322.33000000000004</v>
      </c>
      <c r="M241" s="1"/>
      <c r="N241" s="5">
        <f t="shared" si="120"/>
        <v>-1.9813744775018443</v>
      </c>
      <c r="O241" s="13"/>
      <c r="P241" s="1">
        <f>SUM(OSRRefP22_23x_0)</f>
        <v>1442.1</v>
      </c>
      <c r="Q241" s="1"/>
      <c r="R241" s="5">
        <f t="shared" si="121"/>
        <v>2.6147811549746743E-4</v>
      </c>
      <c r="S241" s="1"/>
      <c r="T241" s="1">
        <f>SUM(OSRRefT22_23x_0)</f>
        <v>1346.1999999999998</v>
      </c>
      <c r="U241" s="1"/>
      <c r="V241" s="5">
        <f t="shared" si="122"/>
        <v>2.2768492629078507E-4</v>
      </c>
      <c r="W241" s="1"/>
      <c r="X241" s="1">
        <f t="shared" si="123"/>
        <v>95.900000000000091</v>
      </c>
      <c r="Y241" s="1"/>
      <c r="Z241" s="5">
        <f t="shared" si="124"/>
        <v>7.1237557569454837E-2</v>
      </c>
    </row>
    <row r="242" spans="1:26" s="24" customFormat="1" hidden="1" outlineLevel="2" x14ac:dyDescent="0.25">
      <c r="A242" s="26"/>
      <c r="B242" s="11" t="str">
        <f>CONCATENATE("          ", "6292", " - ", "TRAVEL/CONFERENCE")</f>
        <v xml:space="preserve">          6292 - TRAVEL/CONFERENCE</v>
      </c>
      <c r="C242" s="11"/>
      <c r="D242" s="6">
        <v>-323.01</v>
      </c>
      <c r="E242" s="2"/>
      <c r="F242" s="7">
        <f t="shared" si="117"/>
        <v>-7.2749118490411115E-4</v>
      </c>
      <c r="G242" s="2"/>
      <c r="H242" s="6">
        <v>62.4</v>
      </c>
      <c r="I242" s="2"/>
      <c r="J242" s="7">
        <f t="shared" si="118"/>
        <v>1.1506507575430964E-4</v>
      </c>
      <c r="K242" s="2"/>
      <c r="L242" s="6">
        <f t="shared" si="119"/>
        <v>-385.40999999999997</v>
      </c>
      <c r="M242" s="2"/>
      <c r="N242" s="7">
        <f t="shared" si="120"/>
        <v>-6.176442307692307</v>
      </c>
      <c r="O242" s="11"/>
      <c r="P242" s="6">
        <v>365.6</v>
      </c>
      <c r="Q242" s="2"/>
      <c r="R242" s="7">
        <f t="shared" si="121"/>
        <v>6.6289715710335007E-5</v>
      </c>
      <c r="S242" s="2"/>
      <c r="T242" s="6">
        <v>691.14</v>
      </c>
      <c r="U242" s="2"/>
      <c r="V242" s="7">
        <f t="shared" si="122"/>
        <v>1.1689359675873808E-4</v>
      </c>
      <c r="W242" s="2"/>
      <c r="X242" s="6">
        <f t="shared" si="123"/>
        <v>-325.53999999999996</v>
      </c>
      <c r="Y242" s="2"/>
      <c r="Z242" s="7">
        <f t="shared" si="124"/>
        <v>-0.47101889631623112</v>
      </c>
    </row>
    <row r="243" spans="1:26" s="24" customFormat="1" hidden="1" outlineLevel="2" x14ac:dyDescent="0.25">
      <c r="A243" s="26"/>
      <c r="B243" s="11" t="str">
        <f>CONCATENATE("          ", "6294", " - ", "TRAVEL OPERATIONAL")</f>
        <v xml:space="preserve">          6294 - TRAVEL OPERATIONAL</v>
      </c>
      <c r="C243" s="11"/>
      <c r="D243" s="6">
        <v>125.14</v>
      </c>
      <c r="E243" s="2"/>
      <c r="F243" s="7">
        <f t="shared" si="117"/>
        <v>2.8184343171697612E-4</v>
      </c>
      <c r="G243" s="2"/>
      <c r="H243" s="6">
        <v>38.18</v>
      </c>
      <c r="I243" s="2"/>
      <c r="J243" s="7">
        <f t="shared" si="118"/>
        <v>7.0403599235569582E-5</v>
      </c>
      <c r="K243" s="2"/>
      <c r="L243" s="6">
        <f t="shared" si="119"/>
        <v>86.960000000000008</v>
      </c>
      <c r="M243" s="2"/>
      <c r="N243" s="7">
        <f t="shared" si="120"/>
        <v>2.2776322682032482</v>
      </c>
      <c r="O243" s="11"/>
      <c r="P243" s="6">
        <v>818.94</v>
      </c>
      <c r="Q243" s="2"/>
      <c r="R243" s="7">
        <f t="shared" si="121"/>
        <v>1.4848823792073783E-4</v>
      </c>
      <c r="S243" s="2"/>
      <c r="T243" s="6">
        <v>431.48</v>
      </c>
      <c r="U243" s="2"/>
      <c r="V243" s="7">
        <f t="shared" si="122"/>
        <v>7.297689198926457E-5</v>
      </c>
      <c r="W243" s="2"/>
      <c r="X243" s="6">
        <f t="shared" si="123"/>
        <v>387.46000000000004</v>
      </c>
      <c r="Y243" s="2"/>
      <c r="Z243" s="7">
        <f t="shared" si="124"/>
        <v>0.89797904885510338</v>
      </c>
    </row>
    <row r="244" spans="1:26" s="24" customFormat="1" hidden="1" outlineLevel="2" x14ac:dyDescent="0.25">
      <c r="A244" s="26"/>
      <c r="B244" s="11" t="str">
        <f>CONCATENATE("          ", "6298", " - ", "VEHICLE MILEAGE")</f>
        <v xml:space="preserve">          6298 - VEHICLE MILEAGE</v>
      </c>
      <c r="C244" s="11"/>
      <c r="D244" s="6">
        <v>38.22</v>
      </c>
      <c r="E244" s="2"/>
      <c r="F244" s="7">
        <f t="shared" si="117"/>
        <v>8.6080038039178743E-5</v>
      </c>
      <c r="G244" s="2"/>
      <c r="H244" s="6">
        <v>62.1</v>
      </c>
      <c r="I244" s="2"/>
      <c r="J244" s="7">
        <f t="shared" si="118"/>
        <v>1.1451187827472161E-4</v>
      </c>
      <c r="K244" s="2"/>
      <c r="L244" s="6">
        <f t="shared" si="119"/>
        <v>-23.880000000000003</v>
      </c>
      <c r="M244" s="2"/>
      <c r="N244" s="7">
        <f t="shared" si="120"/>
        <v>-0.3845410628019324</v>
      </c>
      <c r="O244" s="11"/>
      <c r="P244" s="6">
        <v>257.56</v>
      </c>
      <c r="Q244" s="2"/>
      <c r="R244" s="7">
        <f t="shared" si="121"/>
        <v>4.6700161866394647E-5</v>
      </c>
      <c r="S244" s="2"/>
      <c r="T244" s="6">
        <v>223.58</v>
      </c>
      <c r="U244" s="2"/>
      <c r="V244" s="7">
        <f t="shared" si="122"/>
        <v>3.7814437542782449E-5</v>
      </c>
      <c r="W244" s="2"/>
      <c r="X244" s="6">
        <f t="shared" si="123"/>
        <v>33.97999999999999</v>
      </c>
      <c r="Y244" s="2"/>
      <c r="Z244" s="7">
        <f t="shared" si="124"/>
        <v>0.15198139368458713</v>
      </c>
    </row>
    <row r="245" spans="1:26" s="27" customFormat="1" outlineLevel="1" collapsed="1" x14ac:dyDescent="0.25">
      <c r="A245" s="25"/>
      <c r="B245" s="13" t="str">
        <f>CONCATENATE("     ","Utilities                                         ")</f>
        <v xml:space="preserve">     Utilities                                         </v>
      </c>
      <c r="C245" s="13"/>
      <c r="D245" s="1">
        <f>SUM(OSRRefD22_24x_0)</f>
        <v>9435.76</v>
      </c>
      <c r="E245" s="1"/>
      <c r="F245" s="5">
        <f t="shared" ref="F245:F246" si="125">IF(D$12=0,0,D245/D$12)</f>
        <v>2.1251454205352203E-2</v>
      </c>
      <c r="G245" s="1"/>
      <c r="H245" s="1">
        <f>SUM(OSRRefH22_24x_0)</f>
        <v>5646.49</v>
      </c>
      <c r="I245" s="1"/>
      <c r="J245" s="5">
        <f t="shared" ref="J245:J246" si="126">IF(H$12=0,0,H245/H$12)</f>
        <v>1.0412080121729997E-2</v>
      </c>
      <c r="K245" s="1"/>
      <c r="L245" s="1">
        <f t="shared" ref="L245:L246" si="127">+D245-H245</f>
        <v>3789.2700000000004</v>
      </c>
      <c r="M245" s="1"/>
      <c r="N245" s="5">
        <f t="shared" ref="N245:N246" si="128">IF(H245=0,0,L245/H245)</f>
        <v>0.67108416024822515</v>
      </c>
      <c r="O245" s="13"/>
      <c r="P245" s="1">
        <f>SUM(OSRRefP22_24x_0)</f>
        <v>32034.68</v>
      </c>
      <c r="Q245" s="1"/>
      <c r="R245" s="5">
        <f t="shared" ref="R245:R246" si="129">IF(P$12=0,0,P245/P$12)</f>
        <v>5.8084513951628947E-3</v>
      </c>
      <c r="S245" s="1"/>
      <c r="T245" s="1">
        <f>SUM(OSRRefT22_24x_0)</f>
        <v>26568.73</v>
      </c>
      <c r="U245" s="1"/>
      <c r="V245" s="5">
        <f t="shared" ref="V245:V246" si="130">IF(T$12=0,0,T245/T$12)</f>
        <v>4.493611151158647E-3</v>
      </c>
      <c r="W245" s="1"/>
      <c r="X245" s="1">
        <f t="shared" ref="X245:X246" si="131">+P245-T245</f>
        <v>5465.9500000000007</v>
      </c>
      <c r="Y245" s="1"/>
      <c r="Z245" s="5">
        <f t="shared" ref="Z245:Z246" si="132">IF(T245=0,0,X245/T245)</f>
        <v>0.20572868932764196</v>
      </c>
    </row>
    <row r="246" spans="1:26" s="24" customFormat="1" hidden="1" outlineLevel="2" x14ac:dyDescent="0.25">
      <c r="A246" s="26"/>
      <c r="B246" s="11" t="str">
        <f>CONCATENATE("          ", "6274", " - ", "UTILITIES")</f>
        <v xml:space="preserve">          6274 - UTILITIES</v>
      </c>
      <c r="C246" s="11"/>
      <c r="D246" s="6">
        <v>9435.76</v>
      </c>
      <c r="E246" s="2"/>
      <c r="F246" s="7">
        <f t="shared" si="125"/>
        <v>2.1251454205352203E-2</v>
      </c>
      <c r="G246" s="2"/>
      <c r="H246" s="6">
        <v>5646.49</v>
      </c>
      <c r="I246" s="2"/>
      <c r="J246" s="7">
        <f t="shared" si="126"/>
        <v>1.0412080121729997E-2</v>
      </c>
      <c r="K246" s="2"/>
      <c r="L246" s="6">
        <f t="shared" si="127"/>
        <v>3789.2700000000004</v>
      </c>
      <c r="M246" s="2"/>
      <c r="N246" s="7">
        <f t="shared" si="128"/>
        <v>0.67108416024822515</v>
      </c>
      <c r="O246" s="11"/>
      <c r="P246" s="6">
        <v>32034.68</v>
      </c>
      <c r="Q246" s="2"/>
      <c r="R246" s="7">
        <f t="shared" si="129"/>
        <v>5.8084513951628947E-3</v>
      </c>
      <c r="S246" s="2"/>
      <c r="T246" s="6">
        <v>26568.73</v>
      </c>
      <c r="U246" s="2"/>
      <c r="V246" s="7">
        <f t="shared" si="130"/>
        <v>4.493611151158647E-3</v>
      </c>
      <c r="W246" s="2"/>
      <c r="X246" s="6">
        <f t="shared" si="131"/>
        <v>5465.9500000000007</v>
      </c>
      <c r="Y246" s="2"/>
      <c r="Z246" s="7">
        <f t="shared" si="132"/>
        <v>0.20572868932764196</v>
      </c>
    </row>
    <row r="247" spans="1:26" s="61" customFormat="1" x14ac:dyDescent="0.25">
      <c r="A247" s="37"/>
      <c r="B247" s="37"/>
      <c r="C247" s="37"/>
      <c r="D247" s="1"/>
      <c r="E247" s="1"/>
      <c r="F247" s="5"/>
      <c r="G247" s="1"/>
      <c r="H247" s="1"/>
      <c r="I247" s="1"/>
      <c r="J247" s="5"/>
      <c r="K247" s="1"/>
      <c r="L247" s="1"/>
      <c r="M247" s="1"/>
      <c r="N247" s="5"/>
      <c r="O247" s="37"/>
      <c r="P247" s="1"/>
      <c r="Q247" s="1"/>
      <c r="R247" s="5"/>
      <c r="S247" s="1"/>
      <c r="T247" s="1"/>
      <c r="U247" s="1"/>
      <c r="V247" s="5"/>
      <c r="W247" s="1"/>
      <c r="X247" s="1"/>
      <c r="Y247" s="1"/>
      <c r="Z247" s="5"/>
    </row>
    <row r="248" spans="1:26" s="23" customFormat="1" collapsed="1" x14ac:dyDescent="0.25">
      <c r="A248" s="10"/>
      <c r="B248" s="28" t="s">
        <v>0</v>
      </c>
      <c r="C248" s="10"/>
      <c r="D248" s="4">
        <f>SUM(OSRRefD25x_0)</f>
        <v>23065.69</v>
      </c>
      <c r="E248" s="4"/>
      <c r="F248" s="12">
        <f t="shared" ref="F248:F257" si="133">IF(D$12=0,0,D248/D$12)</f>
        <v>5.1949122778647432E-2</v>
      </c>
      <c r="G248" s="4"/>
      <c r="H248" s="4">
        <f>SUM(OSRRefH25x_0)</f>
        <v>24160.67</v>
      </c>
      <c r="I248" s="4"/>
      <c r="J248" s="12">
        <f t="shared" ref="J248:J257" si="134">IF(H$12=0,0,H248/H$12)</f>
        <v>4.4552072497193528E-2</v>
      </c>
      <c r="K248" s="4"/>
      <c r="L248" s="4">
        <f t="shared" ref="L248:L257" si="135">+D248-H248</f>
        <v>-1094.9799999999996</v>
      </c>
      <c r="M248" s="4"/>
      <c r="N248" s="12">
        <f t="shared" ref="N248:N257" si="136">IF(H248=0,0,L248/H248)</f>
        <v>-4.5320763041753379E-2</v>
      </c>
      <c r="O248" s="10"/>
      <c r="P248" s="4">
        <f>SUM(OSRRefP25x_0)</f>
        <v>423466.33</v>
      </c>
      <c r="Q248" s="4"/>
      <c r="R248" s="12">
        <f t="shared" ref="R248:R257" si="137">IF(P$12=0,0,P248/P$12)</f>
        <v>7.678189996881539E-2</v>
      </c>
      <c r="S248" s="4"/>
      <c r="T248" s="4">
        <f>SUM(OSRRefT25x_0)</f>
        <v>391333.16000000003</v>
      </c>
      <c r="U248" s="4"/>
      <c r="V248" s="12">
        <f t="shared" ref="V248:V257" si="138">IF(T$12=0,0,T248/T$12)</f>
        <v>6.6186793708022593E-2</v>
      </c>
      <c r="W248" s="4"/>
      <c r="X248" s="4">
        <f t="shared" ref="X248:X257" si="139">+P248-T248</f>
        <v>32133.169999999984</v>
      </c>
      <c r="Y248" s="4"/>
      <c r="Z248" s="12">
        <f t="shared" ref="Z248:Z257" si="140">IF(T248=0,0,X248/T248)</f>
        <v>8.2112055109257745E-2</v>
      </c>
    </row>
    <row r="249" spans="1:26" s="24" customFormat="1" hidden="1" outlineLevel="1" x14ac:dyDescent="0.25">
      <c r="A249" s="44"/>
      <c r="B249" s="11" t="str">
        <f>CONCATENATE("          ", "4098", " - ", "TAXABLE SALES-GRAD RENTALS")</f>
        <v xml:space="preserve">          4098 - TAXABLE SALES-GRAD RENTALS</v>
      </c>
      <c r="C249" s="11"/>
      <c r="D249" s="2">
        <f t="shared" ref="D249:D251" si="141">0</f>
        <v>0</v>
      </c>
      <c r="E249" s="2"/>
      <c r="F249" s="19">
        <f t="shared" si="133"/>
        <v>0</v>
      </c>
      <c r="G249" s="2"/>
      <c r="H249" s="2">
        <f>--1289</f>
        <v>1289</v>
      </c>
      <c r="I249" s="2"/>
      <c r="J249" s="19">
        <f t="shared" si="134"/>
        <v>2.3769051706298899E-3</v>
      </c>
      <c r="K249" s="2"/>
      <c r="L249" s="2">
        <f t="shared" si="135"/>
        <v>-1289</v>
      </c>
      <c r="M249" s="2"/>
      <c r="N249" s="19">
        <f t="shared" si="136"/>
        <v>-1</v>
      </c>
      <c r="O249" s="11"/>
      <c r="P249" s="2">
        <f>--1626.85</f>
        <v>1626.85</v>
      </c>
      <c r="Q249" s="2"/>
      <c r="R249" s="19">
        <f t="shared" si="137"/>
        <v>2.9497654267877048E-4</v>
      </c>
      <c r="S249" s="2"/>
      <c r="T249" s="2">
        <f>--2269.5</f>
        <v>2269.5</v>
      </c>
      <c r="U249" s="2"/>
      <c r="V249" s="19">
        <f t="shared" si="138"/>
        <v>3.8384410950596999E-4</v>
      </c>
      <c r="W249" s="2"/>
      <c r="X249" s="2">
        <f t="shared" si="139"/>
        <v>-642.65000000000009</v>
      </c>
      <c r="Y249" s="2"/>
      <c r="Z249" s="19">
        <f t="shared" si="140"/>
        <v>-0.28316809870015425</v>
      </c>
    </row>
    <row r="250" spans="1:26" s="24" customFormat="1" hidden="1" outlineLevel="1" x14ac:dyDescent="0.25">
      <c r="A250" s="44"/>
      <c r="B250" s="11" t="str">
        <f>CONCATENATE("          ", "4197", " - ", "NON-TAXABLE SALES-RETURNED CHE")</f>
        <v xml:space="preserve">          4197 - NON-TAXABLE SALES-RETURNED CHE</v>
      </c>
      <c r="C250" s="11"/>
      <c r="D250" s="2">
        <f t="shared" si="141"/>
        <v>0</v>
      </c>
      <c r="E250" s="2"/>
      <c r="F250" s="19">
        <f t="shared" si="133"/>
        <v>0</v>
      </c>
      <c r="G250" s="2"/>
      <c r="H250" s="2">
        <f t="shared" ref="H250:H251" si="142">0</f>
        <v>0</v>
      </c>
      <c r="I250" s="2"/>
      <c r="J250" s="19">
        <f t="shared" si="134"/>
        <v>0</v>
      </c>
      <c r="K250" s="2"/>
      <c r="L250" s="2">
        <f t="shared" si="135"/>
        <v>0</v>
      </c>
      <c r="M250" s="2"/>
      <c r="N250" s="19">
        <f t="shared" si="136"/>
        <v>0</v>
      </c>
      <c r="O250" s="11"/>
      <c r="P250" s="2">
        <f>--30</f>
        <v>30</v>
      </c>
      <c r="Q250" s="2"/>
      <c r="R250" s="19">
        <f t="shared" si="137"/>
        <v>5.4395280943929155E-6</v>
      </c>
      <c r="S250" s="2"/>
      <c r="T250" s="2">
        <f>--260</f>
        <v>260</v>
      </c>
      <c r="U250" s="2"/>
      <c r="V250" s="19">
        <f t="shared" si="138"/>
        <v>4.3974209504980038E-5</v>
      </c>
      <c r="W250" s="2"/>
      <c r="X250" s="2">
        <f t="shared" si="139"/>
        <v>-230</v>
      </c>
      <c r="Y250" s="2"/>
      <c r="Z250" s="19">
        <f t="shared" si="140"/>
        <v>-0.88461538461538458</v>
      </c>
    </row>
    <row r="251" spans="1:26" s="24" customFormat="1" hidden="1" outlineLevel="1" x14ac:dyDescent="0.25">
      <c r="A251" s="44"/>
      <c r="B251" s="11" t="str">
        <f>CONCATENATE("          ", "4198", " - ", "NON-TAXABLE SALES-GRAD RENTALS")</f>
        <v xml:space="preserve">          4198 - NON-TAXABLE SALES-GRAD RENTALS</v>
      </c>
      <c r="C251" s="11"/>
      <c r="D251" s="2">
        <f t="shared" si="141"/>
        <v>0</v>
      </c>
      <c r="E251" s="2"/>
      <c r="F251" s="19">
        <f t="shared" si="133"/>
        <v>0</v>
      </c>
      <c r="G251" s="2"/>
      <c r="H251" s="2">
        <f t="shared" si="142"/>
        <v>0</v>
      </c>
      <c r="I251" s="2"/>
      <c r="J251" s="19">
        <f t="shared" si="134"/>
        <v>0</v>
      </c>
      <c r="K251" s="2"/>
      <c r="L251" s="2">
        <f t="shared" si="135"/>
        <v>0</v>
      </c>
      <c r="M251" s="2"/>
      <c r="N251" s="19">
        <f t="shared" si="136"/>
        <v>0</v>
      </c>
      <c r="O251" s="11"/>
      <c r="P251" s="2">
        <f>--495</f>
        <v>495</v>
      </c>
      <c r="Q251" s="2"/>
      <c r="R251" s="19">
        <f t="shared" si="137"/>
        <v>8.9752213557483103E-5</v>
      </c>
      <c r="S251" s="2"/>
      <c r="T251" s="2">
        <f>--450</f>
        <v>450</v>
      </c>
      <c r="U251" s="2"/>
      <c r="V251" s="19">
        <f t="shared" si="138"/>
        <v>7.6109208758619291E-5</v>
      </c>
      <c r="W251" s="2"/>
      <c r="X251" s="2">
        <f t="shared" si="139"/>
        <v>45</v>
      </c>
      <c r="Y251" s="2"/>
      <c r="Z251" s="19">
        <f t="shared" si="140"/>
        <v>0.1</v>
      </c>
    </row>
    <row r="252" spans="1:26" s="24" customFormat="1" hidden="1" outlineLevel="1" x14ac:dyDescent="0.25">
      <c r="A252" s="44"/>
      <c r="B252" s="11" t="str">
        <f>CONCATENATE("          ", "9150", " - ", "MISC. INCOME")</f>
        <v xml:space="preserve">          9150 - MISC. INCOME</v>
      </c>
      <c r="C252" s="11"/>
      <c r="D252" s="2">
        <f>--19415.01</f>
        <v>19415.009999999998</v>
      </c>
      <c r="E252" s="2"/>
      <c r="F252" s="19">
        <f t="shared" si="133"/>
        <v>4.3726970155181469E-2</v>
      </c>
      <c r="G252" s="2"/>
      <c r="H252" s="2">
        <f>--22281.5</f>
        <v>22281.5</v>
      </c>
      <c r="I252" s="2"/>
      <c r="J252" s="19">
        <f t="shared" si="134"/>
        <v>4.108689880480209E-2</v>
      </c>
      <c r="K252" s="2"/>
      <c r="L252" s="2">
        <f t="shared" si="135"/>
        <v>-2866.4900000000016</v>
      </c>
      <c r="M252" s="2"/>
      <c r="N252" s="19">
        <f t="shared" si="136"/>
        <v>-0.12864887911496092</v>
      </c>
      <c r="O252" s="11"/>
      <c r="P252" s="2">
        <f>--245559.66</f>
        <v>245559.66</v>
      </c>
      <c r="Q252" s="2"/>
      <c r="R252" s="19">
        <f t="shared" si="137"/>
        <v>4.4524288980652409E-2</v>
      </c>
      <c r="S252" s="2"/>
      <c r="T252" s="2">
        <f>--383568.81</f>
        <v>383568.81</v>
      </c>
      <c r="U252" s="2"/>
      <c r="V252" s="19">
        <f t="shared" si="138"/>
        <v>6.4873596963522615E-2</v>
      </c>
      <c r="W252" s="2"/>
      <c r="X252" s="2">
        <f t="shared" si="139"/>
        <v>-138009.15</v>
      </c>
      <c r="Y252" s="2"/>
      <c r="Z252" s="19">
        <f t="shared" si="140"/>
        <v>-0.35980284736915913</v>
      </c>
    </row>
    <row r="253" spans="1:26" s="24" customFormat="1" hidden="1" outlineLevel="1" x14ac:dyDescent="0.25">
      <c r="A253" s="44"/>
      <c r="B253" s="11" t="str">
        <f>CONCATENATE("          ", "9151", " - ", "MISC. INCOME")</f>
        <v xml:space="preserve">          9151 - MISC. INCOME</v>
      </c>
      <c r="C253" s="11"/>
      <c r="D253" s="2">
        <f>--268.24</f>
        <v>268.24</v>
      </c>
      <c r="E253" s="2"/>
      <c r="F253" s="19">
        <f t="shared" si="133"/>
        <v>6.0413682374749623E-4</v>
      </c>
      <c r="G253" s="2"/>
      <c r="H253" s="2">
        <f>0</f>
        <v>0</v>
      </c>
      <c r="I253" s="2"/>
      <c r="J253" s="19">
        <f t="shared" si="134"/>
        <v>0</v>
      </c>
      <c r="K253" s="2"/>
      <c r="L253" s="2">
        <f t="shared" si="135"/>
        <v>268.24</v>
      </c>
      <c r="M253" s="2"/>
      <c r="N253" s="19">
        <f t="shared" si="136"/>
        <v>0</v>
      </c>
      <c r="O253" s="11"/>
      <c r="P253" s="2">
        <f>--87492.51</f>
        <v>87492.51</v>
      </c>
      <c r="Q253" s="2"/>
      <c r="R253" s="19">
        <f t="shared" si="137"/>
        <v>1.5863932206465103E-2</v>
      </c>
      <c r="S253" s="2"/>
      <c r="T253" s="2">
        <f>--649.77</f>
        <v>649.77</v>
      </c>
      <c r="U253" s="2"/>
      <c r="V253" s="19">
        <f t="shared" si="138"/>
        <v>1.0989662350019568E-4</v>
      </c>
      <c r="W253" s="2"/>
      <c r="X253" s="2">
        <f t="shared" si="139"/>
        <v>86842.739999999991</v>
      </c>
      <c r="Y253" s="2"/>
      <c r="Z253" s="19">
        <f t="shared" si="140"/>
        <v>133.65150745648458</v>
      </c>
    </row>
    <row r="254" spans="1:26" s="24" customFormat="1" hidden="1" outlineLevel="1" x14ac:dyDescent="0.25">
      <c r="A254" s="44"/>
      <c r="B254" s="11" t="str">
        <f>CONCATENATE("          ", "9152", " - ", "MISC. INCOME")</f>
        <v xml:space="preserve">          9152 - MISC. INCOME</v>
      </c>
      <c r="C254" s="11"/>
      <c r="D254" s="2">
        <f>--3382.44</f>
        <v>3382.44</v>
      </c>
      <c r="E254" s="2"/>
      <c r="F254" s="19">
        <f t="shared" si="133"/>
        <v>7.6180157997184656E-3</v>
      </c>
      <c r="G254" s="2"/>
      <c r="H254" s="2">
        <f>--590.17</f>
        <v>590.16999999999996</v>
      </c>
      <c r="I254" s="2"/>
      <c r="J254" s="19">
        <f t="shared" si="134"/>
        <v>1.0882685217615531E-3</v>
      </c>
      <c r="K254" s="2"/>
      <c r="L254" s="2">
        <f t="shared" si="135"/>
        <v>2792.27</v>
      </c>
      <c r="M254" s="2"/>
      <c r="N254" s="19">
        <f t="shared" si="136"/>
        <v>4.7312977616618941</v>
      </c>
      <c r="O254" s="11"/>
      <c r="P254" s="2">
        <f>--4230.76</f>
        <v>4230.76</v>
      </c>
      <c r="Q254" s="2"/>
      <c r="R254" s="19">
        <f t="shared" si="137"/>
        <v>7.6711126268779242E-4</v>
      </c>
      <c r="S254" s="2"/>
      <c r="T254" s="2">
        <f>--3845.08</f>
        <v>3845.08</v>
      </c>
      <c r="U254" s="2"/>
      <c r="V254" s="19">
        <f t="shared" si="138"/>
        <v>6.5032443647464861E-4</v>
      </c>
      <c r="W254" s="2"/>
      <c r="X254" s="2">
        <f t="shared" si="139"/>
        <v>385.68000000000029</v>
      </c>
      <c r="Y254" s="2"/>
      <c r="Z254" s="19">
        <f t="shared" si="140"/>
        <v>0.10030480510158445</v>
      </c>
    </row>
    <row r="255" spans="1:26" s="24" customFormat="1" hidden="1" outlineLevel="1" x14ac:dyDescent="0.25">
      <c r="A255" s="44"/>
      <c r="B255" s="11" t="str">
        <f>CONCATENATE("          ", "9153", " - ", "MISC. INCOME")</f>
        <v xml:space="preserve">          9153 - MISC. INCOME</v>
      </c>
      <c r="C255" s="11"/>
      <c r="D255" s="2">
        <f t="shared" ref="D255:D257" si="143">0</f>
        <v>0</v>
      </c>
      <c r="E255" s="2"/>
      <c r="F255" s="19">
        <f t="shared" si="133"/>
        <v>0</v>
      </c>
      <c r="G255" s="2"/>
      <c r="H255" s="2">
        <f t="shared" ref="H255:H257" si="144">0</f>
        <v>0</v>
      </c>
      <c r="I255" s="2"/>
      <c r="J255" s="19">
        <f t="shared" si="134"/>
        <v>0</v>
      </c>
      <c r="K255" s="2"/>
      <c r="L255" s="2">
        <f t="shared" si="135"/>
        <v>0</v>
      </c>
      <c r="M255" s="2"/>
      <c r="N255" s="19">
        <f t="shared" si="136"/>
        <v>0</v>
      </c>
      <c r="O255" s="11"/>
      <c r="P255" s="2">
        <f>--450</f>
        <v>450</v>
      </c>
      <c r="Q255" s="2"/>
      <c r="R255" s="19">
        <f t="shared" si="137"/>
        <v>8.159292141589374E-5</v>
      </c>
      <c r="S255" s="2"/>
      <c r="T255" s="2">
        <f>0</f>
        <v>0</v>
      </c>
      <c r="U255" s="2"/>
      <c r="V255" s="19">
        <f t="shared" si="138"/>
        <v>0</v>
      </c>
      <c r="W255" s="2"/>
      <c r="X255" s="2">
        <f t="shared" si="139"/>
        <v>450</v>
      </c>
      <c r="Y255" s="2"/>
      <c r="Z255" s="19">
        <f t="shared" si="140"/>
        <v>0</v>
      </c>
    </row>
    <row r="256" spans="1:26" s="24" customFormat="1" hidden="1" outlineLevel="1" x14ac:dyDescent="0.25">
      <c r="A256" s="44"/>
      <c r="B256" s="11" t="str">
        <f>CONCATENATE("          ", "9160", " - ", "MISC. INCOME")</f>
        <v xml:space="preserve">          9160 - MISC. INCOME</v>
      </c>
      <c r="C256" s="11"/>
      <c r="D256" s="2">
        <f t="shared" si="143"/>
        <v>0</v>
      </c>
      <c r="E256" s="2"/>
      <c r="F256" s="19">
        <f t="shared" si="133"/>
        <v>0</v>
      </c>
      <c r="G256" s="2"/>
      <c r="H256" s="2">
        <f t="shared" si="144"/>
        <v>0</v>
      </c>
      <c r="I256" s="2"/>
      <c r="J256" s="19">
        <f t="shared" si="134"/>
        <v>0</v>
      </c>
      <c r="K256" s="2"/>
      <c r="L256" s="2">
        <f t="shared" si="135"/>
        <v>0</v>
      </c>
      <c r="M256" s="2"/>
      <c r="N256" s="19">
        <f t="shared" si="136"/>
        <v>0</v>
      </c>
      <c r="O256" s="11"/>
      <c r="P256" s="2">
        <f>--22475</f>
        <v>22475</v>
      </c>
      <c r="Q256" s="2"/>
      <c r="R256" s="19">
        <f t="shared" si="137"/>
        <v>4.0751131307160257E-3</v>
      </c>
      <c r="S256" s="2"/>
      <c r="T256" s="2">
        <f>--290</f>
        <v>290</v>
      </c>
      <c r="U256" s="2"/>
      <c r="V256" s="19">
        <f t="shared" si="138"/>
        <v>4.9048156755554658E-5</v>
      </c>
      <c r="W256" s="2"/>
      <c r="X256" s="2">
        <f t="shared" si="139"/>
        <v>22185</v>
      </c>
      <c r="Y256" s="2"/>
      <c r="Z256" s="19">
        <f t="shared" si="140"/>
        <v>76.5</v>
      </c>
    </row>
    <row r="257" spans="1:26" s="24" customFormat="1" hidden="1" outlineLevel="1" x14ac:dyDescent="0.25">
      <c r="A257" s="44"/>
      <c r="B257" s="11" t="str">
        <f>CONCATENATE("          ", "9163", " - ", "MISC. INCOME")</f>
        <v xml:space="preserve">          9163 - MISC. INCOME</v>
      </c>
      <c r="C257" s="11"/>
      <c r="D257" s="2">
        <f t="shared" si="143"/>
        <v>0</v>
      </c>
      <c r="E257" s="2"/>
      <c r="F257" s="19">
        <f t="shared" si="133"/>
        <v>0</v>
      </c>
      <c r="G257" s="2"/>
      <c r="H257" s="2">
        <f t="shared" si="144"/>
        <v>0</v>
      </c>
      <c r="I257" s="2"/>
      <c r="J257" s="19">
        <f t="shared" si="134"/>
        <v>0</v>
      </c>
      <c r="K257" s="2"/>
      <c r="L257" s="2">
        <f t="shared" si="135"/>
        <v>0</v>
      </c>
      <c r="M257" s="2"/>
      <c r="N257" s="19">
        <f t="shared" si="136"/>
        <v>0</v>
      </c>
      <c r="O257" s="11"/>
      <c r="P257" s="2">
        <f>--61106.55</f>
        <v>61106.55</v>
      </c>
      <c r="Q257" s="2"/>
      <c r="R257" s="19">
        <f t="shared" si="137"/>
        <v>1.1079693182547515E-2</v>
      </c>
      <c r="S257" s="2"/>
      <c r="T257" s="2">
        <f>0</f>
        <v>0</v>
      </c>
      <c r="U257" s="2"/>
      <c r="V257" s="19">
        <f t="shared" si="138"/>
        <v>0</v>
      </c>
      <c r="W257" s="2"/>
      <c r="X257" s="2">
        <f t="shared" si="139"/>
        <v>61106.55</v>
      </c>
      <c r="Y257" s="2"/>
      <c r="Z257" s="19">
        <f t="shared" si="140"/>
        <v>0</v>
      </c>
    </row>
    <row r="258" spans="1:26" x14ac:dyDescent="0.25">
      <c r="A258" s="9"/>
      <c r="B258" s="10"/>
      <c r="C258" s="10"/>
      <c r="D258" s="3"/>
      <c r="E258" s="3"/>
      <c r="F258" s="8"/>
      <c r="G258" s="3"/>
      <c r="H258" s="3"/>
      <c r="I258" s="3"/>
      <c r="J258" s="8"/>
      <c r="K258" s="3"/>
      <c r="L258" s="3"/>
      <c r="M258" s="3"/>
      <c r="N258" s="8"/>
      <c r="O258" s="10"/>
      <c r="P258" s="3"/>
      <c r="Q258" s="3"/>
      <c r="R258" s="8"/>
      <c r="S258" s="3"/>
      <c r="T258" s="3"/>
      <c r="U258" s="3"/>
      <c r="V258" s="8"/>
      <c r="W258" s="3"/>
      <c r="X258" s="3"/>
      <c r="Y258" s="3"/>
      <c r="Z258" s="8"/>
    </row>
    <row r="259" spans="1:26" s="23" customFormat="1" x14ac:dyDescent="0.25">
      <c r="A259" s="10"/>
      <c r="B259" s="29" t="s">
        <v>3</v>
      </c>
      <c r="C259" s="29"/>
      <c r="D259" s="20">
        <f>+D159-D161+D248</f>
        <v>-71174.640000000247</v>
      </c>
      <c r="E259" s="14"/>
      <c r="F259" s="21">
        <f>IF(D$12=0,0,D259/D$12)</f>
        <v>-0.16030130085360739</v>
      </c>
      <c r="G259" s="14"/>
      <c r="H259" s="20">
        <f>+H159-H161+H248</f>
        <v>-39062.059999999867</v>
      </c>
      <c r="I259" s="14"/>
      <c r="J259" s="21">
        <f>IF(H$12=0,0,H259/H$12)</f>
        <v>-7.2030110465054059E-2</v>
      </c>
      <c r="K259" s="15"/>
      <c r="L259" s="20">
        <f>+D259-H259</f>
        <v>-32112.58000000038</v>
      </c>
      <c r="M259" s="15"/>
      <c r="N259" s="21">
        <f>IF(H259=0,0,L259/H259)</f>
        <v>0.82209130803650621</v>
      </c>
      <c r="O259" s="28"/>
      <c r="P259" s="20">
        <f>+P159-P161+P248</f>
        <v>478137.29999999789</v>
      </c>
      <c r="Q259" s="14"/>
      <c r="R259" s="21">
        <f>IF(P$12=0,0,P259/P$12)</f>
        <v>8.6694709210905413E-2</v>
      </c>
      <c r="S259" s="14"/>
      <c r="T259" s="20">
        <f>+T159-T161+T248</f>
        <v>402664.77000000316</v>
      </c>
      <c r="U259" s="14"/>
      <c r="V259" s="21">
        <f>IF(T$12=0,0,T259/T$12)</f>
        <v>6.8103326754825916E-2</v>
      </c>
      <c r="W259" s="15"/>
      <c r="X259" s="20">
        <f>+P259-T259</f>
        <v>75472.529999994731</v>
      </c>
      <c r="Y259" s="15"/>
      <c r="Z259" s="21">
        <f>IF(T259=0,0,X259/T259)</f>
        <v>0.1874326626588021</v>
      </c>
    </row>
    <row r="260" spans="1:26" x14ac:dyDescent="0.25">
      <c r="A260" s="9"/>
      <c r="B260" s="10"/>
      <c r="C260" s="9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x14ac:dyDescent="0.25">
      <c r="A261" s="51"/>
      <c r="B261" s="10" t="s">
        <v>13</v>
      </c>
      <c r="C261" s="10"/>
      <c r="D261" s="4">
        <v>58678.85</v>
      </c>
      <c r="E261" s="4"/>
      <c r="F261" s="12">
        <f>IF(D$12=0,0,D261/D$12)</f>
        <v>0.13215797069846322</v>
      </c>
      <c r="G261" s="4"/>
      <c r="H261" s="4">
        <v>72983.33</v>
      </c>
      <c r="I261" s="4"/>
      <c r="J261" s="12">
        <f>IF(H$12=0,0,H261/H$12)</f>
        <v>0.13458064735980416</v>
      </c>
      <c r="K261" s="4"/>
      <c r="L261" s="4">
        <f>+D261-H261</f>
        <v>-14304.480000000003</v>
      </c>
      <c r="M261" s="4"/>
      <c r="N261" s="12">
        <f>IF(H261=0,0,L261/H261)</f>
        <v>-0.19599653783953133</v>
      </c>
      <c r="O261" s="10"/>
      <c r="P261" s="4">
        <v>595682.38</v>
      </c>
      <c r="Q261" s="4"/>
      <c r="R261" s="12">
        <f>IF(P$12=0,0,P261/P$12)</f>
        <v>0.10800770137816122</v>
      </c>
      <c r="S261" s="4"/>
      <c r="T261" s="4">
        <v>638054.37</v>
      </c>
      <c r="U261" s="4"/>
      <c r="V261" s="12">
        <f>IF(T$12=0,0,T261/T$12)</f>
        <v>0.10791514054595404</v>
      </c>
      <c r="W261" s="4"/>
      <c r="X261" s="4">
        <f>+P261-T261</f>
        <v>-42371.989999999991</v>
      </c>
      <c r="Y261" s="4"/>
      <c r="Z261" s="12">
        <f>IF(T261=0,0,X261/T261)</f>
        <v>-6.6408118167108537E-2</v>
      </c>
    </row>
    <row r="262" spans="1:26" x14ac:dyDescent="0.25">
      <c r="A262" s="9"/>
      <c r="B262" s="10"/>
      <c r="C262" s="10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O262" s="10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ht="15.75" thickBot="1" x14ac:dyDescent="0.3">
      <c r="A263" s="10"/>
      <c r="B263" s="29" t="s">
        <v>4</v>
      </c>
      <c r="C263" s="29"/>
      <c r="D263" s="32">
        <f>+D259-D261</f>
        <v>-129853.49000000025</v>
      </c>
      <c r="E263" s="14"/>
      <c r="F263" s="30">
        <f>IF(D$12=0,0,D263/D$12)</f>
        <v>-0.29245927155207063</v>
      </c>
      <c r="G263" s="14"/>
      <c r="H263" s="32">
        <f>+H259-H261</f>
        <v>-112045.38999999987</v>
      </c>
      <c r="I263" s="14"/>
      <c r="J263" s="30">
        <f>IF(H$12=0,0,H263/H$12)</f>
        <v>-0.20661075782485822</v>
      </c>
      <c r="K263" s="15"/>
      <c r="L263" s="32">
        <f>D263-H263</f>
        <v>-17808.100000000384</v>
      </c>
      <c r="M263" s="15"/>
      <c r="N263" s="30">
        <f>IF(H263=0,0,L263/H263)</f>
        <v>0.15893648101006569</v>
      </c>
      <c r="O263" s="28"/>
      <c r="P263" s="32">
        <f>+P259-P261</f>
        <v>-117545.08000000211</v>
      </c>
      <c r="Q263" s="14"/>
      <c r="R263" s="30">
        <f>IF(P$12=0,0,P263/P$12)</f>
        <v>-2.1312992167255809E-2</v>
      </c>
      <c r="S263" s="14"/>
      <c r="T263" s="32">
        <f>+T259-T261</f>
        <v>-235389.59999999683</v>
      </c>
      <c r="U263" s="14"/>
      <c r="V263" s="30">
        <f>IF(T$12=0,0,T263/T$12)</f>
        <v>-3.9811813791128116E-2</v>
      </c>
      <c r="W263" s="15"/>
      <c r="X263" s="32">
        <f>P263-T263</f>
        <v>117844.51999999472</v>
      </c>
      <c r="Y263" s="15"/>
      <c r="Z263" s="30">
        <f>IF(T263=0,0,X263/T263)</f>
        <v>-0.50063605189012728</v>
      </c>
    </row>
    <row r="264" spans="1:26" ht="15.75" thickTop="1" x14ac:dyDescent="0.25">
      <c r="A264" s="9"/>
      <c r="B264" s="9"/>
      <c r="C264" s="9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x14ac:dyDescent="0.25">
      <c r="A265" s="9"/>
      <c r="B265" s="9"/>
      <c r="C265" s="9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s="23" customFormat="1" ht="15.75" thickBot="1" x14ac:dyDescent="0.3">
      <c r="A266" s="10"/>
      <c r="B266" s="29" t="s">
        <v>5</v>
      </c>
      <c r="C266" s="29"/>
      <c r="D266" s="36">
        <f>SUM(D263:D265)</f>
        <v>-129853.49000000025</v>
      </c>
      <c r="E266" s="14"/>
      <c r="F266" s="31">
        <f>IF(D$12=0,0,D266/D$12)</f>
        <v>-0.29245927155207063</v>
      </c>
      <c r="G266" s="14"/>
      <c r="H266" s="36">
        <f>SUM(H263:H265)</f>
        <v>-112045.38999999987</v>
      </c>
      <c r="I266" s="14"/>
      <c r="J266" s="31">
        <f>IF(H$12=0,0,H266/H$12)</f>
        <v>-0.20661075782485822</v>
      </c>
      <c r="K266" s="15"/>
      <c r="L266" s="36">
        <f>+D266-H266</f>
        <v>-17808.100000000384</v>
      </c>
      <c r="M266" s="15"/>
      <c r="N266" s="31">
        <f>IF(H266=0,0,L266/H266)</f>
        <v>0.15893648101006569</v>
      </c>
      <c r="O266" s="28"/>
      <c r="P266" s="36">
        <f>SUM(P263:P265)</f>
        <v>-117545.08000000211</v>
      </c>
      <c r="Q266" s="14"/>
      <c r="R266" s="31">
        <f>IF(P$12=0,0,P266/P$12)</f>
        <v>-2.1312992167255809E-2</v>
      </c>
      <c r="S266" s="14"/>
      <c r="T266" s="36">
        <f>SUM(T263:T265)</f>
        <v>-235389.59999999683</v>
      </c>
      <c r="U266" s="14"/>
      <c r="V266" s="31">
        <f>IF(T$12=0,0,T266/T$12)</f>
        <v>-3.9811813791128116E-2</v>
      </c>
      <c r="W266" s="15"/>
      <c r="X266" s="36">
        <f>+P266-T266</f>
        <v>117844.51999999472</v>
      </c>
      <c r="Y266" s="15"/>
      <c r="Z266" s="31">
        <f>IF(T266=0,0,X266/T266)</f>
        <v>-0.50063605189012728</v>
      </c>
    </row>
    <row r="267" spans="1:26" ht="15.75" thickTop="1" x14ac:dyDescent="0.25">
      <c r="A267" s="9"/>
      <c r="C267" s="9"/>
      <c r="D267" s="17"/>
      <c r="E267" s="17"/>
      <c r="G267" s="17"/>
      <c r="H267" s="17"/>
      <c r="I267" s="17"/>
      <c r="J267" s="42"/>
      <c r="K267" s="17"/>
      <c r="L267" s="17"/>
      <c r="M267" s="17"/>
      <c r="P267" s="17"/>
      <c r="Q267" s="17"/>
      <c r="R267" s="42"/>
      <c r="S267" s="17"/>
      <c r="T267" s="17"/>
      <c r="U267" s="17"/>
      <c r="V267" s="42"/>
      <c r="W267" s="17"/>
      <c r="X267" s="17"/>
    </row>
    <row r="268" spans="1:26" x14ac:dyDescent="0.25">
      <c r="A268" s="9"/>
      <c r="B268" s="62">
        <v>43847.453149386572</v>
      </c>
      <c r="D268" s="17"/>
      <c r="E268" s="17"/>
      <c r="G268" s="17"/>
      <c r="H268" s="17"/>
      <c r="I268" s="17"/>
      <c r="J268" s="42"/>
      <c r="K268" s="17"/>
      <c r="L268" s="17"/>
      <c r="M268" s="17"/>
      <c r="P268" s="17"/>
      <c r="Q268" s="17"/>
      <c r="R268" s="42"/>
      <c r="S268" s="17"/>
      <c r="T268" s="17"/>
      <c r="U268" s="17"/>
      <c r="V268" s="42"/>
      <c r="W268" s="17"/>
      <c r="X268" s="17"/>
    </row>
    <row r="269" spans="1:26" x14ac:dyDescent="0.25">
      <c r="A269" s="9"/>
      <c r="B269" s="56" t="s">
        <v>313</v>
      </c>
      <c r="D269" s="17"/>
      <c r="E269" s="17"/>
      <c r="G269" s="17"/>
      <c r="H269" s="17"/>
      <c r="I269" s="17"/>
      <c r="J269" s="42"/>
      <c r="K269" s="17"/>
      <c r="L269" s="17"/>
      <c r="M269" s="17"/>
      <c r="P269" s="17"/>
      <c r="Q269" s="17"/>
      <c r="R269" s="42"/>
      <c r="S269" s="17"/>
      <c r="T269" s="17"/>
      <c r="U269" s="17"/>
      <c r="V269" s="42"/>
      <c r="W269" s="17"/>
      <c r="X269" s="17"/>
    </row>
    <row r="270" spans="1:26" x14ac:dyDescent="0.25">
      <c r="A270" s="9"/>
      <c r="B270" s="54"/>
      <c r="D270" s="17"/>
      <c r="E270" s="17"/>
      <c r="G270" s="17"/>
      <c r="H270" s="17"/>
      <c r="I270" s="17"/>
      <c r="J270" s="42"/>
      <c r="K270" s="17"/>
      <c r="L270" s="17"/>
      <c r="M270" s="17"/>
      <c r="P270" s="17"/>
      <c r="Q270" s="17"/>
      <c r="R270" s="42"/>
      <c r="S270" s="17"/>
      <c r="T270" s="17"/>
      <c r="U270" s="17"/>
      <c r="V270" s="42"/>
      <c r="W270" s="17"/>
      <c r="X270" s="17"/>
    </row>
    <row r="271" spans="1:26" x14ac:dyDescent="0.25">
      <c r="D271" s="17"/>
      <c r="E271" s="17"/>
      <c r="G271" s="17"/>
      <c r="H271" s="17"/>
      <c r="I271" s="17"/>
      <c r="J271" s="42"/>
      <c r="K271" s="17"/>
      <c r="L271" s="17"/>
      <c r="M271" s="17"/>
      <c r="P271" s="17"/>
      <c r="Q271" s="17"/>
      <c r="R271" s="42"/>
      <c r="S271" s="17"/>
      <c r="T271" s="17"/>
      <c r="U271" s="17"/>
      <c r="V271" s="42"/>
      <c r="W271" s="17"/>
      <c r="X271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9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528502.00999999978</v>
      </c>
      <c r="E12" s="4"/>
      <c r="F12" s="12"/>
      <c r="G12" s="4"/>
      <c r="H12" s="4">
        <f>SUM(OSRRefH13x_0)</f>
        <v>720516.75000000023</v>
      </c>
      <c r="I12" s="4"/>
      <c r="J12" s="12"/>
      <c r="K12" s="4"/>
      <c r="L12" s="4">
        <f t="shared" ref="L12:L123" si="0">+D12-H12</f>
        <v>-192014.74000000046</v>
      </c>
      <c r="M12" s="4"/>
      <c r="N12" s="12">
        <f t="shared" ref="N12:N123" si="1">IF(H12=0,0,L12/H12)</f>
        <v>-0.26649587258033958</v>
      </c>
      <c r="O12" s="10"/>
      <c r="P12" s="4">
        <f>SUM(OSRRefP13x_0)</f>
        <v>7098566.0699999975</v>
      </c>
      <c r="Q12" s="4"/>
      <c r="R12" s="12"/>
      <c r="S12" s="4"/>
      <c r="T12" s="4">
        <f>SUM(OSRRefT13x_0)</f>
        <v>7454721.6900000032</v>
      </c>
      <c r="U12" s="4"/>
      <c r="V12" s="12"/>
      <c r="W12" s="4"/>
      <c r="X12" s="4">
        <f t="shared" ref="X12:X123" si="2">+P12-T12</f>
        <v>-356155.6200000057</v>
      </c>
      <c r="Y12" s="4"/>
      <c r="Z12" s="12">
        <f t="shared" ref="Z12:Z123" si="3">IF(T12=0,0,X12/T12)</f>
        <v>-4.7775843929594851E-2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--426.09</f>
        <v>426.09</v>
      </c>
      <c r="I13" s="2"/>
      <c r="J13" s="19"/>
      <c r="K13" s="2"/>
      <c r="L13" s="2">
        <f t="shared" si="0"/>
        <v>-426.09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--426.09</f>
        <v>426.09</v>
      </c>
      <c r="U13" s="2"/>
      <c r="V13" s="19"/>
      <c r="W13" s="2"/>
      <c r="X13" s="2">
        <f t="shared" si="2"/>
        <v>-426.09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--36689.95</f>
        <v>36689.949999999997</v>
      </c>
      <c r="E14" s="2"/>
      <c r="F14" s="19"/>
      <c r="G14" s="2"/>
      <c r="H14" s="2">
        <f>--19357.4</f>
        <v>19357.400000000001</v>
      </c>
      <c r="I14" s="2"/>
      <c r="J14" s="19"/>
      <c r="K14" s="2"/>
      <c r="L14" s="2">
        <f t="shared" si="0"/>
        <v>17332.549999999996</v>
      </c>
      <c r="M14" s="2"/>
      <c r="N14" s="19">
        <f t="shared" si="1"/>
        <v>0.89539659251758985</v>
      </c>
      <c r="O14" s="11"/>
      <c r="P14" s="2">
        <f>--1540034.38</f>
        <v>1540034.38</v>
      </c>
      <c r="Q14" s="2"/>
      <c r="R14" s="19"/>
      <c r="S14" s="2"/>
      <c r="T14" s="2">
        <f>--1869627.25</f>
        <v>1869627.25</v>
      </c>
      <c r="U14" s="2"/>
      <c r="V14" s="19"/>
      <c r="W14" s="2"/>
      <c r="X14" s="2">
        <f t="shared" si="2"/>
        <v>-329592.87000000011</v>
      </c>
      <c r="Y14" s="2"/>
      <c r="Z14" s="19">
        <f t="shared" si="3"/>
        <v>-0.17628801142045833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--10615.68</f>
        <v>10615.68</v>
      </c>
      <c r="E15" s="2"/>
      <c r="F15" s="19"/>
      <c r="G15" s="2"/>
      <c r="H15" s="2">
        <f>--14559.21</f>
        <v>14559.21</v>
      </c>
      <c r="I15" s="2"/>
      <c r="J15" s="19"/>
      <c r="K15" s="2"/>
      <c r="L15" s="2">
        <f t="shared" si="0"/>
        <v>-3943.5299999999988</v>
      </c>
      <c r="M15" s="2"/>
      <c r="N15" s="19">
        <f t="shared" si="1"/>
        <v>-0.27086153713010519</v>
      </c>
      <c r="O15" s="11"/>
      <c r="P15" s="2">
        <f>--681094.97</f>
        <v>681094.97</v>
      </c>
      <c r="Q15" s="2"/>
      <c r="R15" s="19"/>
      <c r="S15" s="2"/>
      <c r="T15" s="2">
        <f>--755941.45</f>
        <v>755941.45</v>
      </c>
      <c r="U15" s="2"/>
      <c r="V15" s="19"/>
      <c r="W15" s="2"/>
      <c r="X15" s="2">
        <f t="shared" si="2"/>
        <v>-74846.479999999981</v>
      </c>
      <c r="Y15" s="2"/>
      <c r="Z15" s="19">
        <f t="shared" si="3"/>
        <v>-9.9010948533117191E-2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--586.01</f>
        <v>586.01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586.01</v>
      </c>
      <c r="M16" s="2"/>
      <c r="N16" s="19">
        <f t="shared" si="1"/>
        <v>0</v>
      </c>
      <c r="O16" s="11"/>
      <c r="P16" s="2">
        <f>--16430.67</f>
        <v>16430.669999999998</v>
      </c>
      <c r="Q16" s="2"/>
      <c r="R16" s="19"/>
      <c r="S16" s="2"/>
      <c r="T16" s="2">
        <f>--9944.25</f>
        <v>9944.25</v>
      </c>
      <c r="U16" s="2"/>
      <c r="V16" s="19"/>
      <c r="W16" s="2"/>
      <c r="X16" s="2">
        <f t="shared" si="2"/>
        <v>6486.4199999999983</v>
      </c>
      <c r="Y16" s="2"/>
      <c r="Z16" s="19">
        <f t="shared" si="3"/>
        <v>0.65227845237197357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>
        <f>--56.78</f>
        <v>56.78</v>
      </c>
      <c r="I17" s="2"/>
      <c r="J17" s="19"/>
      <c r="K17" s="2"/>
      <c r="L17" s="2">
        <f t="shared" si="0"/>
        <v>-56.78</v>
      </c>
      <c r="M17" s="2"/>
      <c r="N17" s="19">
        <f t="shared" si="1"/>
        <v>-1</v>
      </c>
      <c r="O17" s="11"/>
      <c r="P17" s="2">
        <f>--30279.88</f>
        <v>30279.88</v>
      </c>
      <c r="Q17" s="2"/>
      <c r="R17" s="19"/>
      <c r="S17" s="2"/>
      <c r="T17" s="2">
        <f>--42682.1</f>
        <v>42682.1</v>
      </c>
      <c r="U17" s="2"/>
      <c r="V17" s="19"/>
      <c r="W17" s="2"/>
      <c r="X17" s="2">
        <f t="shared" si="2"/>
        <v>-12402.219999999998</v>
      </c>
      <c r="Y17" s="2"/>
      <c r="Z17" s="19">
        <f t="shared" si="3"/>
        <v>-0.29057192593616521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--3.62</f>
        <v>3.62</v>
      </c>
      <c r="E18" s="2"/>
      <c r="F18" s="19"/>
      <c r="G18" s="2"/>
      <c r="H18" s="2">
        <f>--0.52</f>
        <v>0.52</v>
      </c>
      <c r="I18" s="2"/>
      <c r="J18" s="19"/>
      <c r="K18" s="2"/>
      <c r="L18" s="2">
        <f t="shared" si="0"/>
        <v>3.1</v>
      </c>
      <c r="M18" s="2"/>
      <c r="N18" s="19">
        <f t="shared" si="1"/>
        <v>5.9615384615384617</v>
      </c>
      <c r="O18" s="11"/>
      <c r="P18" s="2">
        <f>--13.22</f>
        <v>13.22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7.3900000000000006</v>
      </c>
      <c r="Y18" s="2"/>
      <c r="Z18" s="19">
        <f t="shared" si="3"/>
        <v>1.2675814751286449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--167.6</f>
        <v>167.6</v>
      </c>
      <c r="E19" s="2"/>
      <c r="F19" s="19"/>
      <c r="G19" s="2"/>
      <c r="H19" s="2">
        <f>--192.11</f>
        <v>192.11</v>
      </c>
      <c r="I19" s="2"/>
      <c r="J19" s="19"/>
      <c r="K19" s="2"/>
      <c r="L19" s="2">
        <f t="shared" si="0"/>
        <v>-24.510000000000019</v>
      </c>
      <c r="M19" s="2"/>
      <c r="N19" s="19">
        <f t="shared" si="1"/>
        <v>-0.12758315548383747</v>
      </c>
      <c r="O19" s="11"/>
      <c r="P19" s="2">
        <f>--1280.32</f>
        <v>1280.32</v>
      </c>
      <c r="Q19" s="2"/>
      <c r="R19" s="19"/>
      <c r="S19" s="2"/>
      <c r="T19" s="2">
        <f>--2848.44</f>
        <v>2848.44</v>
      </c>
      <c r="U19" s="2"/>
      <c r="V19" s="19"/>
      <c r="W19" s="2"/>
      <c r="X19" s="2">
        <f t="shared" si="2"/>
        <v>-1568.1200000000001</v>
      </c>
      <c r="Y19" s="2"/>
      <c r="Z19" s="19">
        <f t="shared" si="3"/>
        <v>-0.55051888051003361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--109.34</f>
        <v>109.34</v>
      </c>
      <c r="E20" s="2"/>
      <c r="F20" s="19"/>
      <c r="G20" s="2"/>
      <c r="H20" s="2">
        <f>--66.52</f>
        <v>66.52</v>
      </c>
      <c r="I20" s="2"/>
      <c r="J20" s="19"/>
      <c r="K20" s="2"/>
      <c r="L20" s="2">
        <f t="shared" si="0"/>
        <v>42.820000000000007</v>
      </c>
      <c r="M20" s="2"/>
      <c r="N20" s="19">
        <f t="shared" si="1"/>
        <v>0.64371617558629002</v>
      </c>
      <c r="O20" s="11"/>
      <c r="P20" s="2">
        <f>--992.69</f>
        <v>992.69</v>
      </c>
      <c r="Q20" s="2"/>
      <c r="R20" s="19"/>
      <c r="S20" s="2"/>
      <c r="T20" s="2">
        <f>--1210.44</f>
        <v>1210.44</v>
      </c>
      <c r="U20" s="2"/>
      <c r="V20" s="19"/>
      <c r="W20" s="2"/>
      <c r="X20" s="2">
        <f t="shared" si="2"/>
        <v>-217.75</v>
      </c>
      <c r="Y20" s="2"/>
      <c r="Z20" s="19">
        <f t="shared" si="3"/>
        <v>-0.17989326195433064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>
        <f>--7.45</f>
        <v>7.45</v>
      </c>
      <c r="I21" s="2"/>
      <c r="J21" s="19"/>
      <c r="K21" s="2"/>
      <c r="L21" s="2">
        <f t="shared" si="0"/>
        <v>3.5300000000000002</v>
      </c>
      <c r="M21" s="2"/>
      <c r="N21" s="19">
        <f t="shared" si="1"/>
        <v>0.47382550335570472</v>
      </c>
      <c r="O21" s="11"/>
      <c r="P21" s="2">
        <f>--242.14</f>
        <v>242.14</v>
      </c>
      <c r="Q21" s="2"/>
      <c r="R21" s="19"/>
      <c r="S21" s="2"/>
      <c r="T21" s="2">
        <f>--651.02</f>
        <v>651.02</v>
      </c>
      <c r="U21" s="2"/>
      <c r="V21" s="19"/>
      <c r="W21" s="2"/>
      <c r="X21" s="2">
        <f t="shared" si="2"/>
        <v>-408.88</v>
      </c>
      <c r="Y21" s="2"/>
      <c r="Z21" s="19">
        <f t="shared" si="3"/>
        <v>-0.6280605818561642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--157.74</f>
        <v>157.74</v>
      </c>
      <c r="E22" s="2"/>
      <c r="F22" s="19"/>
      <c r="G22" s="2"/>
      <c r="H22" s="2">
        <f>--447.93</f>
        <v>447.93</v>
      </c>
      <c r="I22" s="2"/>
      <c r="J22" s="19"/>
      <c r="K22" s="2"/>
      <c r="L22" s="2">
        <f t="shared" si="0"/>
        <v>-290.19</v>
      </c>
      <c r="M22" s="2"/>
      <c r="N22" s="19">
        <f t="shared" si="1"/>
        <v>-0.64784676177081235</v>
      </c>
      <c r="O22" s="11"/>
      <c r="P22" s="2">
        <f>--2890.39</f>
        <v>2890.39</v>
      </c>
      <c r="Q22" s="2"/>
      <c r="R22" s="19"/>
      <c r="S22" s="2"/>
      <c r="T22" s="2">
        <f>--4167.48</f>
        <v>4167.4799999999996</v>
      </c>
      <c r="U22" s="2"/>
      <c r="V22" s="19"/>
      <c r="W22" s="2"/>
      <c r="X22" s="2">
        <f t="shared" si="2"/>
        <v>-1277.0899999999997</v>
      </c>
      <c r="Y22" s="2"/>
      <c r="Z22" s="19">
        <f t="shared" si="3"/>
        <v>-0.30644178256404347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--5.97</f>
        <v>5.97</v>
      </c>
      <c r="I23" s="2"/>
      <c r="J23" s="19"/>
      <c r="K23" s="2"/>
      <c r="L23" s="2">
        <f t="shared" si="0"/>
        <v>-5.97</v>
      </c>
      <c r="M23" s="2"/>
      <c r="N23" s="19">
        <f t="shared" si="1"/>
        <v>-1</v>
      </c>
      <c r="O23" s="11"/>
      <c r="P23" s="2">
        <f>--33.88</f>
        <v>33.880000000000003</v>
      </c>
      <c r="Q23" s="2"/>
      <c r="R23" s="19"/>
      <c r="S23" s="2"/>
      <c r="T23" s="2">
        <f>--60.45</f>
        <v>60.45</v>
      </c>
      <c r="U23" s="2"/>
      <c r="V23" s="19"/>
      <c r="W23" s="2"/>
      <c r="X23" s="2">
        <f t="shared" si="2"/>
        <v>-26.57</v>
      </c>
      <c r="Y23" s="2"/>
      <c r="Z23" s="19">
        <f t="shared" si="3"/>
        <v>-0.43953680727874272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--5588.38</f>
        <v>5588.38</v>
      </c>
      <c r="E24" s="2"/>
      <c r="F24" s="19"/>
      <c r="G24" s="2"/>
      <c r="H24" s="2">
        <f>--5824.07</f>
        <v>5824.07</v>
      </c>
      <c r="I24" s="2"/>
      <c r="J24" s="19"/>
      <c r="K24" s="2"/>
      <c r="L24" s="2">
        <f t="shared" si="0"/>
        <v>-235.6899999999996</v>
      </c>
      <c r="M24" s="2"/>
      <c r="N24" s="19">
        <f t="shared" si="1"/>
        <v>-4.0468263602600862E-2</v>
      </c>
      <c r="O24" s="11"/>
      <c r="P24" s="2">
        <f>--35133.1</f>
        <v>35133.1</v>
      </c>
      <c r="Q24" s="2"/>
      <c r="R24" s="19"/>
      <c r="S24" s="2"/>
      <c r="T24" s="2">
        <f>--33891.24</f>
        <v>33891.24</v>
      </c>
      <c r="U24" s="2"/>
      <c r="V24" s="19"/>
      <c r="W24" s="2"/>
      <c r="X24" s="2">
        <f t="shared" si="2"/>
        <v>1241.8600000000006</v>
      </c>
      <c r="Y24" s="2"/>
      <c r="Z24" s="19">
        <f t="shared" si="3"/>
        <v>3.6642507031315483E-2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--6254.22</f>
        <v>6254.22</v>
      </c>
      <c r="E25" s="2"/>
      <c r="F25" s="19"/>
      <c r="G25" s="2"/>
      <c r="H25" s="2">
        <f>--4791.23</f>
        <v>4791.2299999999996</v>
      </c>
      <c r="I25" s="2"/>
      <c r="J25" s="19"/>
      <c r="K25" s="2"/>
      <c r="L25" s="2">
        <f t="shared" si="0"/>
        <v>1462.9900000000007</v>
      </c>
      <c r="M25" s="2"/>
      <c r="N25" s="19">
        <f t="shared" si="1"/>
        <v>0.30534747862239986</v>
      </c>
      <c r="O25" s="11"/>
      <c r="P25" s="2">
        <f>--49928.17</f>
        <v>49928.17</v>
      </c>
      <c r="Q25" s="2"/>
      <c r="R25" s="19"/>
      <c r="S25" s="2"/>
      <c r="T25" s="2">
        <f>--42162.07</f>
        <v>42162.07</v>
      </c>
      <c r="U25" s="2"/>
      <c r="V25" s="19"/>
      <c r="W25" s="2"/>
      <c r="X25" s="2">
        <f t="shared" si="2"/>
        <v>7766.0999999999985</v>
      </c>
      <c r="Y25" s="2"/>
      <c r="Z25" s="19">
        <f t="shared" si="3"/>
        <v>0.18419636417282165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--10568.39</f>
        <v>10568.39</v>
      </c>
      <c r="E26" s="2"/>
      <c r="F26" s="19"/>
      <c r="G26" s="2"/>
      <c r="H26" s="2">
        <f>--8999.91</f>
        <v>8999.91</v>
      </c>
      <c r="I26" s="2"/>
      <c r="J26" s="19"/>
      <c r="K26" s="2"/>
      <c r="L26" s="2">
        <f t="shared" si="0"/>
        <v>1568.4799999999996</v>
      </c>
      <c r="M26" s="2"/>
      <c r="N26" s="19">
        <f t="shared" si="1"/>
        <v>0.1742772983285388</v>
      </c>
      <c r="O26" s="11"/>
      <c r="P26" s="2">
        <f>--165357.47</f>
        <v>165357.47</v>
      </c>
      <c r="Q26" s="2"/>
      <c r="R26" s="19"/>
      <c r="S26" s="2"/>
      <c r="T26" s="2">
        <f>--151191.99</f>
        <v>151191.99</v>
      </c>
      <c r="U26" s="2"/>
      <c r="V26" s="19"/>
      <c r="W26" s="2"/>
      <c r="X26" s="2">
        <f t="shared" si="2"/>
        <v>14165.48000000001</v>
      </c>
      <c r="Y26" s="2"/>
      <c r="Z26" s="19">
        <f t="shared" si="3"/>
        <v>9.3692000482300752E-2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--13684.86</f>
        <v>13684.86</v>
      </c>
      <c r="E27" s="2"/>
      <c r="F27" s="19"/>
      <c r="G27" s="2"/>
      <c r="H27" s="2">
        <f>--17860.47</f>
        <v>17860.47</v>
      </c>
      <c r="I27" s="2"/>
      <c r="J27" s="19"/>
      <c r="K27" s="2"/>
      <c r="L27" s="2">
        <f t="shared" si="0"/>
        <v>-4175.6100000000006</v>
      </c>
      <c r="M27" s="2"/>
      <c r="N27" s="19">
        <f t="shared" si="1"/>
        <v>-0.2337906001353828</v>
      </c>
      <c r="O27" s="11"/>
      <c r="P27" s="2">
        <f>--189637.57</f>
        <v>189637.57</v>
      </c>
      <c r="Q27" s="2"/>
      <c r="R27" s="19"/>
      <c r="S27" s="2"/>
      <c r="T27" s="2">
        <f>--196228.95</f>
        <v>196228.95</v>
      </c>
      <c r="U27" s="2"/>
      <c r="V27" s="19"/>
      <c r="W27" s="2"/>
      <c r="X27" s="2">
        <f t="shared" si="2"/>
        <v>-6591.3800000000047</v>
      </c>
      <c r="Y27" s="2"/>
      <c r="Z27" s="19">
        <f t="shared" si="3"/>
        <v>-3.3590252610534811E-2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--26.89</f>
        <v>26.89</v>
      </c>
      <c r="E28" s="2"/>
      <c r="F28" s="19"/>
      <c r="G28" s="2"/>
      <c r="H28" s="2">
        <f>--35.23</f>
        <v>35.229999999999997</v>
      </c>
      <c r="I28" s="2"/>
      <c r="J28" s="19"/>
      <c r="K28" s="2"/>
      <c r="L28" s="2">
        <f t="shared" si="0"/>
        <v>-8.3399999999999963</v>
      </c>
      <c r="M28" s="2"/>
      <c r="N28" s="19">
        <f t="shared" si="1"/>
        <v>-0.2367300596082883</v>
      </c>
      <c r="O28" s="11"/>
      <c r="P28" s="2">
        <f>--306.94</f>
        <v>306.94</v>
      </c>
      <c r="Q28" s="2"/>
      <c r="R28" s="19"/>
      <c r="S28" s="2"/>
      <c r="T28" s="2">
        <f>--323.52</f>
        <v>323.52</v>
      </c>
      <c r="U28" s="2"/>
      <c r="V28" s="19"/>
      <c r="W28" s="2"/>
      <c r="X28" s="2">
        <f t="shared" si="2"/>
        <v>-16.579999999999984</v>
      </c>
      <c r="Y28" s="2"/>
      <c r="Z28" s="19">
        <f t="shared" si="3"/>
        <v>-5.1248763600395604E-2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--203.26</f>
        <v>203.26</v>
      </c>
      <c r="E29" s="2"/>
      <c r="F29" s="19"/>
      <c r="G29" s="2"/>
      <c r="H29" s="2">
        <f>--27.67</f>
        <v>27.67</v>
      </c>
      <c r="I29" s="2"/>
      <c r="J29" s="19"/>
      <c r="K29" s="2"/>
      <c r="L29" s="2">
        <f t="shared" si="0"/>
        <v>175.58999999999997</v>
      </c>
      <c r="M29" s="2"/>
      <c r="N29" s="19">
        <f t="shared" si="1"/>
        <v>6.3458619443440538</v>
      </c>
      <c r="O29" s="11"/>
      <c r="P29" s="2">
        <f>--866.34</f>
        <v>866.34</v>
      </c>
      <c r="Q29" s="2"/>
      <c r="R29" s="19"/>
      <c r="S29" s="2"/>
      <c r="T29" s="2">
        <f>--243.61</f>
        <v>243.61</v>
      </c>
      <c r="U29" s="2"/>
      <c r="V29" s="19"/>
      <c r="W29" s="2"/>
      <c r="X29" s="2">
        <f t="shared" si="2"/>
        <v>622.73</v>
      </c>
      <c r="Y29" s="2"/>
      <c r="Z29" s="19">
        <f t="shared" si="3"/>
        <v>2.5562579532859897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--22.41</f>
        <v>22.41</v>
      </c>
      <c r="E30" s="2"/>
      <c r="F30" s="19"/>
      <c r="G30" s="2"/>
      <c r="H30" s="2">
        <f>--20.19</f>
        <v>20.190000000000001</v>
      </c>
      <c r="I30" s="2"/>
      <c r="J30" s="19"/>
      <c r="K30" s="2"/>
      <c r="L30" s="2">
        <f t="shared" si="0"/>
        <v>2.2199999999999989</v>
      </c>
      <c r="M30" s="2"/>
      <c r="N30" s="19">
        <f t="shared" si="1"/>
        <v>0.10995542347696874</v>
      </c>
      <c r="O30" s="11"/>
      <c r="P30" s="2">
        <f>--131.02</f>
        <v>131.02000000000001</v>
      </c>
      <c r="Q30" s="2"/>
      <c r="R30" s="19"/>
      <c r="S30" s="2"/>
      <c r="T30" s="2">
        <f>--112.45</f>
        <v>112.45</v>
      </c>
      <c r="U30" s="2"/>
      <c r="V30" s="19"/>
      <c r="W30" s="2"/>
      <c r="X30" s="2">
        <f t="shared" si="2"/>
        <v>18.570000000000007</v>
      </c>
      <c r="Y30" s="2"/>
      <c r="Z30" s="19">
        <f t="shared" si="3"/>
        <v>0.16514006224988889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--547.26</f>
        <v>547.26</v>
      </c>
      <c r="E31" s="2"/>
      <c r="F31" s="19"/>
      <c r="G31" s="2"/>
      <c r="H31" s="2">
        <f>--674.22</f>
        <v>674.22</v>
      </c>
      <c r="I31" s="2"/>
      <c r="J31" s="19"/>
      <c r="K31" s="2"/>
      <c r="L31" s="2">
        <f t="shared" si="0"/>
        <v>-126.96000000000004</v>
      </c>
      <c r="M31" s="2"/>
      <c r="N31" s="19">
        <f t="shared" si="1"/>
        <v>-0.18830648749666284</v>
      </c>
      <c r="O31" s="11"/>
      <c r="P31" s="2">
        <f>--5271.51</f>
        <v>5271.51</v>
      </c>
      <c r="Q31" s="2"/>
      <c r="R31" s="19"/>
      <c r="S31" s="2"/>
      <c r="T31" s="2">
        <f>--4427.53</f>
        <v>4427.53</v>
      </c>
      <c r="U31" s="2"/>
      <c r="V31" s="19"/>
      <c r="W31" s="2"/>
      <c r="X31" s="2">
        <f t="shared" si="2"/>
        <v>843.98000000000047</v>
      </c>
      <c r="Y31" s="2"/>
      <c r="Z31" s="19">
        <f t="shared" si="3"/>
        <v>0.19062095570216361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--133.49</f>
        <v>133.49</v>
      </c>
      <c r="E32" s="2"/>
      <c r="F32" s="19"/>
      <c r="G32" s="2"/>
      <c r="H32" s="2">
        <f>--199.7</f>
        <v>199.7</v>
      </c>
      <c r="I32" s="2"/>
      <c r="J32" s="19"/>
      <c r="K32" s="2"/>
      <c r="L32" s="2">
        <f t="shared" si="0"/>
        <v>-66.20999999999998</v>
      </c>
      <c r="M32" s="2"/>
      <c r="N32" s="19">
        <f t="shared" si="1"/>
        <v>-0.3315473209814721</v>
      </c>
      <c r="O32" s="11"/>
      <c r="P32" s="2">
        <f>--1267.09</f>
        <v>1267.0899999999999</v>
      </c>
      <c r="Q32" s="2"/>
      <c r="R32" s="19"/>
      <c r="S32" s="2"/>
      <c r="T32" s="2">
        <f>--1589.63</f>
        <v>1589.63</v>
      </c>
      <c r="U32" s="2"/>
      <c r="V32" s="19"/>
      <c r="W32" s="2"/>
      <c r="X32" s="2">
        <f t="shared" si="2"/>
        <v>-322.54000000000019</v>
      </c>
      <c r="Y32" s="2"/>
      <c r="Z32" s="19">
        <f t="shared" si="3"/>
        <v>-0.20290256223146277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--19.09</f>
        <v>19.09</v>
      </c>
      <c r="E33" s="2"/>
      <c r="F33" s="19"/>
      <c r="G33" s="2"/>
      <c r="H33" s="2">
        <f>--35.98</f>
        <v>35.979999999999997</v>
      </c>
      <c r="I33" s="2"/>
      <c r="J33" s="19"/>
      <c r="K33" s="2"/>
      <c r="L33" s="2">
        <f t="shared" si="0"/>
        <v>-16.889999999999997</v>
      </c>
      <c r="M33" s="2"/>
      <c r="N33" s="19">
        <f t="shared" si="1"/>
        <v>-0.46942745969983318</v>
      </c>
      <c r="O33" s="11"/>
      <c r="P33" s="2">
        <f>--396.26</f>
        <v>396.26</v>
      </c>
      <c r="Q33" s="2"/>
      <c r="R33" s="19"/>
      <c r="S33" s="2"/>
      <c r="T33" s="2">
        <f>--417.83</f>
        <v>417.83</v>
      </c>
      <c r="U33" s="2"/>
      <c r="V33" s="19"/>
      <c r="W33" s="2"/>
      <c r="X33" s="2">
        <f t="shared" si="2"/>
        <v>-21.569999999999993</v>
      </c>
      <c r="Y33" s="2"/>
      <c r="Z33" s="19">
        <f t="shared" si="3"/>
        <v>-5.1623866165665451E-2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--193654.24</f>
        <v>193654.24</v>
      </c>
      <c r="E34" s="2"/>
      <c r="F34" s="19"/>
      <c r="G34" s="2"/>
      <c r="H34" s="2">
        <f>--284644.7</f>
        <v>284644.7</v>
      </c>
      <c r="I34" s="2"/>
      <c r="J34" s="19"/>
      <c r="K34" s="2"/>
      <c r="L34" s="2">
        <f t="shared" si="0"/>
        <v>-90990.460000000021</v>
      </c>
      <c r="M34" s="2"/>
      <c r="N34" s="19">
        <f t="shared" si="1"/>
        <v>-0.31966328549240514</v>
      </c>
      <c r="O34" s="11"/>
      <c r="P34" s="2">
        <f>--1291791.18</f>
        <v>1291791.18</v>
      </c>
      <c r="Q34" s="2"/>
      <c r="R34" s="19"/>
      <c r="S34" s="2"/>
      <c r="T34" s="2">
        <f>--1197113.16</f>
        <v>1197113.1599999999</v>
      </c>
      <c r="U34" s="2"/>
      <c r="V34" s="19"/>
      <c r="W34" s="2"/>
      <c r="X34" s="2">
        <f t="shared" si="2"/>
        <v>94678.020000000019</v>
      </c>
      <c r="Y34" s="2"/>
      <c r="Z34" s="19">
        <f t="shared" si="3"/>
        <v>7.9088613477442699E-2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--37979.16</f>
        <v>37979.160000000003</v>
      </c>
      <c r="E35" s="2"/>
      <c r="F35" s="19"/>
      <c r="G35" s="2"/>
      <c r="H35" s="2">
        <f>--48682.15</f>
        <v>48682.15</v>
      </c>
      <c r="I35" s="2"/>
      <c r="J35" s="19"/>
      <c r="K35" s="2"/>
      <c r="L35" s="2">
        <f t="shared" si="0"/>
        <v>-10702.989999999998</v>
      </c>
      <c r="M35" s="2"/>
      <c r="N35" s="19">
        <f t="shared" si="1"/>
        <v>-0.21985450519338193</v>
      </c>
      <c r="O35" s="11"/>
      <c r="P35" s="2">
        <f>--296126.81</f>
        <v>296126.81</v>
      </c>
      <c r="Q35" s="2"/>
      <c r="R35" s="19"/>
      <c r="S35" s="2"/>
      <c r="T35" s="2">
        <f>--315831.86</f>
        <v>315831.86</v>
      </c>
      <c r="U35" s="2"/>
      <c r="V35" s="19"/>
      <c r="W35" s="2"/>
      <c r="X35" s="2">
        <f t="shared" si="2"/>
        <v>-19705.049999999988</v>
      </c>
      <c r="Y35" s="2"/>
      <c r="Z35" s="19">
        <f t="shared" si="3"/>
        <v>-6.2390950678630042E-2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--44973.91</f>
        <v>44973.91</v>
      </c>
      <c r="E36" s="2"/>
      <c r="F36" s="19"/>
      <c r="G36" s="2"/>
      <c r="H36" s="2">
        <f>--38647.38</f>
        <v>38647.379999999997</v>
      </c>
      <c r="I36" s="2"/>
      <c r="J36" s="19"/>
      <c r="K36" s="2"/>
      <c r="L36" s="2">
        <f t="shared" si="0"/>
        <v>6326.5300000000061</v>
      </c>
      <c r="M36" s="2"/>
      <c r="N36" s="19">
        <f t="shared" si="1"/>
        <v>0.16369880700839246</v>
      </c>
      <c r="O36" s="11"/>
      <c r="P36" s="2">
        <f>--199952.1</f>
        <v>199952.1</v>
      </c>
      <c r="Q36" s="2"/>
      <c r="R36" s="19"/>
      <c r="S36" s="2"/>
      <c r="T36" s="2">
        <f>--159218.21</f>
        <v>159218.21</v>
      </c>
      <c r="U36" s="2"/>
      <c r="V36" s="19"/>
      <c r="W36" s="2"/>
      <c r="X36" s="2">
        <f t="shared" si="2"/>
        <v>40733.890000000014</v>
      </c>
      <c r="Y36" s="2"/>
      <c r="Z36" s="19">
        <f t="shared" si="3"/>
        <v>0.25583687946246864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--9497.44</f>
        <v>9497.44</v>
      </c>
      <c r="E37" s="2"/>
      <c r="F37" s="19"/>
      <c r="G37" s="2"/>
      <c r="H37" s="2">
        <f>--540.59</f>
        <v>540.59</v>
      </c>
      <c r="I37" s="2"/>
      <c r="J37" s="19"/>
      <c r="K37" s="2"/>
      <c r="L37" s="2">
        <f t="shared" si="0"/>
        <v>8956.85</v>
      </c>
      <c r="M37" s="2"/>
      <c r="N37" s="19">
        <f t="shared" si="1"/>
        <v>16.568656467933184</v>
      </c>
      <c r="O37" s="11"/>
      <c r="P37" s="2">
        <f>--14320.46</f>
        <v>14320.46</v>
      </c>
      <c r="Q37" s="2"/>
      <c r="R37" s="19"/>
      <c r="S37" s="2"/>
      <c r="T37" s="2">
        <f>--2173.67</f>
        <v>2173.67</v>
      </c>
      <c r="U37" s="2"/>
      <c r="V37" s="19"/>
      <c r="W37" s="2"/>
      <c r="X37" s="2">
        <f t="shared" si="2"/>
        <v>12146.789999999999</v>
      </c>
      <c r="Y37" s="2"/>
      <c r="Z37" s="19">
        <f t="shared" si="3"/>
        <v>5.588148154963724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--5438.42</f>
        <v>5438.42</v>
      </c>
      <c r="E38" s="2"/>
      <c r="F38" s="19"/>
      <c r="G38" s="2"/>
      <c r="H38" s="2">
        <f>--6002.11</f>
        <v>6002.11</v>
      </c>
      <c r="I38" s="2"/>
      <c r="J38" s="19"/>
      <c r="K38" s="2"/>
      <c r="L38" s="2">
        <f t="shared" si="0"/>
        <v>-563.6899999999996</v>
      </c>
      <c r="M38" s="2"/>
      <c r="N38" s="19">
        <f t="shared" si="1"/>
        <v>-9.3915306450564826E-2</v>
      </c>
      <c r="O38" s="11"/>
      <c r="P38" s="2">
        <f>--46736.2</f>
        <v>46736.2</v>
      </c>
      <c r="Q38" s="2"/>
      <c r="R38" s="19"/>
      <c r="S38" s="2"/>
      <c r="T38" s="2">
        <f>--45727.06</f>
        <v>45727.06</v>
      </c>
      <c r="U38" s="2"/>
      <c r="V38" s="19"/>
      <c r="W38" s="2"/>
      <c r="X38" s="2">
        <f t="shared" si="2"/>
        <v>1009.1399999999994</v>
      </c>
      <c r="Y38" s="2"/>
      <c r="Z38" s="19">
        <f t="shared" si="3"/>
        <v>2.2068770657899271E-2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--6487.38</f>
        <v>6487.38</v>
      </c>
      <c r="E39" s="2"/>
      <c r="F39" s="19"/>
      <c r="G39" s="2"/>
      <c r="H39" s="2">
        <f>--5090.77</f>
        <v>5090.7700000000004</v>
      </c>
      <c r="I39" s="2"/>
      <c r="J39" s="19"/>
      <c r="K39" s="2"/>
      <c r="L39" s="2">
        <f t="shared" si="0"/>
        <v>1396.6099999999997</v>
      </c>
      <c r="M39" s="2"/>
      <c r="N39" s="19">
        <f t="shared" si="1"/>
        <v>0.27434160254735523</v>
      </c>
      <c r="O39" s="11"/>
      <c r="P39" s="2">
        <f>--61005.82</f>
        <v>61005.82</v>
      </c>
      <c r="Q39" s="2"/>
      <c r="R39" s="19"/>
      <c r="S39" s="2"/>
      <c r="T39" s="2">
        <f>--68254.49</f>
        <v>68254.490000000005</v>
      </c>
      <c r="U39" s="2"/>
      <c r="V39" s="19"/>
      <c r="W39" s="2"/>
      <c r="X39" s="2">
        <f t="shared" si="2"/>
        <v>-7248.6700000000055</v>
      </c>
      <c r="Y39" s="2"/>
      <c r="Z39" s="19">
        <f t="shared" si="3"/>
        <v>-0.1062006323686545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--115.39</f>
        <v>115.39</v>
      </c>
      <c r="E40" s="2"/>
      <c r="F40" s="19"/>
      <c r="G40" s="2"/>
      <c r="H40" s="2">
        <f>--282.87</f>
        <v>282.87</v>
      </c>
      <c r="I40" s="2"/>
      <c r="J40" s="19"/>
      <c r="K40" s="2"/>
      <c r="L40" s="2">
        <f t="shared" si="0"/>
        <v>-167.48000000000002</v>
      </c>
      <c r="M40" s="2"/>
      <c r="N40" s="19">
        <f t="shared" si="1"/>
        <v>-0.59207409764202645</v>
      </c>
      <c r="O40" s="11"/>
      <c r="P40" s="2">
        <f>--1793.94</f>
        <v>1793.94</v>
      </c>
      <c r="Q40" s="2"/>
      <c r="R40" s="19"/>
      <c r="S40" s="2"/>
      <c r="T40" s="2">
        <f>--1892.28</f>
        <v>1892.28</v>
      </c>
      <c r="U40" s="2"/>
      <c r="V40" s="19"/>
      <c r="W40" s="2"/>
      <c r="X40" s="2">
        <f t="shared" si="2"/>
        <v>-98.339999999999918</v>
      </c>
      <c r="Y40" s="2"/>
      <c r="Z40" s="19">
        <f t="shared" si="3"/>
        <v>-5.1969053205656625E-2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--14865.23</f>
        <v>14865.23</v>
      </c>
      <c r="E41" s="2"/>
      <c r="F41" s="19"/>
      <c r="G41" s="2"/>
      <c r="H41" s="2">
        <f>--6064.72</f>
        <v>6064.72</v>
      </c>
      <c r="I41" s="2"/>
      <c r="J41" s="19"/>
      <c r="K41" s="2"/>
      <c r="L41" s="2">
        <f t="shared" si="0"/>
        <v>8800.5099999999984</v>
      </c>
      <c r="M41" s="2"/>
      <c r="N41" s="19">
        <f t="shared" si="1"/>
        <v>1.4510991439011196</v>
      </c>
      <c r="O41" s="11"/>
      <c r="P41" s="2">
        <f>--246669.48</f>
        <v>246669.48</v>
      </c>
      <c r="Q41" s="2"/>
      <c r="R41" s="19"/>
      <c r="S41" s="2"/>
      <c r="T41" s="2">
        <f>--183503.81</f>
        <v>183503.81</v>
      </c>
      <c r="U41" s="2"/>
      <c r="V41" s="19"/>
      <c r="W41" s="2"/>
      <c r="X41" s="2">
        <f t="shared" si="2"/>
        <v>63165.670000000013</v>
      </c>
      <c r="Y41" s="2"/>
      <c r="Z41" s="19">
        <f t="shared" si="3"/>
        <v>0.34421993744980017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--59585.42</f>
        <v>59585.42</v>
      </c>
      <c r="E42" s="2"/>
      <c r="F42" s="19"/>
      <c r="G42" s="2"/>
      <c r="H42" s="2">
        <f>--141900</f>
        <v>141900</v>
      </c>
      <c r="I42" s="2"/>
      <c r="J42" s="19"/>
      <c r="K42" s="2"/>
      <c r="L42" s="2">
        <f t="shared" si="0"/>
        <v>-82314.58</v>
      </c>
      <c r="M42" s="2"/>
      <c r="N42" s="19">
        <f t="shared" si="1"/>
        <v>-0.5800886539816773</v>
      </c>
      <c r="O42" s="11"/>
      <c r="P42" s="2">
        <f>--1342516.26</f>
        <v>1342516.26</v>
      </c>
      <c r="Q42" s="2"/>
      <c r="R42" s="19"/>
      <c r="S42" s="2"/>
      <c r="T42" s="2">
        <f>--1102345.91</f>
        <v>1102345.9099999999</v>
      </c>
      <c r="U42" s="2"/>
      <c r="V42" s="19"/>
      <c r="W42" s="2"/>
      <c r="X42" s="2">
        <f t="shared" si="2"/>
        <v>240170.35000000009</v>
      </c>
      <c r="Y42" s="2"/>
      <c r="Z42" s="19">
        <f t="shared" si="3"/>
        <v>0.21787203800665447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--7057.06</f>
        <v>7057.06</v>
      </c>
      <c r="E43" s="2"/>
      <c r="F43" s="19"/>
      <c r="G43" s="2"/>
      <c r="H43" s="2">
        <f>--8285.09</f>
        <v>8285.09</v>
      </c>
      <c r="I43" s="2"/>
      <c r="J43" s="19"/>
      <c r="K43" s="2"/>
      <c r="L43" s="2">
        <f t="shared" si="0"/>
        <v>-1228.0299999999997</v>
      </c>
      <c r="M43" s="2"/>
      <c r="N43" s="19">
        <f t="shared" si="1"/>
        <v>-0.14822168497867852</v>
      </c>
      <c r="O43" s="11"/>
      <c r="P43" s="2">
        <f>--71130.68</f>
        <v>71130.679999999993</v>
      </c>
      <c r="Q43" s="2"/>
      <c r="R43" s="19"/>
      <c r="S43" s="2"/>
      <c r="T43" s="2">
        <f>--78004.42</f>
        <v>78004.42</v>
      </c>
      <c r="U43" s="2"/>
      <c r="V43" s="19"/>
      <c r="W43" s="2"/>
      <c r="X43" s="2">
        <f t="shared" si="2"/>
        <v>-6873.7400000000052</v>
      </c>
      <c r="Y43" s="2"/>
      <c r="Z43" s="19">
        <f t="shared" si="3"/>
        <v>-8.8119878335099544E-2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4">0</f>
        <v>0</v>
      </c>
      <c r="E44" s="2"/>
      <c r="F44" s="19"/>
      <c r="G44" s="2"/>
      <c r="H44" s="2">
        <f>--1077</f>
        <v>1077</v>
      </c>
      <c r="I44" s="2"/>
      <c r="J44" s="19"/>
      <c r="K44" s="2"/>
      <c r="L44" s="2">
        <f t="shared" si="0"/>
        <v>-1077</v>
      </c>
      <c r="M44" s="2"/>
      <c r="N44" s="19">
        <f t="shared" si="1"/>
        <v>-1</v>
      </c>
      <c r="O44" s="11"/>
      <c r="P44" s="2">
        <f>--129</f>
        <v>129</v>
      </c>
      <c r="Q44" s="2"/>
      <c r="R44" s="19"/>
      <c r="S44" s="2"/>
      <c r="T44" s="2">
        <f>--1484.99</f>
        <v>1484.99</v>
      </c>
      <c r="U44" s="2"/>
      <c r="V44" s="19"/>
      <c r="W44" s="2"/>
      <c r="X44" s="2">
        <f t="shared" si="2"/>
        <v>-1355.99</v>
      </c>
      <c r="Y44" s="2"/>
      <c r="Z44" s="19">
        <f t="shared" si="3"/>
        <v>-0.91313072815305152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4"/>
        <v>0</v>
      </c>
      <c r="E45" s="2"/>
      <c r="F45" s="19"/>
      <c r="G45" s="2"/>
      <c r="H45" s="2">
        <f>--389.97</f>
        <v>389.97</v>
      </c>
      <c r="I45" s="2"/>
      <c r="J45" s="19"/>
      <c r="K45" s="2"/>
      <c r="L45" s="2">
        <f t="shared" si="0"/>
        <v>-389.97</v>
      </c>
      <c r="M45" s="2"/>
      <c r="N45" s="19">
        <f t="shared" si="1"/>
        <v>-1</v>
      </c>
      <c r="O45" s="11"/>
      <c r="P45" s="2">
        <f>--4407.94</f>
        <v>4407.9399999999996</v>
      </c>
      <c r="Q45" s="2"/>
      <c r="R45" s="19"/>
      <c r="S45" s="2"/>
      <c r="T45" s="2">
        <f>--9828.81</f>
        <v>9828.81</v>
      </c>
      <c r="U45" s="2"/>
      <c r="V45" s="19"/>
      <c r="W45" s="2"/>
      <c r="X45" s="2">
        <f t="shared" si="2"/>
        <v>-5420.87</v>
      </c>
      <c r="Y45" s="2"/>
      <c r="Z45" s="19">
        <f t="shared" si="3"/>
        <v>-0.55152861841870993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--2769.54</f>
        <v>2769.54</v>
      </c>
      <c r="E46" s="2"/>
      <c r="F46" s="19"/>
      <c r="G46" s="2"/>
      <c r="H46" s="2">
        <f>--7080.49</f>
        <v>7080.49</v>
      </c>
      <c r="I46" s="2"/>
      <c r="J46" s="19"/>
      <c r="K46" s="2"/>
      <c r="L46" s="2">
        <f t="shared" si="0"/>
        <v>-4310.95</v>
      </c>
      <c r="M46" s="2"/>
      <c r="N46" s="19">
        <f t="shared" si="1"/>
        <v>-0.60884910507606116</v>
      </c>
      <c r="O46" s="11"/>
      <c r="P46" s="2">
        <f>--33777.24</f>
        <v>33777.24</v>
      </c>
      <c r="Q46" s="2"/>
      <c r="R46" s="19"/>
      <c r="S46" s="2"/>
      <c r="T46" s="2">
        <f>--43920.15</f>
        <v>43920.15</v>
      </c>
      <c r="U46" s="2"/>
      <c r="V46" s="19"/>
      <c r="W46" s="2"/>
      <c r="X46" s="2">
        <f t="shared" si="2"/>
        <v>-10142.910000000003</v>
      </c>
      <c r="Y46" s="2"/>
      <c r="Z46" s="19">
        <f t="shared" si="3"/>
        <v>-0.23093978504171783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0</f>
        <v>0</v>
      </c>
      <c r="E47" s="2"/>
      <c r="F47" s="19"/>
      <c r="G47" s="2"/>
      <c r="H47" s="2">
        <f>--4.99</f>
        <v>4.99</v>
      </c>
      <c r="I47" s="2"/>
      <c r="J47" s="19"/>
      <c r="K47" s="2"/>
      <c r="L47" s="2">
        <f t="shared" si="0"/>
        <v>-4.99</v>
      </c>
      <c r="M47" s="2"/>
      <c r="N47" s="19">
        <f t="shared" si="1"/>
        <v>-1</v>
      </c>
      <c r="O47" s="11"/>
      <c r="P47" s="2">
        <f>--936.91</f>
        <v>936.91</v>
      </c>
      <c r="Q47" s="2"/>
      <c r="R47" s="19"/>
      <c r="S47" s="2"/>
      <c r="T47" s="2">
        <f>--1284.85</f>
        <v>1284.8499999999999</v>
      </c>
      <c r="U47" s="2"/>
      <c r="V47" s="19"/>
      <c r="W47" s="2"/>
      <c r="X47" s="2">
        <f t="shared" si="2"/>
        <v>-347.93999999999994</v>
      </c>
      <c r="Y47" s="2"/>
      <c r="Z47" s="19">
        <f t="shared" si="3"/>
        <v>-0.27080203914853873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--218.75</f>
        <v>218.75</v>
      </c>
      <c r="E48" s="2"/>
      <c r="F48" s="19"/>
      <c r="G48" s="2"/>
      <c r="H48" s="2">
        <f>--334.6</f>
        <v>334.6</v>
      </c>
      <c r="I48" s="2"/>
      <c r="J48" s="19"/>
      <c r="K48" s="2"/>
      <c r="L48" s="2">
        <f t="shared" si="0"/>
        <v>-115.85000000000002</v>
      </c>
      <c r="M48" s="2"/>
      <c r="N48" s="19">
        <f t="shared" si="1"/>
        <v>-0.34623430962343099</v>
      </c>
      <c r="O48" s="11"/>
      <c r="P48" s="2">
        <f>--7659.37</f>
        <v>7659.37</v>
      </c>
      <c r="Q48" s="2"/>
      <c r="R48" s="19"/>
      <c r="S48" s="2"/>
      <c r="T48" s="2">
        <f>--6961.06</f>
        <v>6961.06</v>
      </c>
      <c r="U48" s="2"/>
      <c r="V48" s="19"/>
      <c r="W48" s="2"/>
      <c r="X48" s="2">
        <f t="shared" si="2"/>
        <v>698.30999999999949</v>
      </c>
      <c r="Y48" s="2"/>
      <c r="Z48" s="19">
        <f t="shared" si="3"/>
        <v>0.10031661844604119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--20.89</f>
        <v>20.89</v>
      </c>
      <c r="E49" s="2"/>
      <c r="F49" s="19"/>
      <c r="G49" s="2"/>
      <c r="H49" s="2">
        <f>--95.14</f>
        <v>95.14</v>
      </c>
      <c r="I49" s="2"/>
      <c r="J49" s="19"/>
      <c r="K49" s="2"/>
      <c r="L49" s="2">
        <f t="shared" si="0"/>
        <v>-74.25</v>
      </c>
      <c r="M49" s="2"/>
      <c r="N49" s="19">
        <f t="shared" si="1"/>
        <v>-0.78042884170695814</v>
      </c>
      <c r="O49" s="11"/>
      <c r="P49" s="2">
        <f>--297.33</f>
        <v>297.33</v>
      </c>
      <c r="Q49" s="2"/>
      <c r="R49" s="19"/>
      <c r="S49" s="2"/>
      <c r="T49" s="2">
        <f>--1332.78</f>
        <v>1332.78</v>
      </c>
      <c r="U49" s="2"/>
      <c r="V49" s="19"/>
      <c r="W49" s="2"/>
      <c r="X49" s="2">
        <f t="shared" si="2"/>
        <v>-1035.45</v>
      </c>
      <c r="Y49" s="2"/>
      <c r="Z49" s="19">
        <f t="shared" si="3"/>
        <v>-0.77690991761581063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--87.99</f>
        <v>87.99</v>
      </c>
      <c r="E50" s="2"/>
      <c r="F50" s="19"/>
      <c r="G50" s="2"/>
      <c r="H50" s="2">
        <f>-154.35</f>
        <v>-154.35</v>
      </c>
      <c r="I50" s="2"/>
      <c r="J50" s="19"/>
      <c r="K50" s="2"/>
      <c r="L50" s="2">
        <f t="shared" si="0"/>
        <v>242.33999999999997</v>
      </c>
      <c r="M50" s="2"/>
      <c r="N50" s="19">
        <f t="shared" si="1"/>
        <v>-1.5700680272108842</v>
      </c>
      <c r="O50" s="11"/>
      <c r="P50" s="2">
        <f>--335928.55</f>
        <v>335928.55</v>
      </c>
      <c r="Q50" s="2"/>
      <c r="R50" s="19"/>
      <c r="S50" s="2"/>
      <c r="T50" s="2">
        <f>--390585.92</f>
        <v>390585.92</v>
      </c>
      <c r="U50" s="2"/>
      <c r="V50" s="19"/>
      <c r="W50" s="2"/>
      <c r="X50" s="2">
        <f t="shared" si="2"/>
        <v>-54657.369999999995</v>
      </c>
      <c r="Y50" s="2"/>
      <c r="Z50" s="19">
        <f t="shared" si="3"/>
        <v>-0.13993686715588724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--2606.82</f>
        <v>2606.8200000000002</v>
      </c>
      <c r="E51" s="2"/>
      <c r="F51" s="19"/>
      <c r="G51" s="2"/>
      <c r="H51" s="2">
        <f>--45608.9</f>
        <v>45608.9</v>
      </c>
      <c r="I51" s="2"/>
      <c r="J51" s="19"/>
      <c r="K51" s="2"/>
      <c r="L51" s="2">
        <f t="shared" si="0"/>
        <v>-43002.080000000002</v>
      </c>
      <c r="M51" s="2"/>
      <c r="N51" s="19">
        <f t="shared" si="1"/>
        <v>-0.94284405017441775</v>
      </c>
      <c r="O51" s="11"/>
      <c r="P51" s="2">
        <f>--95287.57</f>
        <v>95287.57</v>
      </c>
      <c r="Q51" s="2"/>
      <c r="R51" s="19"/>
      <c r="S51" s="2"/>
      <c r="T51" s="2">
        <f>--194261.23</f>
        <v>194261.23</v>
      </c>
      <c r="U51" s="2"/>
      <c r="V51" s="19"/>
      <c r="W51" s="2"/>
      <c r="X51" s="2">
        <f t="shared" si="2"/>
        <v>-98973.66</v>
      </c>
      <c r="Y51" s="2"/>
      <c r="Z51" s="19">
        <f t="shared" si="3"/>
        <v>-0.50948745665823281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--595.75</f>
        <v>595.75</v>
      </c>
      <c r="E52" s="2"/>
      <c r="F52" s="19"/>
      <c r="G52" s="2"/>
      <c r="H52" s="2">
        <f>--3095.04</f>
        <v>3095.04</v>
      </c>
      <c r="I52" s="2"/>
      <c r="J52" s="19"/>
      <c r="K52" s="2"/>
      <c r="L52" s="2">
        <f t="shared" si="0"/>
        <v>-2499.29</v>
      </c>
      <c r="M52" s="2"/>
      <c r="N52" s="19">
        <f t="shared" si="1"/>
        <v>-0.80751460401157982</v>
      </c>
      <c r="O52" s="11"/>
      <c r="P52" s="2">
        <f>--38202.59</f>
        <v>38202.589999999997</v>
      </c>
      <c r="Q52" s="2"/>
      <c r="R52" s="19"/>
      <c r="S52" s="2"/>
      <c r="T52" s="2">
        <f>--53955.66</f>
        <v>53955.66</v>
      </c>
      <c r="U52" s="2"/>
      <c r="V52" s="19"/>
      <c r="W52" s="2"/>
      <c r="X52" s="2">
        <f t="shared" si="2"/>
        <v>-15753.070000000007</v>
      </c>
      <c r="Y52" s="2"/>
      <c r="Z52" s="19">
        <f t="shared" si="3"/>
        <v>-0.29196325278942015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--329.98</f>
        <v>329.98</v>
      </c>
      <c r="Q53" s="2"/>
      <c r="R53" s="19"/>
      <c r="S53" s="2"/>
      <c r="T53" s="2">
        <f>--509.85</f>
        <v>509.85</v>
      </c>
      <c r="U53" s="2"/>
      <c r="V53" s="19"/>
      <c r="W53" s="2"/>
      <c r="X53" s="2">
        <f t="shared" si="2"/>
        <v>-179.87</v>
      </c>
      <c r="Y53" s="2"/>
      <c r="Z53" s="19">
        <f t="shared" si="3"/>
        <v>-0.35279003628518191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--12189.74</f>
        <v>12189.74</v>
      </c>
      <c r="E54" s="2"/>
      <c r="F54" s="19"/>
      <c r="G54" s="2"/>
      <c r="H54" s="2">
        <f>--3241.51</f>
        <v>3241.51</v>
      </c>
      <c r="I54" s="2"/>
      <c r="J54" s="19"/>
      <c r="K54" s="2"/>
      <c r="L54" s="2">
        <f t="shared" si="0"/>
        <v>8948.23</v>
      </c>
      <c r="M54" s="2"/>
      <c r="N54" s="19">
        <f t="shared" si="1"/>
        <v>2.7605128474075351</v>
      </c>
      <c r="O54" s="11"/>
      <c r="P54" s="2">
        <f>--332888.83</f>
        <v>332888.83</v>
      </c>
      <c r="Q54" s="2"/>
      <c r="R54" s="19"/>
      <c r="S54" s="2"/>
      <c r="T54" s="2">
        <f>--340965.12</f>
        <v>340965.12</v>
      </c>
      <c r="U54" s="2"/>
      <c r="V54" s="19"/>
      <c r="W54" s="2"/>
      <c r="X54" s="2">
        <f t="shared" si="2"/>
        <v>-8076.289999999979</v>
      </c>
      <c r="Y54" s="2"/>
      <c r="Z54" s="19">
        <f t="shared" si="3"/>
        <v>-2.3686557733529984E-2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--431.78</f>
        <v>431.78</v>
      </c>
      <c r="E55" s="2"/>
      <c r="F55" s="19"/>
      <c r="G55" s="2"/>
      <c r="H55" s="2">
        <f>--1236.5</f>
        <v>1236.5</v>
      </c>
      <c r="I55" s="2"/>
      <c r="J55" s="19"/>
      <c r="K55" s="2"/>
      <c r="L55" s="2">
        <f t="shared" si="0"/>
        <v>-804.72</v>
      </c>
      <c r="M55" s="2"/>
      <c r="N55" s="19">
        <f t="shared" si="1"/>
        <v>-0.6508046906591185</v>
      </c>
      <c r="O55" s="11"/>
      <c r="P55" s="2">
        <f>--8023.97</f>
        <v>8023.97</v>
      </c>
      <c r="Q55" s="2"/>
      <c r="R55" s="19"/>
      <c r="S55" s="2"/>
      <c r="T55" s="2">
        <f>--11154.48</f>
        <v>11154.48</v>
      </c>
      <c r="U55" s="2"/>
      <c r="V55" s="19"/>
      <c r="W55" s="2"/>
      <c r="X55" s="2">
        <f t="shared" si="2"/>
        <v>-3130.5099999999993</v>
      </c>
      <c r="Y55" s="2"/>
      <c r="Z55" s="19">
        <f t="shared" si="3"/>
        <v>-0.28065046510460367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0</f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--1146.72</f>
        <v>1146.72</v>
      </c>
      <c r="Q56" s="2"/>
      <c r="R56" s="19"/>
      <c r="S56" s="2"/>
      <c r="T56" s="2">
        <f>--38.23</f>
        <v>38.229999999999997</v>
      </c>
      <c r="U56" s="2"/>
      <c r="V56" s="19"/>
      <c r="W56" s="2"/>
      <c r="X56" s="2">
        <f t="shared" si="2"/>
        <v>1108.49</v>
      </c>
      <c r="Y56" s="2"/>
      <c r="Z56" s="19">
        <f t="shared" si="3"/>
        <v>28.995291655767723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--6.95</f>
        <v>6.95</v>
      </c>
      <c r="E57" s="2"/>
      <c r="F57" s="19"/>
      <c r="G57" s="2"/>
      <c r="H57" s="2">
        <f>--10.89</f>
        <v>10.89</v>
      </c>
      <c r="I57" s="2"/>
      <c r="J57" s="19"/>
      <c r="K57" s="2"/>
      <c r="L57" s="2">
        <f t="shared" si="0"/>
        <v>-3.9400000000000004</v>
      </c>
      <c r="M57" s="2"/>
      <c r="N57" s="19">
        <f t="shared" si="1"/>
        <v>-0.36179981634527092</v>
      </c>
      <c r="O57" s="11"/>
      <c r="P57" s="2">
        <f>--41.91</f>
        <v>41.91</v>
      </c>
      <c r="Q57" s="2"/>
      <c r="R57" s="19"/>
      <c r="S57" s="2"/>
      <c r="T57" s="2">
        <f>--132.64</f>
        <v>132.63999999999999</v>
      </c>
      <c r="U57" s="2"/>
      <c r="V57" s="19"/>
      <c r="W57" s="2"/>
      <c r="X57" s="2">
        <f t="shared" si="2"/>
        <v>-90.72999999999999</v>
      </c>
      <c r="Y57" s="2"/>
      <c r="Z57" s="19">
        <f t="shared" si="3"/>
        <v>-0.68403196622436668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0</f>
        <v>0</v>
      </c>
      <c r="E58" s="2"/>
      <c r="F58" s="19"/>
      <c r="G58" s="2"/>
      <c r="H58" s="2">
        <f>--11.31</f>
        <v>11.31</v>
      </c>
      <c r="I58" s="2"/>
      <c r="J58" s="19"/>
      <c r="K58" s="2"/>
      <c r="L58" s="2">
        <f t="shared" si="0"/>
        <v>-11.31</v>
      </c>
      <c r="M58" s="2"/>
      <c r="N58" s="19">
        <f t="shared" si="1"/>
        <v>-1</v>
      </c>
      <c r="O58" s="11"/>
      <c r="P58" s="2">
        <f>--124.18</f>
        <v>124.18</v>
      </c>
      <c r="Q58" s="2"/>
      <c r="R58" s="19"/>
      <c r="S58" s="2"/>
      <c r="T58" s="2">
        <f>--172.04</f>
        <v>172.04</v>
      </c>
      <c r="U58" s="2"/>
      <c r="V58" s="19"/>
      <c r="W58" s="2"/>
      <c r="X58" s="2">
        <f t="shared" si="2"/>
        <v>-47.859999999999985</v>
      </c>
      <c r="Y58" s="2"/>
      <c r="Z58" s="19">
        <f t="shared" si="3"/>
        <v>-0.27819111834457094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--38.73</f>
        <v>38.729999999999997</v>
      </c>
      <c r="E59" s="2"/>
      <c r="F59" s="19"/>
      <c r="G59" s="2"/>
      <c r="H59" s="2">
        <f>--192.74</f>
        <v>192.74</v>
      </c>
      <c r="I59" s="2"/>
      <c r="J59" s="19"/>
      <c r="K59" s="2"/>
      <c r="L59" s="2">
        <f t="shared" si="0"/>
        <v>-154.01000000000002</v>
      </c>
      <c r="M59" s="2"/>
      <c r="N59" s="19">
        <f t="shared" si="1"/>
        <v>-0.79905572273529113</v>
      </c>
      <c r="O59" s="11"/>
      <c r="P59" s="2">
        <f>--1509.11</f>
        <v>1509.11</v>
      </c>
      <c r="Q59" s="2"/>
      <c r="R59" s="19"/>
      <c r="S59" s="2"/>
      <c r="T59" s="2">
        <f>--2005.43</f>
        <v>2005.43</v>
      </c>
      <c r="U59" s="2"/>
      <c r="V59" s="19"/>
      <c r="W59" s="2"/>
      <c r="X59" s="2">
        <f t="shared" si="2"/>
        <v>-496.32000000000016</v>
      </c>
      <c r="Y59" s="2"/>
      <c r="Z59" s="19">
        <f t="shared" si="3"/>
        <v>-0.24748806989024805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 t="shared" ref="D60:D61" si="5">0</f>
        <v>0</v>
      </c>
      <c r="E60" s="2"/>
      <c r="F60" s="19"/>
      <c r="G60" s="2"/>
      <c r="H60" s="2">
        <f>--721.23</f>
        <v>721.23</v>
      </c>
      <c r="I60" s="2"/>
      <c r="J60" s="19"/>
      <c r="K60" s="2"/>
      <c r="L60" s="2">
        <f t="shared" si="0"/>
        <v>-721.23</v>
      </c>
      <c r="M60" s="2"/>
      <c r="N60" s="19">
        <f t="shared" si="1"/>
        <v>-1</v>
      </c>
      <c r="O60" s="11"/>
      <c r="P60" s="2">
        <f>--2603.4</f>
        <v>2603.4</v>
      </c>
      <c r="Q60" s="2"/>
      <c r="R60" s="19"/>
      <c r="S60" s="2"/>
      <c r="T60" s="2">
        <f>--9446.53</f>
        <v>9446.5300000000007</v>
      </c>
      <c r="U60" s="2"/>
      <c r="V60" s="19"/>
      <c r="W60" s="2"/>
      <c r="X60" s="2">
        <f t="shared" si="2"/>
        <v>-6843.130000000001</v>
      </c>
      <c r="Y60" s="2"/>
      <c r="Z60" s="19">
        <f t="shared" si="3"/>
        <v>-0.72440673982933423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 t="shared" si="5"/>
        <v>0</v>
      </c>
      <c r="E61" s="2"/>
      <c r="F61" s="19"/>
      <c r="G61" s="2"/>
      <c r="H61" s="2">
        <f>--31.29</f>
        <v>31.29</v>
      </c>
      <c r="I61" s="2"/>
      <c r="J61" s="19"/>
      <c r="K61" s="2"/>
      <c r="L61" s="2">
        <f t="shared" si="0"/>
        <v>-31.29</v>
      </c>
      <c r="M61" s="2"/>
      <c r="N61" s="19">
        <f t="shared" si="1"/>
        <v>-1</v>
      </c>
      <c r="O61" s="11"/>
      <c r="P61" s="2">
        <f>--348.72</f>
        <v>348.72</v>
      </c>
      <c r="Q61" s="2"/>
      <c r="R61" s="19"/>
      <c r="S61" s="2"/>
      <c r="T61" s="2">
        <f>--656.99</f>
        <v>656.99</v>
      </c>
      <c r="U61" s="2"/>
      <c r="V61" s="19"/>
      <c r="W61" s="2"/>
      <c r="X61" s="2">
        <f t="shared" si="2"/>
        <v>-308.27</v>
      </c>
      <c r="Y61" s="2"/>
      <c r="Z61" s="19">
        <f t="shared" si="3"/>
        <v>-0.46921566538303472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--4058.22</f>
        <v>4058.22</v>
      </c>
      <c r="E62" s="2"/>
      <c r="F62" s="19"/>
      <c r="G62" s="2"/>
      <c r="H62" s="2">
        <f>--5535.53</f>
        <v>5535.53</v>
      </c>
      <c r="I62" s="2"/>
      <c r="J62" s="19"/>
      <c r="K62" s="2"/>
      <c r="L62" s="2">
        <f t="shared" si="0"/>
        <v>-1477.31</v>
      </c>
      <c r="M62" s="2"/>
      <c r="N62" s="19">
        <f t="shared" si="1"/>
        <v>-0.26687778767344772</v>
      </c>
      <c r="O62" s="11"/>
      <c r="P62" s="2">
        <f>--39085.73</f>
        <v>39085.730000000003</v>
      </c>
      <c r="Q62" s="2"/>
      <c r="R62" s="19"/>
      <c r="S62" s="2"/>
      <c r="T62" s="2">
        <f>--39059.72</f>
        <v>39059.72</v>
      </c>
      <c r="U62" s="2"/>
      <c r="V62" s="19"/>
      <c r="W62" s="2"/>
      <c r="X62" s="2">
        <f t="shared" si="2"/>
        <v>26.010000000002037</v>
      </c>
      <c r="Y62" s="2"/>
      <c r="Z62" s="19">
        <f t="shared" si="3"/>
        <v>6.6590339101258366E-4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--1170.81</f>
        <v>1170.81</v>
      </c>
      <c r="E63" s="2"/>
      <c r="F63" s="19"/>
      <c r="G63" s="2"/>
      <c r="H63" s="2">
        <f>--1361.04</f>
        <v>1361.04</v>
      </c>
      <c r="I63" s="2"/>
      <c r="J63" s="19"/>
      <c r="K63" s="2"/>
      <c r="L63" s="2">
        <f t="shared" si="0"/>
        <v>-190.23000000000002</v>
      </c>
      <c r="M63" s="2"/>
      <c r="N63" s="19">
        <f t="shared" si="1"/>
        <v>-0.1397681184976195</v>
      </c>
      <c r="O63" s="11"/>
      <c r="P63" s="2">
        <f>--11445.2</f>
        <v>11445.2</v>
      </c>
      <c r="Q63" s="2"/>
      <c r="R63" s="19"/>
      <c r="S63" s="2"/>
      <c r="T63" s="2">
        <f>--9997.23</f>
        <v>9997.23</v>
      </c>
      <c r="U63" s="2"/>
      <c r="V63" s="19"/>
      <c r="W63" s="2"/>
      <c r="X63" s="2">
        <f t="shared" si="2"/>
        <v>1447.9700000000012</v>
      </c>
      <c r="Y63" s="2"/>
      <c r="Z63" s="19">
        <f t="shared" si="3"/>
        <v>0.14483711988220749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--1305.22</f>
        <v>1305.22</v>
      </c>
      <c r="E64" s="2"/>
      <c r="F64" s="19"/>
      <c r="G64" s="2"/>
      <c r="H64" s="2">
        <f>--1560.42</f>
        <v>1560.42</v>
      </c>
      <c r="I64" s="2"/>
      <c r="J64" s="19"/>
      <c r="K64" s="2"/>
      <c r="L64" s="2">
        <f t="shared" si="0"/>
        <v>-255.20000000000005</v>
      </c>
      <c r="M64" s="2"/>
      <c r="N64" s="19">
        <f t="shared" si="1"/>
        <v>-0.16354571205188348</v>
      </c>
      <c r="O64" s="11"/>
      <c r="P64" s="2">
        <f>--12121.78</f>
        <v>12121.78</v>
      </c>
      <c r="Q64" s="2"/>
      <c r="R64" s="19"/>
      <c r="S64" s="2"/>
      <c r="T64" s="2">
        <f>--10466.71</f>
        <v>10466.709999999999</v>
      </c>
      <c r="U64" s="2"/>
      <c r="V64" s="19"/>
      <c r="W64" s="2"/>
      <c r="X64" s="2">
        <f t="shared" si="2"/>
        <v>1655.0700000000015</v>
      </c>
      <c r="Y64" s="2"/>
      <c r="Z64" s="19">
        <f t="shared" si="3"/>
        <v>0.15812705234022933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>0</f>
        <v>0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0</f>
        <v>0</v>
      </c>
      <c r="Q65" s="2"/>
      <c r="R65" s="19"/>
      <c r="S65" s="2"/>
      <c r="T65" s="2">
        <f>--109.47</f>
        <v>109.47</v>
      </c>
      <c r="U65" s="2"/>
      <c r="V65" s="19"/>
      <c r="W65" s="2"/>
      <c r="X65" s="2">
        <f t="shared" si="2"/>
        <v>-109.47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>--3.59</f>
        <v>3.59</v>
      </c>
      <c r="E66" s="2"/>
      <c r="F66" s="19"/>
      <c r="G66" s="2"/>
      <c r="H66" s="2">
        <f>--49.18</f>
        <v>49.18</v>
      </c>
      <c r="I66" s="2"/>
      <c r="J66" s="19"/>
      <c r="K66" s="2"/>
      <c r="L66" s="2">
        <f t="shared" si="0"/>
        <v>-45.59</v>
      </c>
      <c r="M66" s="2"/>
      <c r="N66" s="19">
        <f t="shared" si="1"/>
        <v>-0.9270028466856447</v>
      </c>
      <c r="O66" s="11"/>
      <c r="P66" s="2">
        <f>--118.32</f>
        <v>118.32</v>
      </c>
      <c r="Q66" s="2"/>
      <c r="R66" s="19"/>
      <c r="S66" s="2"/>
      <c r="T66" s="2">
        <f>--172.6</f>
        <v>172.6</v>
      </c>
      <c r="U66" s="2"/>
      <c r="V66" s="19"/>
      <c r="W66" s="2"/>
      <c r="X66" s="2">
        <f t="shared" si="2"/>
        <v>-54.28</v>
      </c>
      <c r="Y66" s="2"/>
      <c r="Z66" s="19">
        <f t="shared" si="3"/>
        <v>-0.3144843568945539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>--623.73</f>
        <v>623.73</v>
      </c>
      <c r="E67" s="2"/>
      <c r="F67" s="19"/>
      <c r="G67" s="2"/>
      <c r="H67" s="2">
        <f>--751.65</f>
        <v>751.65</v>
      </c>
      <c r="I67" s="2"/>
      <c r="J67" s="19"/>
      <c r="K67" s="2"/>
      <c r="L67" s="2">
        <f t="shared" si="0"/>
        <v>-127.91999999999996</v>
      </c>
      <c r="M67" s="2"/>
      <c r="N67" s="19">
        <f t="shared" si="1"/>
        <v>-0.17018559169826378</v>
      </c>
      <c r="O67" s="11"/>
      <c r="P67" s="2">
        <f>--5913.07</f>
        <v>5913.07</v>
      </c>
      <c r="Q67" s="2"/>
      <c r="R67" s="19"/>
      <c r="S67" s="2"/>
      <c r="T67" s="2">
        <f>--5535.11</f>
        <v>5535.11</v>
      </c>
      <c r="U67" s="2"/>
      <c r="V67" s="19"/>
      <c r="W67" s="2"/>
      <c r="X67" s="2">
        <f t="shared" si="2"/>
        <v>377.96000000000004</v>
      </c>
      <c r="Y67" s="2"/>
      <c r="Z67" s="19">
        <f t="shared" si="3"/>
        <v>6.8284099141661156E-2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--18815.05</f>
        <v>18815.05</v>
      </c>
      <c r="E68" s="2"/>
      <c r="F68" s="19"/>
      <c r="G68" s="2"/>
      <c r="H68" s="2">
        <f>--5726.91</f>
        <v>5726.91</v>
      </c>
      <c r="I68" s="2"/>
      <c r="J68" s="19"/>
      <c r="K68" s="2"/>
      <c r="L68" s="2">
        <f t="shared" si="0"/>
        <v>13088.14</v>
      </c>
      <c r="M68" s="2"/>
      <c r="N68" s="19">
        <f t="shared" si="1"/>
        <v>2.2853755341012869</v>
      </c>
      <c r="O68" s="11"/>
      <c r="P68" s="2">
        <f>--38823.84</f>
        <v>38823.839999999997</v>
      </c>
      <c r="Q68" s="2"/>
      <c r="R68" s="19"/>
      <c r="S68" s="2"/>
      <c r="T68" s="2">
        <f>--20388.07</f>
        <v>20388.07</v>
      </c>
      <c r="U68" s="2"/>
      <c r="V68" s="19"/>
      <c r="W68" s="2"/>
      <c r="X68" s="2">
        <f t="shared" si="2"/>
        <v>18435.769999999997</v>
      </c>
      <c r="Y68" s="2"/>
      <c r="Z68" s="19">
        <f t="shared" si="3"/>
        <v>0.90424302055074346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--699.6</f>
        <v>699.6</v>
      </c>
      <c r="E69" s="2"/>
      <c r="F69" s="19"/>
      <c r="G69" s="2"/>
      <c r="H69" s="2">
        <f>--699.55</f>
        <v>699.55</v>
      </c>
      <c r="I69" s="2"/>
      <c r="J69" s="19"/>
      <c r="K69" s="2"/>
      <c r="L69" s="2">
        <f t="shared" si="0"/>
        <v>5.0000000000068212E-2</v>
      </c>
      <c r="M69" s="2"/>
      <c r="N69" s="19">
        <f t="shared" si="1"/>
        <v>7.1474519333954991E-5</v>
      </c>
      <c r="O69" s="11"/>
      <c r="P69" s="2">
        <f>--2529.88</f>
        <v>2529.88</v>
      </c>
      <c r="Q69" s="2"/>
      <c r="R69" s="19"/>
      <c r="S69" s="2"/>
      <c r="T69" s="2">
        <f>--3372.33</f>
        <v>3372.33</v>
      </c>
      <c r="U69" s="2"/>
      <c r="V69" s="19"/>
      <c r="W69" s="2"/>
      <c r="X69" s="2">
        <f t="shared" si="2"/>
        <v>-842.44999999999982</v>
      </c>
      <c r="Y69" s="2"/>
      <c r="Z69" s="19">
        <f t="shared" si="3"/>
        <v>-0.24981244421512719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--2554.55</f>
        <v>2554.5500000000002</v>
      </c>
      <c r="E70" s="2"/>
      <c r="F70" s="19"/>
      <c r="G70" s="2"/>
      <c r="H70" s="2">
        <f>--4284.55</f>
        <v>4284.55</v>
      </c>
      <c r="I70" s="2"/>
      <c r="J70" s="19"/>
      <c r="K70" s="2"/>
      <c r="L70" s="2">
        <f t="shared" si="0"/>
        <v>-1730</v>
      </c>
      <c r="M70" s="2"/>
      <c r="N70" s="19">
        <f t="shared" si="1"/>
        <v>-0.40377635924426136</v>
      </c>
      <c r="O70" s="11"/>
      <c r="P70" s="2">
        <f>--10487.38</f>
        <v>10487.38</v>
      </c>
      <c r="Q70" s="2"/>
      <c r="R70" s="19"/>
      <c r="S70" s="2"/>
      <c r="T70" s="2">
        <f>--11845.75</f>
        <v>11845.75</v>
      </c>
      <c r="U70" s="2"/>
      <c r="V70" s="19"/>
      <c r="W70" s="2"/>
      <c r="X70" s="2">
        <f t="shared" si="2"/>
        <v>-1358.3700000000008</v>
      </c>
      <c r="Y70" s="2"/>
      <c r="Z70" s="19">
        <f t="shared" si="3"/>
        <v>-0.11467150665850628</v>
      </c>
    </row>
    <row r="71" spans="1:26" s="24" customFormat="1" hidden="1" outlineLevel="1" x14ac:dyDescent="0.25">
      <c r="A71" s="44"/>
      <c r="B71" s="11" t="str">
        <f>CONCATENATE("          ", "4144", " - ", "NON-TAXABLE SALES-ACCESSORIES")</f>
        <v xml:space="preserve">          4144 - NON-TAXABLE SALES-ACCESSORIES</v>
      </c>
      <c r="C71" s="11"/>
      <c r="D71" s="2">
        <f>--351.29</f>
        <v>351.29</v>
      </c>
      <c r="E71" s="2"/>
      <c r="F71" s="19"/>
      <c r="G71" s="2"/>
      <c r="H71" s="2">
        <f>--19.94</f>
        <v>19.940000000000001</v>
      </c>
      <c r="I71" s="2"/>
      <c r="J71" s="19"/>
      <c r="K71" s="2"/>
      <c r="L71" s="2">
        <f t="shared" si="0"/>
        <v>331.35</v>
      </c>
      <c r="M71" s="2"/>
      <c r="N71" s="19">
        <f t="shared" si="1"/>
        <v>16.617352056168507</v>
      </c>
      <c r="O71" s="11"/>
      <c r="P71" s="2">
        <f>--592.85</f>
        <v>592.85</v>
      </c>
      <c r="Q71" s="2"/>
      <c r="R71" s="19"/>
      <c r="S71" s="2"/>
      <c r="T71" s="2">
        <f>--360.54</f>
        <v>360.54</v>
      </c>
      <c r="U71" s="2"/>
      <c r="V71" s="19"/>
      <c r="W71" s="2"/>
      <c r="X71" s="2">
        <f t="shared" si="2"/>
        <v>232.31</v>
      </c>
      <c r="Y71" s="2"/>
      <c r="Z71" s="19">
        <f t="shared" si="3"/>
        <v>0.64433904698507793</v>
      </c>
    </row>
    <row r="72" spans="1:26" s="24" customFormat="1" hidden="1" outlineLevel="1" x14ac:dyDescent="0.25">
      <c r="A72" s="44"/>
      <c r="B72" s="11" t="str">
        <f>CONCATENATE("          ", "4145", " - ", "NON-TAXABLE SALES-SPECIAL ORDE")</f>
        <v xml:space="preserve">          4145 - NON-TAXABLE SALES-SPECIAL ORDE</v>
      </c>
      <c r="C72" s="11"/>
      <c r="D72" s="2">
        <f>0</f>
        <v>0</v>
      </c>
      <c r="E72" s="2"/>
      <c r="F72" s="19"/>
      <c r="G72" s="2"/>
      <c r="H72" s="2">
        <f>--89.8</f>
        <v>89.8</v>
      </c>
      <c r="I72" s="2"/>
      <c r="J72" s="19"/>
      <c r="K72" s="2"/>
      <c r="L72" s="2">
        <f t="shared" si="0"/>
        <v>-89.8</v>
      </c>
      <c r="M72" s="2"/>
      <c r="N72" s="19">
        <f t="shared" si="1"/>
        <v>-1</v>
      </c>
      <c r="O72" s="11"/>
      <c r="P72" s="2">
        <f>--140</f>
        <v>140</v>
      </c>
      <c r="Q72" s="2"/>
      <c r="R72" s="19"/>
      <c r="S72" s="2"/>
      <c r="T72" s="2">
        <f>--1747.4</f>
        <v>1747.4</v>
      </c>
      <c r="U72" s="2"/>
      <c r="V72" s="19"/>
      <c r="W72" s="2"/>
      <c r="X72" s="2">
        <f t="shared" si="2"/>
        <v>-1607.4</v>
      </c>
      <c r="Y72" s="2"/>
      <c r="Z72" s="19">
        <f t="shared" si="3"/>
        <v>-0.91988096600663849</v>
      </c>
    </row>
    <row r="73" spans="1:26" s="24" customFormat="1" hidden="1" outlineLevel="1" x14ac:dyDescent="0.25">
      <c r="A73" s="44"/>
      <c r="B73" s="11" t="str">
        <f>CONCATENATE("          ", "4146", " - ", "NON-TAXABLE SALES-COIN OP MACH")</f>
        <v xml:space="preserve">          4146 - NON-TAXABLE SALES-COIN OP MACH</v>
      </c>
      <c r="C73" s="11"/>
      <c r="D73" s="2">
        <f>--27126.9</f>
        <v>27126.9</v>
      </c>
      <c r="E73" s="2"/>
      <c r="F73" s="19"/>
      <c r="G73" s="2"/>
      <c r="H73" s="2">
        <f>--31432.85</f>
        <v>31432.85</v>
      </c>
      <c r="I73" s="2"/>
      <c r="J73" s="19"/>
      <c r="K73" s="2"/>
      <c r="L73" s="2">
        <f t="shared" si="0"/>
        <v>-4305.9499999999971</v>
      </c>
      <c r="M73" s="2"/>
      <c r="N73" s="19">
        <f t="shared" si="1"/>
        <v>-0.13698885083598838</v>
      </c>
      <c r="O73" s="11"/>
      <c r="P73" s="2">
        <f>--146467.95</f>
        <v>146467.95000000001</v>
      </c>
      <c r="Q73" s="2"/>
      <c r="R73" s="19"/>
      <c r="S73" s="2"/>
      <c r="T73" s="2">
        <f>--149484</f>
        <v>149484</v>
      </c>
      <c r="U73" s="2"/>
      <c r="V73" s="19"/>
      <c r="W73" s="2"/>
      <c r="X73" s="2">
        <f t="shared" si="2"/>
        <v>-3016.0499999999884</v>
      </c>
      <c r="Y73" s="2"/>
      <c r="Z73" s="19">
        <f t="shared" si="3"/>
        <v>-2.0176406839527899E-2</v>
      </c>
    </row>
    <row r="74" spans="1:26" s="24" customFormat="1" hidden="1" outlineLevel="1" x14ac:dyDescent="0.25">
      <c r="A74" s="44"/>
      <c r="B74" s="11" t="str">
        <f>CONCATENATE("          ", "4147", " - ", "NON-TAXABLE SALES-MISC")</f>
        <v xml:space="preserve">          4147 - NON-TAXABLE SALES-MISC</v>
      </c>
      <c r="C74" s="11"/>
      <c r="D74" s="2">
        <f>--57.5</f>
        <v>57.5</v>
      </c>
      <c r="E74" s="2"/>
      <c r="F74" s="19"/>
      <c r="G74" s="2"/>
      <c r="H74" s="2">
        <f>--38.5</f>
        <v>38.5</v>
      </c>
      <c r="I74" s="2"/>
      <c r="J74" s="19"/>
      <c r="K74" s="2"/>
      <c r="L74" s="2">
        <f t="shared" si="0"/>
        <v>19</v>
      </c>
      <c r="M74" s="2"/>
      <c r="N74" s="19">
        <f t="shared" si="1"/>
        <v>0.4935064935064935</v>
      </c>
      <c r="O74" s="11"/>
      <c r="P74" s="2">
        <f>--307.4</f>
        <v>307.39999999999998</v>
      </c>
      <c r="Q74" s="2"/>
      <c r="R74" s="19"/>
      <c r="S74" s="2"/>
      <c r="T74" s="2">
        <f>--408.5</f>
        <v>408.5</v>
      </c>
      <c r="U74" s="2"/>
      <c r="V74" s="19"/>
      <c r="W74" s="2"/>
      <c r="X74" s="2">
        <f t="shared" si="2"/>
        <v>-101.10000000000002</v>
      </c>
      <c r="Y74" s="2"/>
      <c r="Z74" s="19">
        <f t="shared" si="3"/>
        <v>-0.24749082007343948</v>
      </c>
    </row>
    <row r="75" spans="1:26" s="24" customFormat="1" hidden="1" outlineLevel="1" x14ac:dyDescent="0.25">
      <c r="A75" s="44"/>
      <c r="B75" s="11" t="str">
        <f>CONCATENATE("          ", "4181", " - ", "NON-TAXABLE SALES-ELECTRONICS")</f>
        <v xml:space="preserve">          4181 - NON-TAXABLE SALES-ELECTRONICS</v>
      </c>
      <c r="C75" s="11"/>
      <c r="D75" s="2">
        <f>0</f>
        <v>0</v>
      </c>
      <c r="E75" s="2"/>
      <c r="F75" s="19"/>
      <c r="G75" s="2"/>
      <c r="H75" s="2">
        <f>--4487.6</f>
        <v>4487.6000000000004</v>
      </c>
      <c r="I75" s="2"/>
      <c r="J75" s="19"/>
      <c r="K75" s="2"/>
      <c r="L75" s="2">
        <f t="shared" si="0"/>
        <v>-4487.6000000000004</v>
      </c>
      <c r="M75" s="2"/>
      <c r="N75" s="19">
        <f t="shared" si="1"/>
        <v>-1</v>
      </c>
      <c r="O75" s="11"/>
      <c r="P75" s="2">
        <f>--1462.51</f>
        <v>1462.51</v>
      </c>
      <c r="Q75" s="2"/>
      <c r="R75" s="19"/>
      <c r="S75" s="2"/>
      <c r="T75" s="2">
        <f>--6266.46</f>
        <v>6266.46</v>
      </c>
      <c r="U75" s="2"/>
      <c r="V75" s="19"/>
      <c r="W75" s="2"/>
      <c r="X75" s="2">
        <f t="shared" si="2"/>
        <v>-4803.95</v>
      </c>
      <c r="Y75" s="2"/>
      <c r="Z75" s="19">
        <f t="shared" si="3"/>
        <v>-0.76661304787711082</v>
      </c>
    </row>
    <row r="76" spans="1:26" s="24" customFormat="1" hidden="1" outlineLevel="1" x14ac:dyDescent="0.25">
      <c r="A76" s="44"/>
      <c r="B76" s="11" t="str">
        <f>CONCATENATE("          ", "4182", " - ", "NON-TAXABLE SALES-COMPUTER HAR")</f>
        <v xml:space="preserve">          4182 - NON-TAXABLE SALES-COMPUTER HAR</v>
      </c>
      <c r="C76" s="11"/>
      <c r="D76" s="2">
        <f>--8486</f>
        <v>8486</v>
      </c>
      <c r="E76" s="2"/>
      <c r="F76" s="19"/>
      <c r="G76" s="2"/>
      <c r="H76" s="2">
        <f>--17809</f>
        <v>17809</v>
      </c>
      <c r="I76" s="2"/>
      <c r="J76" s="19"/>
      <c r="K76" s="2"/>
      <c r="L76" s="2">
        <f t="shared" si="0"/>
        <v>-9323</v>
      </c>
      <c r="M76" s="2"/>
      <c r="N76" s="19">
        <f t="shared" si="1"/>
        <v>-0.52349935425908245</v>
      </c>
      <c r="O76" s="11"/>
      <c r="P76" s="2">
        <f>--70795</f>
        <v>70795</v>
      </c>
      <c r="Q76" s="2"/>
      <c r="R76" s="19"/>
      <c r="S76" s="2"/>
      <c r="T76" s="2">
        <f>--166621.85</f>
        <v>166621.85</v>
      </c>
      <c r="U76" s="2"/>
      <c r="V76" s="19"/>
      <c r="W76" s="2"/>
      <c r="X76" s="2">
        <f t="shared" si="2"/>
        <v>-95826.85</v>
      </c>
      <c r="Y76" s="2"/>
      <c r="Z76" s="19">
        <f t="shared" si="3"/>
        <v>-0.57511574862480519</v>
      </c>
    </row>
    <row r="77" spans="1:26" s="24" customFormat="1" hidden="1" outlineLevel="1" x14ac:dyDescent="0.25">
      <c r="A77" s="44"/>
      <c r="B77" s="11" t="str">
        <f>CONCATENATE("          ", "4183", " - ", "NON-TAXABLE SALES-COMPUTER EQU")</f>
        <v xml:space="preserve">          4183 - NON-TAXABLE SALES-COMPUTER EQU</v>
      </c>
      <c r="C77" s="11"/>
      <c r="D77" s="2">
        <f>--266.75</f>
        <v>266.75</v>
      </c>
      <c r="E77" s="2"/>
      <c r="F77" s="19"/>
      <c r="G77" s="2"/>
      <c r="H77" s="2">
        <f>--829.73</f>
        <v>829.73</v>
      </c>
      <c r="I77" s="2"/>
      <c r="J77" s="19"/>
      <c r="K77" s="2"/>
      <c r="L77" s="2">
        <f t="shared" si="0"/>
        <v>-562.98</v>
      </c>
      <c r="M77" s="2"/>
      <c r="N77" s="19">
        <f t="shared" si="1"/>
        <v>-0.67850987670688057</v>
      </c>
      <c r="O77" s="11"/>
      <c r="P77" s="2">
        <f>--3571.63</f>
        <v>3571.63</v>
      </c>
      <c r="Q77" s="2"/>
      <c r="R77" s="19"/>
      <c r="S77" s="2"/>
      <c r="T77" s="2">
        <f>--5430.48</f>
        <v>5430.48</v>
      </c>
      <c r="U77" s="2"/>
      <c r="V77" s="19"/>
      <c r="W77" s="2"/>
      <c r="X77" s="2">
        <f t="shared" si="2"/>
        <v>-1858.8499999999995</v>
      </c>
      <c r="Y77" s="2"/>
      <c r="Z77" s="19">
        <f t="shared" si="3"/>
        <v>-0.34229939158232781</v>
      </c>
    </row>
    <row r="78" spans="1:26" s="24" customFormat="1" hidden="1" outlineLevel="1" x14ac:dyDescent="0.25">
      <c r="A78" s="44"/>
      <c r="B78" s="11" t="str">
        <f>CONCATENATE("          ", "4184", " - ", "NON-TAXABLE SALES-SOFTWARE LIC")</f>
        <v xml:space="preserve">          4184 - NON-TAXABLE SALES-SOFTWARE LIC</v>
      </c>
      <c r="C78" s="11"/>
      <c r="D78" s="2">
        <f>0</f>
        <v>0</v>
      </c>
      <c r="E78" s="2"/>
      <c r="F78" s="19"/>
      <c r="G78" s="2"/>
      <c r="H78" s="2">
        <f>--129</f>
        <v>129</v>
      </c>
      <c r="I78" s="2"/>
      <c r="J78" s="19"/>
      <c r="K78" s="2"/>
      <c r="L78" s="2">
        <f t="shared" si="0"/>
        <v>-129</v>
      </c>
      <c r="M78" s="2"/>
      <c r="N78" s="19">
        <f t="shared" si="1"/>
        <v>-1</v>
      </c>
      <c r="O78" s="11"/>
      <c r="P78" s="2">
        <f>--2728</f>
        <v>2728</v>
      </c>
      <c r="Q78" s="2"/>
      <c r="R78" s="19"/>
      <c r="S78" s="2"/>
      <c r="T78" s="2">
        <f>--486</f>
        <v>486</v>
      </c>
      <c r="U78" s="2"/>
      <c r="V78" s="19"/>
      <c r="W78" s="2"/>
      <c r="X78" s="2">
        <f t="shared" si="2"/>
        <v>2242</v>
      </c>
      <c r="Y78" s="2"/>
      <c r="Z78" s="19">
        <f t="shared" si="3"/>
        <v>4.6131687242798352</v>
      </c>
    </row>
    <row r="79" spans="1:26" s="24" customFormat="1" hidden="1" outlineLevel="1" x14ac:dyDescent="0.25">
      <c r="A79" s="44"/>
      <c r="B79" s="11" t="str">
        <f>CONCATENATE("          ", "4185", " - ", "NON-TAXABLE SALES-SOFTWARE")</f>
        <v xml:space="preserve">          4185 - NON-TAXABLE SALES-SOFTWARE</v>
      </c>
      <c r="C79" s="11"/>
      <c r="D79" s="2">
        <f>--437.97</f>
        <v>437.97</v>
      </c>
      <c r="E79" s="2"/>
      <c r="F79" s="19"/>
      <c r="G79" s="2"/>
      <c r="H79" s="2">
        <f>--275</f>
        <v>275</v>
      </c>
      <c r="I79" s="2"/>
      <c r="J79" s="19"/>
      <c r="K79" s="2"/>
      <c r="L79" s="2">
        <f t="shared" si="0"/>
        <v>162.97000000000003</v>
      </c>
      <c r="M79" s="2"/>
      <c r="N79" s="19">
        <f t="shared" si="1"/>
        <v>0.59261818181818193</v>
      </c>
      <c r="O79" s="11"/>
      <c r="P79" s="2">
        <f>--9401.84</f>
        <v>9401.84</v>
      </c>
      <c r="Q79" s="2"/>
      <c r="R79" s="19"/>
      <c r="S79" s="2"/>
      <c r="T79" s="2">
        <f>--2924.91</f>
        <v>2924.91</v>
      </c>
      <c r="U79" s="2"/>
      <c r="V79" s="19"/>
      <c r="W79" s="2"/>
      <c r="X79" s="2">
        <f t="shared" si="2"/>
        <v>6476.93</v>
      </c>
      <c r="Y79" s="2"/>
      <c r="Z79" s="19">
        <f t="shared" si="3"/>
        <v>2.2144031782174496</v>
      </c>
    </row>
    <row r="80" spans="1:26" s="24" customFormat="1" hidden="1" outlineLevel="1" x14ac:dyDescent="0.25">
      <c r="A80" s="44"/>
      <c r="B80" s="11" t="str">
        <f>CONCATENATE("          ", "4186", " - ", "NON-TAXABLE SALES-COMPUTER SUP")</f>
        <v xml:space="preserve">          4186 - NON-TAXABLE SALES-COMPUTER SUP</v>
      </c>
      <c r="C80" s="11"/>
      <c r="D80" s="2">
        <f>--49.99</f>
        <v>49.99</v>
      </c>
      <c r="E80" s="2"/>
      <c r="F80" s="19"/>
      <c r="G80" s="2"/>
      <c r="H80" s="2">
        <f>--46.01</f>
        <v>46.01</v>
      </c>
      <c r="I80" s="2"/>
      <c r="J80" s="19"/>
      <c r="K80" s="2"/>
      <c r="L80" s="2">
        <f t="shared" si="0"/>
        <v>3.980000000000004</v>
      </c>
      <c r="M80" s="2"/>
      <c r="N80" s="19">
        <f t="shared" si="1"/>
        <v>8.6502934144751228E-2</v>
      </c>
      <c r="O80" s="11"/>
      <c r="P80" s="2">
        <f>--1622.39</f>
        <v>1622.39</v>
      </c>
      <c r="Q80" s="2"/>
      <c r="R80" s="19"/>
      <c r="S80" s="2"/>
      <c r="T80" s="2">
        <f>--2877.05</f>
        <v>2877.05</v>
      </c>
      <c r="U80" s="2"/>
      <c r="V80" s="19"/>
      <c r="W80" s="2"/>
      <c r="X80" s="2">
        <f t="shared" si="2"/>
        <v>-1254.6600000000001</v>
      </c>
      <c r="Y80" s="2"/>
      <c r="Z80" s="19">
        <f t="shared" si="3"/>
        <v>-0.43609252532976489</v>
      </c>
    </row>
    <row r="81" spans="1:26" s="24" customFormat="1" hidden="1" outlineLevel="1" x14ac:dyDescent="0.25">
      <c r="A81" s="44"/>
      <c r="B81" s="11" t="str">
        <f>CONCATENATE("          ", "4188", " - ", "NON-TAXABLE SALES-MUSIC")</f>
        <v xml:space="preserve">          4188 - NON-TAXABLE SALES-MUSIC</v>
      </c>
      <c r="C81" s="11"/>
      <c r="D81" s="2">
        <f>0</f>
        <v>0</v>
      </c>
      <c r="E81" s="2"/>
      <c r="F81" s="19"/>
      <c r="G81" s="2"/>
      <c r="H81" s="2">
        <f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--219.96</f>
        <v>219.96</v>
      </c>
      <c r="Q81" s="2"/>
      <c r="R81" s="19"/>
      <c r="S81" s="2"/>
      <c r="T81" s="2">
        <f>--199.98</f>
        <v>199.98</v>
      </c>
      <c r="U81" s="2"/>
      <c r="V81" s="19"/>
      <c r="W81" s="2"/>
      <c r="X81" s="2">
        <f t="shared" si="2"/>
        <v>19.980000000000018</v>
      </c>
      <c r="Y81" s="2"/>
      <c r="Z81" s="19">
        <f t="shared" si="3"/>
        <v>9.9909990999100001E-2</v>
      </c>
    </row>
    <row r="82" spans="1:26" s="24" customFormat="1" hidden="1" outlineLevel="1" x14ac:dyDescent="0.25">
      <c r="A82" s="44"/>
      <c r="B82" s="11" t="str">
        <f>CONCATENATE("          ", "4201", " - ", "SALES RETURN TAXABLE-NEW TEXT")</f>
        <v xml:space="preserve">          4201 - SALES RETURN TAXABLE-NEW TEXT</v>
      </c>
      <c r="C82" s="11"/>
      <c r="D82" s="2">
        <f>-631.8</f>
        <v>-631.79999999999995</v>
      </c>
      <c r="E82" s="2"/>
      <c r="F82" s="19"/>
      <c r="G82" s="2"/>
      <c r="H82" s="2">
        <f>-1458.3</f>
        <v>-1458.3</v>
      </c>
      <c r="I82" s="2"/>
      <c r="J82" s="19"/>
      <c r="K82" s="2"/>
      <c r="L82" s="2">
        <f t="shared" si="0"/>
        <v>826.5</v>
      </c>
      <c r="M82" s="2"/>
      <c r="N82" s="19">
        <f t="shared" si="1"/>
        <v>-0.56675581156140709</v>
      </c>
      <c r="O82" s="11"/>
      <c r="P82" s="2">
        <f>-78730.37</f>
        <v>-78730.37</v>
      </c>
      <c r="Q82" s="2"/>
      <c r="R82" s="19"/>
      <c r="S82" s="2"/>
      <c r="T82" s="2">
        <f>-114020.87</f>
        <v>-114020.87</v>
      </c>
      <c r="U82" s="2"/>
      <c r="V82" s="19"/>
      <c r="W82" s="2"/>
      <c r="X82" s="2">
        <f t="shared" si="2"/>
        <v>35290.5</v>
      </c>
      <c r="Y82" s="2"/>
      <c r="Z82" s="19">
        <f t="shared" si="3"/>
        <v>-0.30950912758339766</v>
      </c>
    </row>
    <row r="83" spans="1:26" s="24" customFormat="1" hidden="1" outlineLevel="1" x14ac:dyDescent="0.25">
      <c r="A83" s="44"/>
      <c r="B83" s="11" t="str">
        <f>CONCATENATE("          ", "4202", " - ", "SALES RETURN TAXABLE-USED TEXT")</f>
        <v xml:space="preserve">          4202 - SALES RETURN TAXABLE-USED TEXT</v>
      </c>
      <c r="C83" s="11"/>
      <c r="D83" s="2">
        <f>-166.15</f>
        <v>-166.15</v>
      </c>
      <c r="E83" s="2"/>
      <c r="F83" s="19"/>
      <c r="G83" s="2"/>
      <c r="H83" s="2">
        <f>-493.55</f>
        <v>-493.55</v>
      </c>
      <c r="I83" s="2"/>
      <c r="J83" s="19"/>
      <c r="K83" s="2"/>
      <c r="L83" s="2">
        <f t="shared" si="0"/>
        <v>327.39999999999998</v>
      </c>
      <c r="M83" s="2"/>
      <c r="N83" s="19">
        <f t="shared" si="1"/>
        <v>-0.66335730928983883</v>
      </c>
      <c r="O83" s="11"/>
      <c r="P83" s="2">
        <f>-27208.35</f>
        <v>-27208.35</v>
      </c>
      <c r="Q83" s="2"/>
      <c r="R83" s="19"/>
      <c r="S83" s="2"/>
      <c r="T83" s="2">
        <f>-29961.95</f>
        <v>-29961.95</v>
      </c>
      <c r="U83" s="2"/>
      <c r="V83" s="19"/>
      <c r="W83" s="2"/>
      <c r="X83" s="2">
        <f t="shared" si="2"/>
        <v>2753.6000000000022</v>
      </c>
      <c r="Y83" s="2"/>
      <c r="Z83" s="19">
        <f t="shared" si="3"/>
        <v>-9.1903230597474531E-2</v>
      </c>
    </row>
    <row r="84" spans="1:26" s="24" customFormat="1" hidden="1" outlineLevel="1" x14ac:dyDescent="0.25">
      <c r="A84" s="44"/>
      <c r="B84" s="11" t="str">
        <f>CONCATENATE("          ", "4203", " - ", "SALES RETURN TAXABLE-RENTAL TE")</f>
        <v xml:space="preserve">          4203 - SALES RETURN TAXABLE-RENTAL TE</v>
      </c>
      <c r="C84" s="11"/>
      <c r="D84" s="2">
        <f t="shared" ref="D84:D86" si="6">0</f>
        <v>0</v>
      </c>
      <c r="E84" s="2"/>
      <c r="F84" s="19"/>
      <c r="G84" s="2"/>
      <c r="H84" s="2">
        <f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-144.99</f>
        <v>-144.99</v>
      </c>
      <c r="Q84" s="2"/>
      <c r="R84" s="19"/>
      <c r="S84" s="2"/>
      <c r="T84" s="2">
        <f>-1699.5</f>
        <v>-1699.5</v>
      </c>
      <c r="U84" s="2"/>
      <c r="V84" s="19"/>
      <c r="W84" s="2"/>
      <c r="X84" s="2">
        <f t="shared" si="2"/>
        <v>1554.51</v>
      </c>
      <c r="Y84" s="2"/>
      <c r="Z84" s="19">
        <f t="shared" si="3"/>
        <v>-0.9146866725507502</v>
      </c>
    </row>
    <row r="85" spans="1:26" s="24" customFormat="1" hidden="1" outlineLevel="1" x14ac:dyDescent="0.25">
      <c r="A85" s="44"/>
      <c r="B85" s="11" t="str">
        <f>CONCATENATE("          ", "4204", " - ", "SALES RETURN TAXABLE-DIGITAL T")</f>
        <v xml:space="preserve">          4204 - SALES RETURN TAXABLE-DIGITAL T</v>
      </c>
      <c r="C85" s="11"/>
      <c r="D85" s="2">
        <f t="shared" si="6"/>
        <v>0</v>
      </c>
      <c r="E85" s="2"/>
      <c r="F85" s="19"/>
      <c r="G85" s="2"/>
      <c r="H85" s="2">
        <f>-56.78</f>
        <v>-56.78</v>
      </c>
      <c r="I85" s="2"/>
      <c r="J85" s="19"/>
      <c r="K85" s="2"/>
      <c r="L85" s="2">
        <f t="shared" si="0"/>
        <v>56.78</v>
      </c>
      <c r="M85" s="2"/>
      <c r="N85" s="19">
        <f t="shared" si="1"/>
        <v>-1</v>
      </c>
      <c r="O85" s="11"/>
      <c r="P85" s="2">
        <f>-11369.46</f>
        <v>-11369.46</v>
      </c>
      <c r="Q85" s="2"/>
      <c r="R85" s="19"/>
      <c r="S85" s="2"/>
      <c r="T85" s="2">
        <f>-16043.85</f>
        <v>-16043.85</v>
      </c>
      <c r="U85" s="2"/>
      <c r="V85" s="19"/>
      <c r="W85" s="2"/>
      <c r="X85" s="2">
        <f t="shared" si="2"/>
        <v>4674.3900000000012</v>
      </c>
      <c r="Y85" s="2"/>
      <c r="Z85" s="19">
        <f t="shared" si="3"/>
        <v>-0.29135089146308407</v>
      </c>
    </row>
    <row r="86" spans="1:26" s="24" customFormat="1" hidden="1" outlineLevel="1" x14ac:dyDescent="0.25">
      <c r="A86" s="44"/>
      <c r="B86" s="11" t="str">
        <f>CONCATENATE("          ", "4213", " - ", "NON-TAXABLE SALES-TRADE BOOKS")</f>
        <v xml:space="preserve">          4213 - NON-TAXABLE SALES-TRADE BOOKS</v>
      </c>
      <c r="C86" s="11"/>
      <c r="D86" s="2">
        <f t="shared" si="6"/>
        <v>0</v>
      </c>
      <c r="E86" s="2"/>
      <c r="F86" s="19"/>
      <c r="G86" s="2"/>
      <c r="H86" s="2">
        <f t="shared" ref="H86:H88" si="7">0</f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-102.71</f>
        <v>-102.71</v>
      </c>
      <c r="Q86" s="2"/>
      <c r="R86" s="19"/>
      <c r="S86" s="2"/>
      <c r="T86" s="2">
        <f>-96.96</f>
        <v>-96.96</v>
      </c>
      <c r="U86" s="2"/>
      <c r="V86" s="19"/>
      <c r="W86" s="2"/>
      <c r="X86" s="2">
        <f t="shared" si="2"/>
        <v>-5.75</v>
      </c>
      <c r="Y86" s="2"/>
      <c r="Z86" s="19">
        <f t="shared" si="3"/>
        <v>5.9302805280528059E-2</v>
      </c>
    </row>
    <row r="87" spans="1:26" s="24" customFormat="1" hidden="1" outlineLevel="1" x14ac:dyDescent="0.25">
      <c r="A87" s="44"/>
      <c r="B87" s="11" t="str">
        <f>CONCATENATE("          ", "4214", " - ", "SALES RETURN TAXABLE-REMAINDER")</f>
        <v xml:space="preserve">          4214 - SALES RETURN TAXABLE-REMAINDER</v>
      </c>
      <c r="C87" s="11"/>
      <c r="D87" s="2">
        <f>-11.94</f>
        <v>-11.94</v>
      </c>
      <c r="E87" s="2"/>
      <c r="F87" s="19"/>
      <c r="G87" s="2"/>
      <c r="H87" s="2">
        <f t="shared" si="7"/>
        <v>0</v>
      </c>
      <c r="I87" s="2"/>
      <c r="J87" s="19"/>
      <c r="K87" s="2"/>
      <c r="L87" s="2">
        <f t="shared" si="0"/>
        <v>-11.94</v>
      </c>
      <c r="M87" s="2"/>
      <c r="N87" s="19">
        <f t="shared" si="1"/>
        <v>0</v>
      </c>
      <c r="O87" s="11"/>
      <c r="P87" s="2">
        <f>-11.94</f>
        <v>-11.94</v>
      </c>
      <c r="Q87" s="2"/>
      <c r="R87" s="19"/>
      <c r="S87" s="2"/>
      <c r="T87" s="2">
        <f>-3.95</f>
        <v>-3.95</v>
      </c>
      <c r="U87" s="2"/>
      <c r="V87" s="19"/>
      <c r="W87" s="2"/>
      <c r="X87" s="2">
        <f t="shared" si="2"/>
        <v>-7.9899999999999993</v>
      </c>
      <c r="Y87" s="2"/>
      <c r="Z87" s="19">
        <f t="shared" si="3"/>
        <v>2.022784810126582</v>
      </c>
    </row>
    <row r="88" spans="1:26" s="24" customFormat="1" hidden="1" outlineLevel="1" x14ac:dyDescent="0.25">
      <c r="A88" s="44"/>
      <c r="B88" s="11" t="str">
        <f>CONCATENATE("          ", "4217", " - ", "NON-TAXABLE SALES-DORM/HOUSEWA")</f>
        <v xml:space="preserve">          4217 - NON-TAXABLE SALES-DORM/HOUSEWA</v>
      </c>
      <c r="C88" s="11"/>
      <c r="D88" s="2">
        <f t="shared" ref="D88:D89" si="8">0</f>
        <v>0</v>
      </c>
      <c r="E88" s="2"/>
      <c r="F88" s="19"/>
      <c r="G88" s="2"/>
      <c r="H88" s="2">
        <f t="shared" si="7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-2.98</f>
        <v>-2.98</v>
      </c>
      <c r="Q88" s="2"/>
      <c r="R88" s="19"/>
      <c r="S88" s="2"/>
      <c r="T88" s="2">
        <f>-1.5</f>
        <v>-1.5</v>
      </c>
      <c r="U88" s="2"/>
      <c r="V88" s="19"/>
      <c r="W88" s="2"/>
      <c r="X88" s="2">
        <f t="shared" si="2"/>
        <v>-1.48</v>
      </c>
      <c r="Y88" s="2"/>
      <c r="Z88" s="19">
        <f t="shared" si="3"/>
        <v>0.98666666666666669</v>
      </c>
    </row>
    <row r="89" spans="1:26" s="24" customFormat="1" hidden="1" outlineLevel="1" x14ac:dyDescent="0.25">
      <c r="A89" s="44"/>
      <c r="B89" s="11" t="str">
        <f>CONCATENATE("          ", "4218", " - ", "SALES RETURN TAXABLE-STUDY GUI")</f>
        <v xml:space="preserve">          4218 - SALES RETURN TAXABLE-STUDY GUI</v>
      </c>
      <c r="C89" s="11"/>
      <c r="D89" s="2">
        <f t="shared" si="8"/>
        <v>0</v>
      </c>
      <c r="E89" s="2"/>
      <c r="F89" s="19"/>
      <c r="G89" s="2"/>
      <c r="H89" s="2">
        <f>-16.9</f>
        <v>-16.899999999999999</v>
      </c>
      <c r="I89" s="2"/>
      <c r="J89" s="19"/>
      <c r="K89" s="2"/>
      <c r="L89" s="2">
        <f t="shared" si="0"/>
        <v>16.899999999999999</v>
      </c>
      <c r="M89" s="2"/>
      <c r="N89" s="19">
        <f t="shared" si="1"/>
        <v>-1</v>
      </c>
      <c r="O89" s="11"/>
      <c r="P89" s="2">
        <f>-32.75</f>
        <v>-32.75</v>
      </c>
      <c r="Q89" s="2"/>
      <c r="R89" s="19"/>
      <c r="S89" s="2"/>
      <c r="T89" s="2">
        <f>-39.8</f>
        <v>-39.799999999999997</v>
      </c>
      <c r="U89" s="2"/>
      <c r="V89" s="19"/>
      <c r="W89" s="2"/>
      <c r="X89" s="2">
        <f t="shared" si="2"/>
        <v>7.0499999999999972</v>
      </c>
      <c r="Y89" s="2"/>
      <c r="Z89" s="19">
        <f t="shared" si="3"/>
        <v>-0.17713567839195973</v>
      </c>
    </row>
    <row r="90" spans="1:26" s="24" customFormat="1" hidden="1" outlineLevel="1" x14ac:dyDescent="0.25">
      <c r="A90" s="44"/>
      <c r="B90" s="11" t="str">
        <f>CONCATENATE("          ", "4225", " - ", "SALES RETURN TAXABLE-TEST FORM")</f>
        <v xml:space="preserve">          4225 - SALES RETURN TAXABLE-TEST FORM</v>
      </c>
      <c r="C90" s="11"/>
      <c r="D90" s="2">
        <f>-15.51</f>
        <v>-15.51</v>
      </c>
      <c r="E90" s="2"/>
      <c r="F90" s="19"/>
      <c r="G90" s="2"/>
      <c r="H90" s="2">
        <f>0</f>
        <v>0</v>
      </c>
      <c r="I90" s="2"/>
      <c r="J90" s="19"/>
      <c r="K90" s="2"/>
      <c r="L90" s="2">
        <f t="shared" si="0"/>
        <v>-15.51</v>
      </c>
      <c r="M90" s="2"/>
      <c r="N90" s="19">
        <f t="shared" si="1"/>
        <v>0</v>
      </c>
      <c r="O90" s="11"/>
      <c r="P90" s="2">
        <f>-80.97</f>
        <v>-80.97</v>
      </c>
      <c r="Q90" s="2"/>
      <c r="R90" s="19"/>
      <c r="S90" s="2"/>
      <c r="T90" s="2">
        <f>-62.42</f>
        <v>-62.42</v>
      </c>
      <c r="U90" s="2"/>
      <c r="V90" s="19"/>
      <c r="W90" s="2"/>
      <c r="X90" s="2">
        <f t="shared" si="2"/>
        <v>-18.549999999999997</v>
      </c>
      <c r="Y90" s="2"/>
      <c r="Z90" s="19">
        <f t="shared" si="3"/>
        <v>0.29718039090035242</v>
      </c>
    </row>
    <row r="91" spans="1:26" s="24" customFormat="1" hidden="1" outlineLevel="1" x14ac:dyDescent="0.25">
      <c r="A91" s="44"/>
      <c r="B91" s="11" t="str">
        <f>CONCATENATE("          ", "4226", " - ", "SALES RETURN TAXABLE-WRITING I")</f>
        <v xml:space="preserve">          4226 - SALES RETURN TAXABLE-WRITING I</v>
      </c>
      <c r="C91" s="11"/>
      <c r="D91" s="2">
        <f>-41.65</f>
        <v>-41.65</v>
      </c>
      <c r="E91" s="2"/>
      <c r="F91" s="19"/>
      <c r="G91" s="2"/>
      <c r="H91" s="2">
        <f>-23.11</f>
        <v>-23.11</v>
      </c>
      <c r="I91" s="2"/>
      <c r="J91" s="19"/>
      <c r="K91" s="2"/>
      <c r="L91" s="2">
        <f t="shared" si="0"/>
        <v>-18.54</v>
      </c>
      <c r="M91" s="2"/>
      <c r="N91" s="19">
        <f t="shared" si="1"/>
        <v>0.8022501081782778</v>
      </c>
      <c r="O91" s="11"/>
      <c r="P91" s="2">
        <f>-531.36</f>
        <v>-531.36</v>
      </c>
      <c r="Q91" s="2"/>
      <c r="R91" s="19"/>
      <c r="S91" s="2"/>
      <c r="T91" s="2">
        <f>-284.54</f>
        <v>-284.54000000000002</v>
      </c>
      <c r="U91" s="2"/>
      <c r="V91" s="19"/>
      <c r="W91" s="2"/>
      <c r="X91" s="2">
        <f t="shared" si="2"/>
        <v>-246.82</v>
      </c>
      <c r="Y91" s="2"/>
      <c r="Z91" s="19">
        <f t="shared" si="3"/>
        <v>0.86743515850144082</v>
      </c>
    </row>
    <row r="92" spans="1:26" s="24" customFormat="1" hidden="1" outlineLevel="1" x14ac:dyDescent="0.25">
      <c r="A92" s="44"/>
      <c r="B92" s="11" t="str">
        <f>CONCATENATE("          ", "4227", " - ", "SALES RETURN TAXABLE-SCHOOL SU")</f>
        <v xml:space="preserve">          4227 - SALES RETURN TAXABLE-SCHOOL SU</v>
      </c>
      <c r="C92" s="11"/>
      <c r="D92" s="2">
        <f>-204.76</f>
        <v>-204.76</v>
      </c>
      <c r="E92" s="2"/>
      <c r="F92" s="19"/>
      <c r="G92" s="2"/>
      <c r="H92" s="2">
        <f>-195.37</f>
        <v>-195.37</v>
      </c>
      <c r="I92" s="2"/>
      <c r="J92" s="19"/>
      <c r="K92" s="2"/>
      <c r="L92" s="2">
        <f t="shared" si="0"/>
        <v>-9.3899999999999864</v>
      </c>
      <c r="M92" s="2"/>
      <c r="N92" s="19">
        <f t="shared" si="1"/>
        <v>4.8062650355735204E-2</v>
      </c>
      <c r="O92" s="11"/>
      <c r="P92" s="2">
        <f>-5948.58</f>
        <v>-5948.58</v>
      </c>
      <c r="Q92" s="2"/>
      <c r="R92" s="19"/>
      <c r="S92" s="2"/>
      <c r="T92" s="2">
        <f>-2694.37</f>
        <v>-2694.37</v>
      </c>
      <c r="U92" s="2"/>
      <c r="V92" s="19"/>
      <c r="W92" s="2"/>
      <c r="X92" s="2">
        <f t="shared" si="2"/>
        <v>-3254.21</v>
      </c>
      <c r="Y92" s="2"/>
      <c r="Z92" s="19">
        <f t="shared" si="3"/>
        <v>1.2077814108678466</v>
      </c>
    </row>
    <row r="93" spans="1:26" s="24" customFormat="1" hidden="1" outlineLevel="1" x14ac:dyDescent="0.25">
      <c r="A93" s="44"/>
      <c r="B93" s="11" t="str">
        <f>CONCATENATE("          ", "4228", " - ", "SALES RETURN TAXABLE-ART/TECH")</f>
        <v xml:space="preserve">          4228 - SALES RETURN TAXABLE-ART/TECH</v>
      </c>
      <c r="C93" s="11"/>
      <c r="D93" s="2">
        <f>-277.33</f>
        <v>-277.33</v>
      </c>
      <c r="E93" s="2"/>
      <c r="F93" s="19"/>
      <c r="G93" s="2"/>
      <c r="H93" s="2">
        <f>-450.83</f>
        <v>-450.83</v>
      </c>
      <c r="I93" s="2"/>
      <c r="J93" s="19"/>
      <c r="K93" s="2"/>
      <c r="L93" s="2">
        <f t="shared" si="0"/>
        <v>173.5</v>
      </c>
      <c r="M93" s="2"/>
      <c r="N93" s="19">
        <f t="shared" si="1"/>
        <v>-0.38484572898875408</v>
      </c>
      <c r="O93" s="11"/>
      <c r="P93" s="2">
        <f>-3148.62</f>
        <v>-3148.62</v>
      </c>
      <c r="Q93" s="2"/>
      <c r="R93" s="19"/>
      <c r="S93" s="2"/>
      <c r="T93" s="2">
        <f>-4598.8</f>
        <v>-4598.8</v>
      </c>
      <c r="U93" s="2"/>
      <c r="V93" s="19"/>
      <c r="W93" s="2"/>
      <c r="X93" s="2">
        <f t="shared" si="2"/>
        <v>1450.1800000000003</v>
      </c>
      <c r="Y93" s="2"/>
      <c r="Z93" s="19">
        <f t="shared" si="3"/>
        <v>-0.31533878403061671</v>
      </c>
    </row>
    <row r="94" spans="1:26" s="24" customFormat="1" hidden="1" outlineLevel="1" x14ac:dyDescent="0.25">
      <c r="A94" s="44"/>
      <c r="B94" s="11" t="str">
        <f>CONCATENATE("          ", "4233", " - ", "SALES RETURN TAXABLE-CANDY")</f>
        <v xml:space="preserve">          4233 - SALES RETURN TAXABLE-CANDY</v>
      </c>
      <c r="C94" s="11"/>
      <c r="D94" s="2">
        <f>0</f>
        <v>0</v>
      </c>
      <c r="E94" s="2"/>
      <c r="F94" s="19"/>
      <c r="G94" s="2"/>
      <c r="H94" s="2">
        <f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-1.29</f>
        <v>-1.29</v>
      </c>
      <c r="Q94" s="2"/>
      <c r="R94" s="19"/>
      <c r="S94" s="2"/>
      <c r="T94" s="2">
        <f>-1.89</f>
        <v>-1.89</v>
      </c>
      <c r="U94" s="2"/>
      <c r="V94" s="19"/>
      <c r="W94" s="2"/>
      <c r="X94" s="2">
        <f t="shared" si="2"/>
        <v>0.59999999999999987</v>
      </c>
      <c r="Y94" s="2"/>
      <c r="Z94" s="19">
        <f t="shared" si="3"/>
        <v>-0.31746031746031739</v>
      </c>
    </row>
    <row r="95" spans="1:26" s="24" customFormat="1" hidden="1" outlineLevel="1" x14ac:dyDescent="0.25">
      <c r="A95" s="44"/>
      <c r="B95" s="11" t="str">
        <f>CONCATENATE("          ", "4240", " - ", "SALES RETURN TAXABLE-LOGO CLOT")</f>
        <v xml:space="preserve">          4240 - SALES RETURN TAXABLE-LOGO CLOT</v>
      </c>
      <c r="C95" s="11"/>
      <c r="D95" s="2">
        <f>-8212.91</f>
        <v>-8212.91</v>
      </c>
      <c r="E95" s="2"/>
      <c r="F95" s="19"/>
      <c r="G95" s="2"/>
      <c r="H95" s="2">
        <f>-12111.55</f>
        <v>-12111.55</v>
      </c>
      <c r="I95" s="2"/>
      <c r="J95" s="19"/>
      <c r="K95" s="2"/>
      <c r="L95" s="2">
        <f t="shared" si="0"/>
        <v>3898.6399999999994</v>
      </c>
      <c r="M95" s="2"/>
      <c r="N95" s="19">
        <f t="shared" si="1"/>
        <v>-0.3218943900656811</v>
      </c>
      <c r="O95" s="11"/>
      <c r="P95" s="2">
        <f>-49321.94</f>
        <v>-49321.94</v>
      </c>
      <c r="Q95" s="2"/>
      <c r="R95" s="19"/>
      <c r="S95" s="2"/>
      <c r="T95" s="2">
        <f>-48708.08</f>
        <v>-48708.08</v>
      </c>
      <c r="U95" s="2"/>
      <c r="V95" s="19"/>
      <c r="W95" s="2"/>
      <c r="X95" s="2">
        <f t="shared" si="2"/>
        <v>-613.86000000000058</v>
      </c>
      <c r="Y95" s="2"/>
      <c r="Z95" s="19">
        <f t="shared" si="3"/>
        <v>1.2602837147348049E-2</v>
      </c>
    </row>
    <row r="96" spans="1:26" s="24" customFormat="1" hidden="1" outlineLevel="1" x14ac:dyDescent="0.25">
      <c r="A96" s="44"/>
      <c r="B96" s="11" t="str">
        <f>CONCATENATE("          ", "4241", " - ", "SALES RETURN TAXABLE-LOGO GIFT")</f>
        <v xml:space="preserve">          4241 - SALES RETURN TAXABLE-LOGO GIFT</v>
      </c>
      <c r="C96" s="11"/>
      <c r="D96" s="2">
        <f>-939.28</f>
        <v>-939.28</v>
      </c>
      <c r="E96" s="2"/>
      <c r="F96" s="19"/>
      <c r="G96" s="2"/>
      <c r="H96" s="2">
        <f>-909.08</f>
        <v>-909.08</v>
      </c>
      <c r="I96" s="2"/>
      <c r="J96" s="19"/>
      <c r="K96" s="2"/>
      <c r="L96" s="2">
        <f t="shared" si="0"/>
        <v>-30.199999999999932</v>
      </c>
      <c r="M96" s="2"/>
      <c r="N96" s="19">
        <f t="shared" si="1"/>
        <v>3.3220398644783662E-2</v>
      </c>
      <c r="O96" s="11"/>
      <c r="P96" s="2">
        <f>-4148.87</f>
        <v>-4148.87</v>
      </c>
      <c r="Q96" s="2"/>
      <c r="R96" s="19"/>
      <c r="S96" s="2"/>
      <c r="T96" s="2">
        <f>-4700.64</f>
        <v>-4700.6400000000003</v>
      </c>
      <c r="U96" s="2"/>
      <c r="V96" s="19"/>
      <c r="W96" s="2"/>
      <c r="X96" s="2">
        <f t="shared" si="2"/>
        <v>551.77000000000044</v>
      </c>
      <c r="Y96" s="2"/>
      <c r="Z96" s="19">
        <f t="shared" si="3"/>
        <v>-0.11738188842370409</v>
      </c>
    </row>
    <row r="97" spans="1:26" s="24" customFormat="1" hidden="1" outlineLevel="1" x14ac:dyDescent="0.25">
      <c r="A97" s="44"/>
      <c r="B97" s="11" t="str">
        <f>CONCATENATE("          ", "4242", " - ", "SALES RETURN TAXABLE-EVERYDAY")</f>
        <v xml:space="preserve">          4242 - SALES RETURN TAXABLE-EVERYDAY</v>
      </c>
      <c r="C97" s="11"/>
      <c r="D97" s="2">
        <f>-1097.55</f>
        <v>-1097.55</v>
      </c>
      <c r="E97" s="2"/>
      <c r="F97" s="19"/>
      <c r="G97" s="2"/>
      <c r="H97" s="2">
        <f>-407.79</f>
        <v>-407.79</v>
      </c>
      <c r="I97" s="2"/>
      <c r="J97" s="19"/>
      <c r="K97" s="2"/>
      <c r="L97" s="2">
        <f t="shared" si="0"/>
        <v>-689.76</v>
      </c>
      <c r="M97" s="2"/>
      <c r="N97" s="19">
        <f t="shared" si="1"/>
        <v>1.6914588391083645</v>
      </c>
      <c r="O97" s="11"/>
      <c r="P97" s="2">
        <f>-2789.42</f>
        <v>-2789.42</v>
      </c>
      <c r="Q97" s="2"/>
      <c r="R97" s="19"/>
      <c r="S97" s="2"/>
      <c r="T97" s="2">
        <f>-1717.09</f>
        <v>-1717.09</v>
      </c>
      <c r="U97" s="2"/>
      <c r="V97" s="19"/>
      <c r="W97" s="2"/>
      <c r="X97" s="2">
        <f t="shared" si="2"/>
        <v>-1072.3300000000002</v>
      </c>
      <c r="Y97" s="2"/>
      <c r="Z97" s="19">
        <f t="shared" si="3"/>
        <v>0.62450424846688302</v>
      </c>
    </row>
    <row r="98" spans="1:26" s="24" customFormat="1" hidden="1" outlineLevel="1" x14ac:dyDescent="0.25">
      <c r="A98" s="44"/>
      <c r="B98" s="11" t="str">
        <f>CONCATENATE("          ", "4243", " - ", "SALES RETURN TAXABLE-CARDS")</f>
        <v xml:space="preserve">          4243 - SALES RETURN TAXABLE-CARDS</v>
      </c>
      <c r="C98" s="11"/>
      <c r="D98" s="2">
        <f>-558.63</f>
        <v>-558.63</v>
      </c>
      <c r="E98" s="2"/>
      <c r="F98" s="19"/>
      <c r="G98" s="2"/>
      <c r="H98" s="2">
        <f>-5.99</f>
        <v>-5.99</v>
      </c>
      <c r="I98" s="2"/>
      <c r="J98" s="19"/>
      <c r="K98" s="2"/>
      <c r="L98" s="2">
        <f t="shared" si="0"/>
        <v>-552.64</v>
      </c>
      <c r="M98" s="2"/>
      <c r="N98" s="19">
        <f t="shared" si="1"/>
        <v>92.26043405676127</v>
      </c>
      <c r="O98" s="11"/>
      <c r="P98" s="2">
        <f>-879.47</f>
        <v>-879.47</v>
      </c>
      <c r="Q98" s="2"/>
      <c r="R98" s="19"/>
      <c r="S98" s="2"/>
      <c r="T98" s="2">
        <f>-25.94</f>
        <v>-25.94</v>
      </c>
      <c r="U98" s="2"/>
      <c r="V98" s="19"/>
      <c r="W98" s="2"/>
      <c r="X98" s="2">
        <f t="shared" si="2"/>
        <v>-853.53</v>
      </c>
      <c r="Y98" s="2"/>
      <c r="Z98" s="19">
        <f t="shared" si="3"/>
        <v>32.904009252120275</v>
      </c>
    </row>
    <row r="99" spans="1:26" s="24" customFormat="1" hidden="1" outlineLevel="1" x14ac:dyDescent="0.25">
      <c r="A99" s="44"/>
      <c r="B99" s="11" t="str">
        <f>CONCATENATE("          ", "4244", " - ", "SALES RETURN TAXABLE-ACCESSORI")</f>
        <v xml:space="preserve">          4244 - SALES RETURN TAXABLE-ACCESSORI</v>
      </c>
      <c r="C99" s="11"/>
      <c r="D99" s="2">
        <f>-202.71</f>
        <v>-202.71</v>
      </c>
      <c r="E99" s="2"/>
      <c r="F99" s="19"/>
      <c r="G99" s="2"/>
      <c r="H99" s="2">
        <f>-154.5</f>
        <v>-154.5</v>
      </c>
      <c r="I99" s="2"/>
      <c r="J99" s="19"/>
      <c r="K99" s="2"/>
      <c r="L99" s="2">
        <f t="shared" si="0"/>
        <v>-48.210000000000008</v>
      </c>
      <c r="M99" s="2"/>
      <c r="N99" s="19">
        <f t="shared" si="1"/>
        <v>0.31203883495145635</v>
      </c>
      <c r="O99" s="11"/>
      <c r="P99" s="2">
        <f>-1731.77</f>
        <v>-1731.77</v>
      </c>
      <c r="Q99" s="2"/>
      <c r="R99" s="19"/>
      <c r="S99" s="2"/>
      <c r="T99" s="2">
        <f>-2744.37</f>
        <v>-2744.37</v>
      </c>
      <c r="U99" s="2"/>
      <c r="V99" s="19"/>
      <c r="W99" s="2"/>
      <c r="X99" s="2">
        <f t="shared" si="2"/>
        <v>1012.5999999999999</v>
      </c>
      <c r="Y99" s="2"/>
      <c r="Z99" s="19">
        <f t="shared" si="3"/>
        <v>-0.36897357134788672</v>
      </c>
    </row>
    <row r="100" spans="1:26" s="24" customFormat="1" hidden="1" outlineLevel="1" x14ac:dyDescent="0.25">
      <c r="A100" s="44"/>
      <c r="B100" s="11" t="str">
        <f>CONCATENATE("          ", "4245", " - ", "SALES RETURN TAXABLE-SPECIAL O")</f>
        <v xml:space="preserve">          4245 - SALES RETURN TAXABLE-SPECIAL O</v>
      </c>
      <c r="C100" s="11"/>
      <c r="D100" s="2">
        <f>0</f>
        <v>0</v>
      </c>
      <c r="E100" s="2"/>
      <c r="F100" s="19"/>
      <c r="G100" s="2"/>
      <c r="H100" s="2">
        <f>-5.91</f>
        <v>-5.91</v>
      </c>
      <c r="I100" s="2"/>
      <c r="J100" s="19"/>
      <c r="K100" s="2"/>
      <c r="L100" s="2">
        <f t="shared" si="0"/>
        <v>5.91</v>
      </c>
      <c r="M100" s="2"/>
      <c r="N100" s="19">
        <f t="shared" si="1"/>
        <v>-1</v>
      </c>
      <c r="O100" s="11"/>
      <c r="P100" s="2">
        <f>-91.96</f>
        <v>-91.96</v>
      </c>
      <c r="Q100" s="2"/>
      <c r="R100" s="19"/>
      <c r="S100" s="2"/>
      <c r="T100" s="2">
        <f>-225.7</f>
        <v>-225.7</v>
      </c>
      <c r="U100" s="2"/>
      <c r="V100" s="19"/>
      <c r="W100" s="2"/>
      <c r="X100" s="2">
        <f t="shared" si="2"/>
        <v>133.74</v>
      </c>
      <c r="Y100" s="2"/>
      <c r="Z100" s="19">
        <f t="shared" si="3"/>
        <v>-0.59255649091714668</v>
      </c>
    </row>
    <row r="101" spans="1:26" s="24" customFormat="1" hidden="1" outlineLevel="1" x14ac:dyDescent="0.25">
      <c r="A101" s="44"/>
      <c r="B101" s="11" t="str">
        <f>CONCATENATE("          ", "4281", " - ", "SALES RETURN TAXABLE-ELECTRONI")</f>
        <v xml:space="preserve">          4281 - SALES RETURN TAXABLE-ELECTRONI</v>
      </c>
      <c r="C101" s="11"/>
      <c r="D101" s="2">
        <f>-814.9</f>
        <v>-814.9</v>
      </c>
      <c r="E101" s="2"/>
      <c r="F101" s="19"/>
      <c r="G101" s="2"/>
      <c r="H101" s="2">
        <f>-1014.74</f>
        <v>-1014.74</v>
      </c>
      <c r="I101" s="2"/>
      <c r="J101" s="19"/>
      <c r="K101" s="2"/>
      <c r="L101" s="2">
        <f t="shared" si="0"/>
        <v>199.84000000000003</v>
      </c>
      <c r="M101" s="2"/>
      <c r="N101" s="19">
        <f t="shared" si="1"/>
        <v>-0.1969371464611625</v>
      </c>
      <c r="O101" s="11"/>
      <c r="P101" s="2">
        <f>-5861.96</f>
        <v>-5861.96</v>
      </c>
      <c r="Q101" s="2"/>
      <c r="R101" s="19"/>
      <c r="S101" s="2"/>
      <c r="T101" s="2">
        <f>-5527.76</f>
        <v>-5527.76</v>
      </c>
      <c r="U101" s="2"/>
      <c r="V101" s="19"/>
      <c r="W101" s="2"/>
      <c r="X101" s="2">
        <f t="shared" si="2"/>
        <v>-334.19999999999982</v>
      </c>
      <c r="Y101" s="2"/>
      <c r="Z101" s="19">
        <f t="shared" si="3"/>
        <v>6.0458485896638027E-2</v>
      </c>
    </row>
    <row r="102" spans="1:26" s="24" customFormat="1" hidden="1" outlineLevel="1" x14ac:dyDescent="0.25">
      <c r="A102" s="44"/>
      <c r="B102" s="11" t="str">
        <f>CONCATENATE("          ", "4282", " - ", "SALES RETURN TAXABLE-COMPUTER")</f>
        <v xml:space="preserve">          4282 - SALES RETURN TAXABLE-COMPUTER</v>
      </c>
      <c r="C102" s="11"/>
      <c r="D102" s="2">
        <f>-7175.99</f>
        <v>-7175.99</v>
      </c>
      <c r="E102" s="2"/>
      <c r="F102" s="19"/>
      <c r="G102" s="2"/>
      <c r="H102" s="2">
        <f>-7470.3</f>
        <v>-7470.3</v>
      </c>
      <c r="I102" s="2"/>
      <c r="J102" s="19"/>
      <c r="K102" s="2"/>
      <c r="L102" s="2">
        <f t="shared" si="0"/>
        <v>294.3100000000004</v>
      </c>
      <c r="M102" s="2"/>
      <c r="N102" s="19">
        <f t="shared" si="1"/>
        <v>-3.9397346826767383E-2</v>
      </c>
      <c r="O102" s="11"/>
      <c r="P102" s="2">
        <f>-187653.58</f>
        <v>-187653.58</v>
      </c>
      <c r="Q102" s="2"/>
      <c r="R102" s="19"/>
      <c r="S102" s="2"/>
      <c r="T102" s="2">
        <f>-45046.97</f>
        <v>-45046.97</v>
      </c>
      <c r="U102" s="2"/>
      <c r="V102" s="19"/>
      <c r="W102" s="2"/>
      <c r="X102" s="2">
        <f t="shared" si="2"/>
        <v>-142606.60999999999</v>
      </c>
      <c r="Y102" s="2"/>
      <c r="Z102" s="19">
        <f t="shared" si="3"/>
        <v>3.1657314576318893</v>
      </c>
    </row>
    <row r="103" spans="1:26" s="24" customFormat="1" hidden="1" outlineLevel="1" x14ac:dyDescent="0.25">
      <c r="A103" s="44"/>
      <c r="B103" s="11" t="str">
        <f>CONCATENATE("          ", "4283", " - ", "SALES RETURN TAXABLE-COMPUTER")</f>
        <v xml:space="preserve">          4283 - SALES RETURN TAXABLE-COMPUTER</v>
      </c>
      <c r="C103" s="11"/>
      <c r="D103" s="2">
        <f>-325.91</f>
        <v>-325.91000000000003</v>
      </c>
      <c r="E103" s="2"/>
      <c r="F103" s="19"/>
      <c r="G103" s="2"/>
      <c r="H103" s="2">
        <f>-396.94</f>
        <v>-396.94</v>
      </c>
      <c r="I103" s="2"/>
      <c r="J103" s="19"/>
      <c r="K103" s="2"/>
      <c r="L103" s="2">
        <f t="shared" si="0"/>
        <v>71.029999999999973</v>
      </c>
      <c r="M103" s="2"/>
      <c r="N103" s="19">
        <f t="shared" si="1"/>
        <v>-0.1789439209956164</v>
      </c>
      <c r="O103" s="11"/>
      <c r="P103" s="2">
        <f>-3282.15</f>
        <v>-3282.15</v>
      </c>
      <c r="Q103" s="2"/>
      <c r="R103" s="19"/>
      <c r="S103" s="2"/>
      <c r="T103" s="2">
        <f>-4005.47</f>
        <v>-4005.47</v>
      </c>
      <c r="U103" s="2"/>
      <c r="V103" s="19"/>
      <c r="W103" s="2"/>
      <c r="X103" s="2">
        <f t="shared" si="2"/>
        <v>723.31999999999971</v>
      </c>
      <c r="Y103" s="2"/>
      <c r="Z103" s="19">
        <f t="shared" si="3"/>
        <v>-0.18058305267546623</v>
      </c>
    </row>
    <row r="104" spans="1:26" s="24" customFormat="1" hidden="1" outlineLevel="1" x14ac:dyDescent="0.25">
      <c r="A104" s="44"/>
      <c r="B104" s="11" t="str">
        <f>CONCATENATE("          ", "4284", " - ", "SALES RETURN TAXABLE-SOFTWARE")</f>
        <v xml:space="preserve">          4284 - SALES RETURN TAXABLE-SOFTWARE</v>
      </c>
      <c r="C104" s="11"/>
      <c r="D104" s="2">
        <f t="shared" ref="D104:D105" si="9">0</f>
        <v>0</v>
      </c>
      <c r="E104" s="2"/>
      <c r="F104" s="19"/>
      <c r="G104" s="2"/>
      <c r="H104" s="2">
        <f t="shared" ref="H104:H105" si="10"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-129</f>
        <v>-129</v>
      </c>
      <c r="Q104" s="2"/>
      <c r="R104" s="19"/>
      <c r="S104" s="2"/>
      <c r="T104" s="2">
        <f t="shared" ref="T104:T105" si="11">0</f>
        <v>0</v>
      </c>
      <c r="U104" s="2"/>
      <c r="V104" s="19"/>
      <c r="W104" s="2"/>
      <c r="X104" s="2">
        <f t="shared" si="2"/>
        <v>-129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"4285", " - ", "SALES RETURN TAXABLE-SOFTWARE")</f>
        <v xml:space="preserve">          4285 - SALES RETURN TAXABLE-SOFTWARE</v>
      </c>
      <c r="C105" s="11"/>
      <c r="D105" s="2">
        <f t="shared" si="9"/>
        <v>0</v>
      </c>
      <c r="E105" s="2"/>
      <c r="F105" s="19"/>
      <c r="G105" s="2"/>
      <c r="H105" s="2">
        <f t="shared" si="10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-655.98</f>
        <v>-655.98</v>
      </c>
      <c r="Q105" s="2"/>
      <c r="R105" s="19"/>
      <c r="S105" s="2"/>
      <c r="T105" s="2">
        <f t="shared" si="11"/>
        <v>0</v>
      </c>
      <c r="U105" s="2"/>
      <c r="V105" s="19"/>
      <c r="W105" s="2"/>
      <c r="X105" s="2">
        <f t="shared" si="2"/>
        <v>-655.98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"4286", " - ", "SALES RETURN TAXABLE-COMPUTER")</f>
        <v xml:space="preserve">          4286 - SALES RETURN TAXABLE-COMPUTER</v>
      </c>
      <c r="C106" s="11"/>
      <c r="D106" s="2">
        <f>-195.9</f>
        <v>-195.9</v>
      </c>
      <c r="E106" s="2"/>
      <c r="F106" s="19"/>
      <c r="G106" s="2"/>
      <c r="H106" s="2">
        <f>-424.13</f>
        <v>-424.13</v>
      </c>
      <c r="I106" s="2"/>
      <c r="J106" s="19"/>
      <c r="K106" s="2"/>
      <c r="L106" s="2">
        <f t="shared" si="0"/>
        <v>228.23</v>
      </c>
      <c r="M106" s="2"/>
      <c r="N106" s="19">
        <f t="shared" si="1"/>
        <v>-0.53811331431400744</v>
      </c>
      <c r="O106" s="11"/>
      <c r="P106" s="2">
        <f>-2987.89</f>
        <v>-2987.89</v>
      </c>
      <c r="Q106" s="2"/>
      <c r="R106" s="19"/>
      <c r="S106" s="2"/>
      <c r="T106" s="2">
        <f>-2937.75</f>
        <v>-2937.75</v>
      </c>
      <c r="U106" s="2"/>
      <c r="V106" s="19"/>
      <c r="W106" s="2"/>
      <c r="X106" s="2">
        <f t="shared" si="2"/>
        <v>-50.139999999999873</v>
      </c>
      <c r="Y106" s="2"/>
      <c r="Z106" s="19">
        <f t="shared" si="3"/>
        <v>1.7067483618415411E-2</v>
      </c>
    </row>
    <row r="107" spans="1:26" s="24" customFormat="1" hidden="1" outlineLevel="1" x14ac:dyDescent="0.25">
      <c r="A107" s="44"/>
      <c r="B107" s="11" t="str">
        <f>CONCATENATE("          ", "4288", " - ", "TAXABLE SALES RETURN-MUSIC")</f>
        <v xml:space="preserve">          4288 - TAXABLE SALES RETURN-MUSIC</v>
      </c>
      <c r="C107" s="11"/>
      <c r="D107" s="2">
        <f t="shared" ref="D107:D110" si="12">0</f>
        <v>0</v>
      </c>
      <c r="E107" s="2"/>
      <c r="F107" s="19"/>
      <c r="G107" s="2"/>
      <c r="H107" s="2">
        <f>0</f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-3.99</f>
        <v>-3.99</v>
      </c>
      <c r="Q107" s="2"/>
      <c r="R107" s="19"/>
      <c r="S107" s="2"/>
      <c r="T107" s="2">
        <f>0</f>
        <v>0</v>
      </c>
      <c r="U107" s="2"/>
      <c r="V107" s="19"/>
      <c r="W107" s="2"/>
      <c r="X107" s="2">
        <f t="shared" si="2"/>
        <v>-3.99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"4292", " - ", "SALES RETURN TAXABLE-GRAD MERC")</f>
        <v xml:space="preserve">          4292 - SALES RETURN TAXABLE-GRAD MERC</v>
      </c>
      <c r="C108" s="11"/>
      <c r="D108" s="2">
        <f t="shared" si="12"/>
        <v>0</v>
      </c>
      <c r="E108" s="2"/>
      <c r="F108" s="19"/>
      <c r="G108" s="2"/>
      <c r="H108" s="2">
        <f>-60</f>
        <v>-60</v>
      </c>
      <c r="I108" s="2"/>
      <c r="J108" s="19"/>
      <c r="K108" s="2"/>
      <c r="L108" s="2">
        <f t="shared" si="0"/>
        <v>60</v>
      </c>
      <c r="M108" s="2"/>
      <c r="N108" s="19">
        <f t="shared" si="1"/>
        <v>-1</v>
      </c>
      <c r="O108" s="11"/>
      <c r="P108" s="2">
        <f>-419.05</f>
        <v>-419.05</v>
      </c>
      <c r="Q108" s="2"/>
      <c r="R108" s="19"/>
      <c r="S108" s="2"/>
      <c r="T108" s="2">
        <f>-548.24</f>
        <v>-548.24</v>
      </c>
      <c r="U108" s="2"/>
      <c r="V108" s="19"/>
      <c r="W108" s="2"/>
      <c r="X108" s="2">
        <f t="shared" si="2"/>
        <v>129.19</v>
      </c>
      <c r="Y108" s="2"/>
      <c r="Z108" s="19">
        <f t="shared" si="3"/>
        <v>-0.23564497300452356</v>
      </c>
    </row>
    <row r="109" spans="1:26" s="24" customFormat="1" hidden="1" outlineLevel="1" x14ac:dyDescent="0.25">
      <c r="A109" s="44"/>
      <c r="B109" s="11" t="str">
        <f>CONCATENATE("          ", "4295", " - ", "SALES RETURN TAXABLE-CUSTOMER")</f>
        <v xml:space="preserve">          4295 - SALES RETURN TAXABLE-CUSTOMER</v>
      </c>
      <c r="C109" s="11"/>
      <c r="D109" s="2">
        <f t="shared" si="12"/>
        <v>0</v>
      </c>
      <c r="E109" s="2"/>
      <c r="F109" s="19"/>
      <c r="G109" s="2"/>
      <c r="H109" s="2">
        <f>0</f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--0.99</f>
        <v>0.99</v>
      </c>
      <c r="Q109" s="2"/>
      <c r="R109" s="19"/>
      <c r="S109" s="2"/>
      <c r="T109" s="2">
        <f>-126.72</f>
        <v>-126.72</v>
      </c>
      <c r="U109" s="2"/>
      <c r="V109" s="19"/>
      <c r="W109" s="2"/>
      <c r="X109" s="2">
        <f t="shared" si="2"/>
        <v>127.71</v>
      </c>
      <c r="Y109" s="2"/>
      <c r="Z109" s="19">
        <f t="shared" si="3"/>
        <v>-1.0078125</v>
      </c>
    </row>
    <row r="110" spans="1:26" s="24" customFormat="1" hidden="1" outlineLevel="1" x14ac:dyDescent="0.25">
      <c r="A110" s="44"/>
      <c r="B110" s="11" t="str">
        <f>CONCATENATE("          ", "4301", " - ", "SALES RETURN NON TAXABLE-NEW T")</f>
        <v xml:space="preserve">          4301 - SALES RETURN NON TAXABLE-NEW T</v>
      </c>
      <c r="C110" s="11"/>
      <c r="D110" s="2">
        <f t="shared" si="12"/>
        <v>0</v>
      </c>
      <c r="E110" s="2"/>
      <c r="F110" s="19"/>
      <c r="G110" s="2"/>
      <c r="H110" s="2">
        <f>-5102.08</f>
        <v>-5102.08</v>
      </c>
      <c r="I110" s="2"/>
      <c r="J110" s="19"/>
      <c r="K110" s="2"/>
      <c r="L110" s="2">
        <f t="shared" si="0"/>
        <v>5102.08</v>
      </c>
      <c r="M110" s="2"/>
      <c r="N110" s="19">
        <f t="shared" si="1"/>
        <v>-1</v>
      </c>
      <c r="O110" s="11"/>
      <c r="P110" s="2">
        <f>-12310.98</f>
        <v>-12310.98</v>
      </c>
      <c r="Q110" s="2"/>
      <c r="R110" s="19"/>
      <c r="S110" s="2"/>
      <c r="T110" s="2">
        <f>-30135.07</f>
        <v>-30135.07</v>
      </c>
      <c r="U110" s="2"/>
      <c r="V110" s="19"/>
      <c r="W110" s="2"/>
      <c r="X110" s="2">
        <f t="shared" si="2"/>
        <v>17824.09</v>
      </c>
      <c r="Y110" s="2"/>
      <c r="Z110" s="19">
        <f t="shared" si="3"/>
        <v>-0.59147332327417856</v>
      </c>
    </row>
    <row r="111" spans="1:26" s="24" customFormat="1" hidden="1" outlineLevel="1" x14ac:dyDescent="0.25">
      <c r="A111" s="44"/>
      <c r="B111" s="11" t="str">
        <f>CONCATENATE("          ", "4302", " - ", "SALES RETURN NON TAXABLE-TEXT")</f>
        <v xml:space="preserve">          4302 - SALES RETURN NON TAXABLE-TEXT</v>
      </c>
      <c r="C111" s="11"/>
      <c r="D111" s="2">
        <f>-14.1</f>
        <v>-14.1</v>
      </c>
      <c r="E111" s="2"/>
      <c r="F111" s="19"/>
      <c r="G111" s="2"/>
      <c r="H111" s="2">
        <f>-307.4</f>
        <v>-307.39999999999998</v>
      </c>
      <c r="I111" s="2"/>
      <c r="J111" s="19"/>
      <c r="K111" s="2"/>
      <c r="L111" s="2">
        <f t="shared" si="0"/>
        <v>293.29999999999995</v>
      </c>
      <c r="M111" s="2"/>
      <c r="N111" s="19">
        <f t="shared" si="1"/>
        <v>-0.9541314248536108</v>
      </c>
      <c r="O111" s="11"/>
      <c r="P111" s="2">
        <f>-697.9</f>
        <v>-697.9</v>
      </c>
      <c r="Q111" s="2"/>
      <c r="R111" s="19"/>
      <c r="S111" s="2"/>
      <c r="T111" s="2">
        <f>-2513.44</f>
        <v>-2513.44</v>
      </c>
      <c r="U111" s="2"/>
      <c r="V111" s="19"/>
      <c r="W111" s="2"/>
      <c r="X111" s="2">
        <f t="shared" si="2"/>
        <v>1815.54</v>
      </c>
      <c r="Y111" s="2"/>
      <c r="Z111" s="19">
        <f t="shared" si="3"/>
        <v>-0.72233273919409258</v>
      </c>
    </row>
    <row r="112" spans="1:26" s="24" customFormat="1" hidden="1" outlineLevel="1" x14ac:dyDescent="0.25">
      <c r="A112" s="44"/>
      <c r="B112" s="11" t="str">
        <f>CONCATENATE("          ", "4303", " - ", "SALES RETURN NON-TAXABLE-RENTA")</f>
        <v xml:space="preserve">          4303 - SALES RETURN NON-TAXABLE-RENTA</v>
      </c>
      <c r="C112" s="11"/>
      <c r="D112" s="2">
        <f>0</f>
        <v>0</v>
      </c>
      <c r="E112" s="2"/>
      <c r="F112" s="19"/>
      <c r="G112" s="2"/>
      <c r="H112" s="2">
        <f t="shared" ref="H112:H113" si="13">0</f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-184.99</f>
        <v>-184.99</v>
      </c>
      <c r="Q112" s="2"/>
      <c r="R112" s="19"/>
      <c r="S112" s="2"/>
      <c r="T112" s="2">
        <f>-509.85</f>
        <v>-509.85</v>
      </c>
      <c r="U112" s="2"/>
      <c r="V112" s="19"/>
      <c r="W112" s="2"/>
      <c r="X112" s="2">
        <f t="shared" si="2"/>
        <v>324.86</v>
      </c>
      <c r="Y112" s="2"/>
      <c r="Z112" s="19">
        <f t="shared" si="3"/>
        <v>-0.63716779444934779</v>
      </c>
    </row>
    <row r="113" spans="1:26" s="24" customFormat="1" hidden="1" outlineLevel="1" x14ac:dyDescent="0.25">
      <c r="A113" s="44"/>
      <c r="B113" s="11" t="str">
        <f>CONCATENATE("          ", "4304", " - ", "SALES RETURN NON TAXABLE-DIGIT")</f>
        <v xml:space="preserve">          4304 - SALES RETURN NON TAXABLE-DIGIT</v>
      </c>
      <c r="C113" s="11"/>
      <c r="D113" s="2">
        <f>-226.45</f>
        <v>-226.45</v>
      </c>
      <c r="E113" s="2"/>
      <c r="F113" s="19"/>
      <c r="G113" s="2"/>
      <c r="H113" s="2">
        <f t="shared" si="13"/>
        <v>0</v>
      </c>
      <c r="I113" s="2"/>
      <c r="J113" s="19"/>
      <c r="K113" s="2"/>
      <c r="L113" s="2">
        <f t="shared" si="0"/>
        <v>-226.45</v>
      </c>
      <c r="M113" s="2"/>
      <c r="N113" s="19">
        <f t="shared" si="1"/>
        <v>0</v>
      </c>
      <c r="O113" s="11"/>
      <c r="P113" s="2">
        <f>-13430.32</f>
        <v>-13430.32</v>
      </c>
      <c r="Q113" s="2"/>
      <c r="R113" s="19"/>
      <c r="S113" s="2"/>
      <c r="T113" s="2">
        <f>-3743.75</f>
        <v>-3743.75</v>
      </c>
      <c r="U113" s="2"/>
      <c r="V113" s="19"/>
      <c r="W113" s="2"/>
      <c r="X113" s="2">
        <f t="shared" si="2"/>
        <v>-9686.57</v>
      </c>
      <c r="Y113" s="2"/>
      <c r="Z113" s="19">
        <f t="shared" si="3"/>
        <v>2.5873976627712856</v>
      </c>
    </row>
    <row r="114" spans="1:26" s="24" customFormat="1" hidden="1" outlineLevel="1" x14ac:dyDescent="0.25">
      <c r="A114" s="44"/>
      <c r="B114" s="11" t="str">
        <f>CONCATENATE("          ", "4311", " - ", "SALES RETURN NON TAXABLE-NO VA")</f>
        <v xml:space="preserve">          4311 - SALES RETURN NON TAXABLE-NO VA</v>
      </c>
      <c r="C114" s="11"/>
      <c r="D114" s="2">
        <f t="shared" ref="D114:D116" si="14">0</f>
        <v>0</v>
      </c>
      <c r="E114" s="2"/>
      <c r="F114" s="19"/>
      <c r="G114" s="2"/>
      <c r="H114" s="2">
        <f>-22.98</f>
        <v>-22.98</v>
      </c>
      <c r="I114" s="2"/>
      <c r="J114" s="19"/>
      <c r="K114" s="2"/>
      <c r="L114" s="2">
        <f t="shared" si="0"/>
        <v>22.98</v>
      </c>
      <c r="M114" s="2"/>
      <c r="N114" s="19">
        <f t="shared" si="1"/>
        <v>-1</v>
      </c>
      <c r="O114" s="11"/>
      <c r="P114" s="2">
        <f>-387.96</f>
        <v>-387.96</v>
      </c>
      <c r="Q114" s="2"/>
      <c r="R114" s="19"/>
      <c r="S114" s="2"/>
      <c r="T114" s="2">
        <f>-609.26</f>
        <v>-609.26</v>
      </c>
      <c r="U114" s="2"/>
      <c r="V114" s="19"/>
      <c r="W114" s="2"/>
      <c r="X114" s="2">
        <f t="shared" si="2"/>
        <v>221.3</v>
      </c>
      <c r="Y114" s="2"/>
      <c r="Z114" s="19">
        <f t="shared" si="3"/>
        <v>-0.3632275219118275</v>
      </c>
    </row>
    <row r="115" spans="1:26" s="24" customFormat="1" hidden="1" outlineLevel="1" x14ac:dyDescent="0.25">
      <c r="A115" s="44"/>
      <c r="B115" s="11" t="str">
        <f>CONCATENATE("          ", "4326", " - ", "SALES RETURN NON TAXABLE-WRITI")</f>
        <v xml:space="preserve">          4326 - SALES RETURN NON TAXABLE-WRITI</v>
      </c>
      <c r="C115" s="11"/>
      <c r="D115" s="2">
        <f t="shared" si="14"/>
        <v>0</v>
      </c>
      <c r="E115" s="2"/>
      <c r="F115" s="19"/>
      <c r="G115" s="2"/>
      <c r="H115" s="2">
        <f t="shared" ref="H115:H117" si="15"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0</f>
        <v>0</v>
      </c>
      <c r="Q115" s="2"/>
      <c r="R115" s="19"/>
      <c r="S115" s="2"/>
      <c r="T115" s="2">
        <f>-8.08</f>
        <v>-8.08</v>
      </c>
      <c r="U115" s="2"/>
      <c r="V115" s="19"/>
      <c r="W115" s="2"/>
      <c r="X115" s="2">
        <f t="shared" si="2"/>
        <v>8.08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"4327", " - ", "SALES RETURN NON TAXABLE-SCHOO")</f>
        <v xml:space="preserve">          4327 - SALES RETURN NON TAXABLE-SCHOO</v>
      </c>
      <c r="C116" s="11"/>
      <c r="D116" s="2">
        <f t="shared" si="14"/>
        <v>0</v>
      </c>
      <c r="E116" s="2"/>
      <c r="F116" s="19"/>
      <c r="G116" s="2"/>
      <c r="H116" s="2">
        <f t="shared" si="15"/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-21.87</f>
        <v>-21.87</v>
      </c>
      <c r="Q116" s="2"/>
      <c r="R116" s="19"/>
      <c r="S116" s="2"/>
      <c r="T116" s="2">
        <f>0</f>
        <v>0</v>
      </c>
      <c r="U116" s="2"/>
      <c r="V116" s="19"/>
      <c r="W116" s="2"/>
      <c r="X116" s="2">
        <f t="shared" si="2"/>
        <v>-21.87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"4340", " - ", "SALES RETURN NON TAXABLE-LOGO")</f>
        <v xml:space="preserve">          4340 - SALES RETURN NON TAXABLE-LOGO</v>
      </c>
      <c r="C117" s="11"/>
      <c r="D117" s="2">
        <f>-391.5</f>
        <v>-391.5</v>
      </c>
      <c r="E117" s="2"/>
      <c r="F117" s="19"/>
      <c r="G117" s="2"/>
      <c r="H117" s="2">
        <f t="shared" si="15"/>
        <v>0</v>
      </c>
      <c r="I117" s="2"/>
      <c r="J117" s="19"/>
      <c r="K117" s="2"/>
      <c r="L117" s="2">
        <f t="shared" si="0"/>
        <v>-391.5</v>
      </c>
      <c r="M117" s="2"/>
      <c r="N117" s="19">
        <f t="shared" si="1"/>
        <v>0</v>
      </c>
      <c r="O117" s="11"/>
      <c r="P117" s="2">
        <f>-714.9</f>
        <v>-714.9</v>
      </c>
      <c r="Q117" s="2"/>
      <c r="R117" s="19"/>
      <c r="S117" s="2"/>
      <c r="T117" s="2">
        <f>-301.59</f>
        <v>-301.58999999999997</v>
      </c>
      <c r="U117" s="2"/>
      <c r="V117" s="19"/>
      <c r="W117" s="2"/>
      <c r="X117" s="2">
        <f t="shared" si="2"/>
        <v>-413.31</v>
      </c>
      <c r="Y117" s="2"/>
      <c r="Z117" s="19">
        <f t="shared" si="3"/>
        <v>1.3704366855664978</v>
      </c>
    </row>
    <row r="118" spans="1:26" s="24" customFormat="1" hidden="1" outlineLevel="1" x14ac:dyDescent="0.25">
      <c r="A118" s="44"/>
      <c r="B118" s="11" t="str">
        <f>CONCATENATE("          ", "4341", " - ", "SALES RETURN NON TAXABLE-LOGO")</f>
        <v xml:space="preserve">          4341 - SALES RETURN NON TAXABLE-LOGO</v>
      </c>
      <c r="C118" s="11"/>
      <c r="D118" s="2">
        <f>-9.95</f>
        <v>-9.9499999999999993</v>
      </c>
      <c r="E118" s="2"/>
      <c r="F118" s="19"/>
      <c r="G118" s="2"/>
      <c r="H118" s="2">
        <f>-58.85</f>
        <v>-58.85</v>
      </c>
      <c r="I118" s="2"/>
      <c r="J118" s="19"/>
      <c r="K118" s="2"/>
      <c r="L118" s="2">
        <f t="shared" si="0"/>
        <v>48.900000000000006</v>
      </c>
      <c r="M118" s="2"/>
      <c r="N118" s="19">
        <f t="shared" si="1"/>
        <v>-0.83092608326253192</v>
      </c>
      <c r="O118" s="11"/>
      <c r="P118" s="2">
        <f>-20.85</f>
        <v>-20.85</v>
      </c>
      <c r="Q118" s="2"/>
      <c r="R118" s="19"/>
      <c r="S118" s="2"/>
      <c r="T118" s="2">
        <f>-118.85</f>
        <v>-118.85</v>
      </c>
      <c r="U118" s="2"/>
      <c r="V118" s="19"/>
      <c r="W118" s="2"/>
      <c r="X118" s="2">
        <f t="shared" si="2"/>
        <v>98</v>
      </c>
      <c r="Y118" s="2"/>
      <c r="Z118" s="19">
        <f t="shared" si="3"/>
        <v>-0.82456878418174173</v>
      </c>
    </row>
    <row r="119" spans="1:26" s="24" customFormat="1" hidden="1" outlineLevel="1" x14ac:dyDescent="0.25">
      <c r="A119" s="44"/>
      <c r="B119" s="11" t="str">
        <f>CONCATENATE("          ", "4342", " - ", "SALES RETURN NON TAXABLE-EVERY")</f>
        <v xml:space="preserve">          4342 - SALES RETURN NON TAXABLE-EVERY</v>
      </c>
      <c r="C119" s="11"/>
      <c r="D119" s="2">
        <f t="shared" ref="D119:D123" si="16">0</f>
        <v>0</v>
      </c>
      <c r="E119" s="2"/>
      <c r="F119" s="19"/>
      <c r="G119" s="2"/>
      <c r="H119" s="2">
        <f>-68.75</f>
        <v>-68.75</v>
      </c>
      <c r="I119" s="2"/>
      <c r="J119" s="19"/>
      <c r="K119" s="2"/>
      <c r="L119" s="2">
        <f t="shared" si="0"/>
        <v>68.75</v>
      </c>
      <c r="M119" s="2"/>
      <c r="N119" s="19">
        <f t="shared" si="1"/>
        <v>-1</v>
      </c>
      <c r="O119" s="11"/>
      <c r="P119" s="2">
        <f>-109.8</f>
        <v>-109.8</v>
      </c>
      <c r="Q119" s="2"/>
      <c r="R119" s="19"/>
      <c r="S119" s="2"/>
      <c r="T119" s="2">
        <f>-68.75</f>
        <v>-68.75</v>
      </c>
      <c r="U119" s="2"/>
      <c r="V119" s="19"/>
      <c r="W119" s="2"/>
      <c r="X119" s="2">
        <f t="shared" si="2"/>
        <v>-41.05</v>
      </c>
      <c r="Y119" s="2"/>
      <c r="Z119" s="19">
        <f t="shared" si="3"/>
        <v>0.59709090909090901</v>
      </c>
    </row>
    <row r="120" spans="1:26" s="24" customFormat="1" hidden="1" outlineLevel="1" x14ac:dyDescent="0.25">
      <c r="A120" s="44"/>
      <c r="B120" s="11" t="str">
        <f>CONCATENATE("          ", "4346", " - ", "SALES RETURN NON TAXABLE-COIN-")</f>
        <v xml:space="preserve">          4346 - SALES RETURN NON TAXABLE-COIN-</v>
      </c>
      <c r="C120" s="11"/>
      <c r="D120" s="2">
        <f t="shared" si="16"/>
        <v>0</v>
      </c>
      <c r="E120" s="2"/>
      <c r="F120" s="19"/>
      <c r="G120" s="2"/>
      <c r="H120" s="2">
        <f>0</f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-8.15</f>
        <v>-8.15</v>
      </c>
      <c r="Q120" s="2"/>
      <c r="R120" s="19"/>
      <c r="S120" s="2"/>
      <c r="T120" s="2">
        <f>0</f>
        <v>0</v>
      </c>
      <c r="U120" s="2"/>
      <c r="V120" s="19"/>
      <c r="W120" s="2"/>
      <c r="X120" s="2">
        <f t="shared" si="2"/>
        <v>-8.15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"4381", " - ", "SALES RETURN NON TAXABLE-ELECT")</f>
        <v xml:space="preserve">          4381 - SALES RETURN NON TAXABLE-ELECT</v>
      </c>
      <c r="C121" s="11"/>
      <c r="D121" s="2">
        <f t="shared" si="16"/>
        <v>0</v>
      </c>
      <c r="E121" s="2"/>
      <c r="F121" s="19"/>
      <c r="G121" s="2"/>
      <c r="H121" s="2">
        <f>-9.99</f>
        <v>-9.99</v>
      </c>
      <c r="I121" s="2"/>
      <c r="J121" s="19"/>
      <c r="K121" s="2"/>
      <c r="L121" s="2">
        <f t="shared" si="0"/>
        <v>9.99</v>
      </c>
      <c r="M121" s="2"/>
      <c r="N121" s="19">
        <f t="shared" si="1"/>
        <v>-1</v>
      </c>
      <c r="O121" s="11"/>
      <c r="P121" s="2">
        <f>-1279.84</f>
        <v>-1279.8399999999999</v>
      </c>
      <c r="Q121" s="2"/>
      <c r="R121" s="19"/>
      <c r="S121" s="2"/>
      <c r="T121" s="2">
        <f>-9.99</f>
        <v>-9.99</v>
      </c>
      <c r="U121" s="2"/>
      <c r="V121" s="19"/>
      <c r="W121" s="2"/>
      <c r="X121" s="2">
        <f t="shared" si="2"/>
        <v>-1269.8499999999999</v>
      </c>
      <c r="Y121" s="2"/>
      <c r="Z121" s="19">
        <f t="shared" si="3"/>
        <v>127.1121121121121</v>
      </c>
    </row>
    <row r="122" spans="1:26" s="24" customFormat="1" hidden="1" outlineLevel="1" x14ac:dyDescent="0.25">
      <c r="A122" s="44"/>
      <c r="B122" s="11" t="str">
        <f>CONCATENATE("          ", "4383", " - ", "SALES RETURN NON TAXABLE-COMPU")</f>
        <v xml:space="preserve">          4383 - SALES RETURN NON TAXABLE-COMPU</v>
      </c>
      <c r="C122" s="11"/>
      <c r="D122" s="2">
        <f t="shared" si="16"/>
        <v>0</v>
      </c>
      <c r="E122" s="2"/>
      <c r="F122" s="19"/>
      <c r="G122" s="2"/>
      <c r="H122" s="2">
        <f>-39.98</f>
        <v>-39.979999999999997</v>
      </c>
      <c r="I122" s="2"/>
      <c r="J122" s="19"/>
      <c r="K122" s="2"/>
      <c r="L122" s="2">
        <f t="shared" si="0"/>
        <v>39.979999999999997</v>
      </c>
      <c r="M122" s="2"/>
      <c r="N122" s="19">
        <f t="shared" si="1"/>
        <v>-1</v>
      </c>
      <c r="O122" s="11"/>
      <c r="P122" s="2">
        <f>-49.98</f>
        <v>-49.98</v>
      </c>
      <c r="Q122" s="2"/>
      <c r="R122" s="19"/>
      <c r="S122" s="2"/>
      <c r="T122" s="2">
        <f>-53.97</f>
        <v>-53.97</v>
      </c>
      <c r="U122" s="2"/>
      <c r="V122" s="19"/>
      <c r="W122" s="2"/>
      <c r="X122" s="2">
        <f t="shared" si="2"/>
        <v>3.990000000000002</v>
      </c>
      <c r="Y122" s="2"/>
      <c r="Z122" s="19">
        <f t="shared" si="3"/>
        <v>-7.3929961089494206E-2</v>
      </c>
    </row>
    <row r="123" spans="1:26" s="24" customFormat="1" hidden="1" outlineLevel="1" x14ac:dyDescent="0.25">
      <c r="A123" s="44"/>
      <c r="B123" s="11" t="str">
        <f>CONCATENATE("          ", "4386", " - ", "SALES RETURN NON TAXABLE-COMPU")</f>
        <v xml:space="preserve">          4386 - SALES RETURN NON TAXABLE-COMPU</v>
      </c>
      <c r="C123" s="11"/>
      <c r="D123" s="2">
        <f t="shared" si="16"/>
        <v>0</v>
      </c>
      <c r="E123" s="2"/>
      <c r="F123" s="19"/>
      <c r="G123" s="2"/>
      <c r="H123" s="2">
        <f>-49.99</f>
        <v>-49.99</v>
      </c>
      <c r="I123" s="2"/>
      <c r="J123" s="19"/>
      <c r="K123" s="2"/>
      <c r="L123" s="2">
        <f t="shared" si="0"/>
        <v>49.99</v>
      </c>
      <c r="M123" s="2"/>
      <c r="N123" s="19">
        <f t="shared" si="1"/>
        <v>-1</v>
      </c>
      <c r="O123" s="11"/>
      <c r="P123" s="2">
        <f>-54.97</f>
        <v>-54.97</v>
      </c>
      <c r="Q123" s="2"/>
      <c r="R123" s="19"/>
      <c r="S123" s="2"/>
      <c r="T123" s="2">
        <f>-49.99</f>
        <v>-49.99</v>
      </c>
      <c r="U123" s="2"/>
      <c r="V123" s="19"/>
      <c r="W123" s="2"/>
      <c r="X123" s="2">
        <f t="shared" si="2"/>
        <v>-4.9799999999999969</v>
      </c>
      <c r="Y123" s="2"/>
      <c r="Z123" s="19">
        <f t="shared" si="3"/>
        <v>9.9619923984796896E-2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collapsed="1" x14ac:dyDescent="0.25">
      <c r="A125" s="10"/>
      <c r="B125" s="28" t="s">
        <v>8</v>
      </c>
      <c r="C125" s="10"/>
      <c r="D125" s="4">
        <f>SUM(OSRRefD16x_0)</f>
        <v>264708.85000000009</v>
      </c>
      <c r="E125" s="4"/>
      <c r="F125" s="12">
        <f t="shared" ref="F125:F182" si="17">IF(D$12=0,0,D125/D$12)</f>
        <v>0.5008663070174515</v>
      </c>
      <c r="G125" s="4"/>
      <c r="H125" s="4">
        <f>SUM(OSRRefH16x_0)</f>
        <v>387570.45999999979</v>
      </c>
      <c r="I125" s="4"/>
      <c r="J125" s="12">
        <f t="shared" ref="J125:J182" si="18">IF(H$12=0,0,H125/H$12)</f>
        <v>0.53790624576042079</v>
      </c>
      <c r="K125" s="4"/>
      <c r="L125" s="4">
        <f t="shared" ref="L125:L182" si="19">+D125-H125</f>
        <v>-122861.60999999969</v>
      </c>
      <c r="M125" s="4"/>
      <c r="N125" s="12">
        <f t="shared" ref="N125:N182" si="20">IF(H125=0,0,L125/H125)</f>
        <v>-0.31700457769665874</v>
      </c>
      <c r="O125" s="10"/>
      <c r="P125" s="4">
        <f>SUM(OSRRefP16x_0)</f>
        <v>4627473.8099999977</v>
      </c>
      <c r="Q125" s="4"/>
      <c r="R125" s="12">
        <f t="shared" ref="R125:R182" si="21">IF(P$12=0,0,P125/P$12)</f>
        <v>0.65188853134109093</v>
      </c>
      <c r="S125" s="4"/>
      <c r="T125" s="4">
        <f>SUM(OSRRefT16x_0)</f>
        <v>4868795.9300000006</v>
      </c>
      <c r="U125" s="4"/>
      <c r="V125" s="12">
        <f t="shared" ref="V125:V182" si="22">IF(T$12=0,0,T125/T$12)</f>
        <v>0.65311572080969238</v>
      </c>
      <c r="W125" s="4"/>
      <c r="X125" s="4">
        <f t="shared" ref="X125:X182" si="23">+P125-T125</f>
        <v>-241322.12000000291</v>
      </c>
      <c r="Y125" s="4"/>
      <c r="Z125" s="12">
        <f t="shared" ref="Z125:Z182" si="24">IF(T125=0,0,X125/T125)</f>
        <v>-4.956505129185048E-2</v>
      </c>
    </row>
    <row r="126" spans="1:26" s="24" customFormat="1" hidden="1" outlineLevel="1" x14ac:dyDescent="0.25">
      <c r="A126" s="44"/>
      <c r="B126" s="11" t="str">
        <f>CONCATENATE("          ", "5001", " - ", "PURCHASES @ COST-NEW TEXT")</f>
        <v xml:space="preserve">          5001 - PURCHASES @ COST-NEW TEXT</v>
      </c>
      <c r="C126" s="11"/>
      <c r="D126" s="2">
        <v>155219.06</v>
      </c>
      <c r="E126" s="2"/>
      <c r="F126" s="19">
        <f t="shared" si="17"/>
        <v>0.29369625292437407</v>
      </c>
      <c r="G126" s="2"/>
      <c r="H126" s="2">
        <v>435074.94</v>
      </c>
      <c r="I126" s="2"/>
      <c r="J126" s="19">
        <f t="shared" si="18"/>
        <v>0.60383737088693612</v>
      </c>
      <c r="K126" s="2"/>
      <c r="L126" s="2">
        <f t="shared" si="19"/>
        <v>-279855.88</v>
      </c>
      <c r="M126" s="2"/>
      <c r="N126" s="19">
        <f t="shared" si="20"/>
        <v>-0.64323603653200523</v>
      </c>
      <c r="O126" s="11"/>
      <c r="P126" s="2">
        <v>1737069.75</v>
      </c>
      <c r="Q126" s="2"/>
      <c r="R126" s="19">
        <f t="shared" si="21"/>
        <v>0.24470713280266765</v>
      </c>
      <c r="S126" s="2"/>
      <c r="T126" s="2">
        <v>2155732.5</v>
      </c>
      <c r="U126" s="2"/>
      <c r="V126" s="19">
        <f t="shared" si="22"/>
        <v>0.28917679152150871</v>
      </c>
      <c r="W126" s="2"/>
      <c r="X126" s="2">
        <f t="shared" si="23"/>
        <v>-418662.75</v>
      </c>
      <c r="Y126" s="2"/>
      <c r="Z126" s="19">
        <f t="shared" si="24"/>
        <v>-0.1942090449533975</v>
      </c>
    </row>
    <row r="127" spans="1:26" s="24" customFormat="1" hidden="1" outlineLevel="1" x14ac:dyDescent="0.25">
      <c r="A127" s="44"/>
      <c r="B127" s="11" t="str">
        <f>CONCATENATE("          ", "5002", " - ", "PURCHASES @ COST-USED TEXT")</f>
        <v xml:space="preserve">          5002 - PURCHASES @ COST-USED TEXT</v>
      </c>
      <c r="C127" s="11"/>
      <c r="D127" s="2">
        <v>40274.950000000004</v>
      </c>
      <c r="E127" s="2"/>
      <c r="F127" s="19">
        <f t="shared" si="17"/>
        <v>7.6205859652265132E-2</v>
      </c>
      <c r="G127" s="2"/>
      <c r="H127" s="2">
        <v>-55954.86</v>
      </c>
      <c r="I127" s="2"/>
      <c r="J127" s="19">
        <f t="shared" si="18"/>
        <v>-7.7659346573136542E-2</v>
      </c>
      <c r="K127" s="2"/>
      <c r="L127" s="2">
        <f t="shared" si="19"/>
        <v>96229.81</v>
      </c>
      <c r="M127" s="2"/>
      <c r="N127" s="19">
        <f t="shared" si="20"/>
        <v>-1.7197757263622855</v>
      </c>
      <c r="O127" s="11"/>
      <c r="P127" s="2">
        <v>252522.85</v>
      </c>
      <c r="Q127" s="2"/>
      <c r="R127" s="19">
        <f t="shared" si="21"/>
        <v>3.5573783142938346E-2</v>
      </c>
      <c r="S127" s="2"/>
      <c r="T127" s="2">
        <v>252363.15000000002</v>
      </c>
      <c r="U127" s="2"/>
      <c r="V127" s="19">
        <f t="shared" si="22"/>
        <v>3.3852792967244888E-2</v>
      </c>
      <c r="W127" s="2"/>
      <c r="X127" s="2">
        <f t="shared" si="23"/>
        <v>159.69999999998254</v>
      </c>
      <c r="Y127" s="2"/>
      <c r="Z127" s="19">
        <f t="shared" si="24"/>
        <v>6.3281822247020821E-4</v>
      </c>
    </row>
    <row r="128" spans="1:26" s="24" customFormat="1" hidden="1" outlineLevel="1" x14ac:dyDescent="0.25">
      <c r="A128" s="44"/>
      <c r="B128" s="11" t="str">
        <f>CONCATENATE("          ", "5003", " - ", "PURCHASES @ COST-RENTAL TEXT")</f>
        <v xml:space="preserve">          5003 - PURCHASES @ COST-RENTAL TEXT</v>
      </c>
      <c r="C128" s="11"/>
      <c r="D128" s="2"/>
      <c r="E128" s="2"/>
      <c r="F128" s="19">
        <f t="shared" si="17"/>
        <v>0</v>
      </c>
      <c r="G128" s="2"/>
      <c r="H128" s="2">
        <v>9907.4500000000007</v>
      </c>
      <c r="I128" s="2"/>
      <c r="J128" s="19">
        <f t="shared" si="18"/>
        <v>1.3750478389294902E-2</v>
      </c>
      <c r="K128" s="2"/>
      <c r="L128" s="2">
        <f t="shared" si="19"/>
        <v>-9907.4500000000007</v>
      </c>
      <c r="M128" s="2"/>
      <c r="N128" s="19">
        <f t="shared" si="20"/>
        <v>-1</v>
      </c>
      <c r="O128" s="11"/>
      <c r="P128" s="2">
        <v>-78.400000000000006</v>
      </c>
      <c r="Q128" s="2"/>
      <c r="R128" s="19">
        <f t="shared" si="21"/>
        <v>-1.1044484086910814E-5</v>
      </c>
      <c r="S128" s="2"/>
      <c r="T128" s="2">
        <v>8143.75</v>
      </c>
      <c r="U128" s="2"/>
      <c r="V128" s="19">
        <f t="shared" si="22"/>
        <v>1.092428441818865E-3</v>
      </c>
      <c r="W128" s="2"/>
      <c r="X128" s="2">
        <f t="shared" si="23"/>
        <v>-8222.15</v>
      </c>
      <c r="Y128" s="2"/>
      <c r="Z128" s="19">
        <f t="shared" si="24"/>
        <v>-1.0096270145817343</v>
      </c>
    </row>
    <row r="129" spans="1:26" s="24" customFormat="1" hidden="1" outlineLevel="1" x14ac:dyDescent="0.25">
      <c r="A129" s="44"/>
      <c r="B129" s="11" t="str">
        <f>CONCATENATE("          ", "5004", " - ", "PURCHASES @ COST-DIGITAL TEXT")</f>
        <v xml:space="preserve">          5004 - PURCHASES @ COST-DIGITAL TEXT</v>
      </c>
      <c r="C129" s="11"/>
      <c r="D129" s="2">
        <v>31572.300000000003</v>
      </c>
      <c r="E129" s="2"/>
      <c r="F129" s="19">
        <f t="shared" si="17"/>
        <v>5.9739224075987932E-2</v>
      </c>
      <c r="G129" s="2"/>
      <c r="H129" s="2">
        <v>25639.57</v>
      </c>
      <c r="I129" s="2"/>
      <c r="J129" s="19">
        <f t="shared" si="18"/>
        <v>3.5584974256323662E-2</v>
      </c>
      <c r="K129" s="2"/>
      <c r="L129" s="2">
        <f t="shared" si="19"/>
        <v>5932.7300000000032</v>
      </c>
      <c r="M129" s="2"/>
      <c r="N129" s="19">
        <f t="shared" si="20"/>
        <v>0.23138960598793207</v>
      </c>
      <c r="O129" s="11"/>
      <c r="P129" s="2">
        <v>354352.27</v>
      </c>
      <c r="Q129" s="2"/>
      <c r="R129" s="19">
        <f t="shared" si="21"/>
        <v>4.9918852132343421E-2</v>
      </c>
      <c r="S129" s="2"/>
      <c r="T129" s="2">
        <v>332594.94</v>
      </c>
      <c r="U129" s="2"/>
      <c r="V129" s="19">
        <f t="shared" si="22"/>
        <v>4.4615339623765335E-2</v>
      </c>
      <c r="W129" s="2"/>
      <c r="X129" s="2">
        <f t="shared" si="23"/>
        <v>21757.330000000016</v>
      </c>
      <c r="Y129" s="2"/>
      <c r="Z129" s="19">
        <f t="shared" si="24"/>
        <v>6.5416900209005036E-2</v>
      </c>
    </row>
    <row r="130" spans="1:26" s="24" customFormat="1" hidden="1" outlineLevel="1" x14ac:dyDescent="0.25">
      <c r="A130" s="44"/>
      <c r="B130" s="11" t="str">
        <f>CONCATENATE("          ", "5011", " - ", "PURCHASES @ COST-NO VALUE TEXT")</f>
        <v xml:space="preserve">          5011 - PURCHASES @ COST-NO VALUE TEXT</v>
      </c>
      <c r="C130" s="11"/>
      <c r="D130" s="2">
        <v>1161</v>
      </c>
      <c r="E130" s="2"/>
      <c r="F130" s="19">
        <f t="shared" si="17"/>
        <v>2.1967749942899944E-3</v>
      </c>
      <c r="G130" s="2"/>
      <c r="H130" s="2">
        <v>-264</v>
      </c>
      <c r="I130" s="2"/>
      <c r="J130" s="19">
        <f t="shared" si="18"/>
        <v>-3.6640369568091225E-4</v>
      </c>
      <c r="K130" s="2"/>
      <c r="L130" s="2">
        <f t="shared" si="19"/>
        <v>1425</v>
      </c>
      <c r="M130" s="2"/>
      <c r="N130" s="19">
        <f t="shared" si="20"/>
        <v>-5.3977272727272725</v>
      </c>
      <c r="O130" s="11"/>
      <c r="P130" s="2">
        <v>4902</v>
      </c>
      <c r="Q130" s="2"/>
      <c r="R130" s="19">
        <f t="shared" si="21"/>
        <v>6.9056200247495929E-4</v>
      </c>
      <c r="S130" s="2"/>
      <c r="T130" s="2">
        <v>2574</v>
      </c>
      <c r="U130" s="2"/>
      <c r="V130" s="19">
        <f t="shared" si="22"/>
        <v>3.4528451993759125E-4</v>
      </c>
      <c r="W130" s="2"/>
      <c r="X130" s="2">
        <f t="shared" si="23"/>
        <v>2328</v>
      </c>
      <c r="Y130" s="2"/>
      <c r="Z130" s="19">
        <f t="shared" si="24"/>
        <v>0.90442890442890445</v>
      </c>
    </row>
    <row r="131" spans="1:26" s="24" customFormat="1" hidden="1" outlineLevel="1" x14ac:dyDescent="0.25">
      <c r="A131" s="44"/>
      <c r="B131" s="11" t="str">
        <f>CONCATENATE("          ", "5013", " - ", "PURCHASES @ COST-TRADE BOOKS")</f>
        <v xml:space="preserve">          5013 - PURCHASES @ COST-TRADE BOOKS</v>
      </c>
      <c r="C131" s="11"/>
      <c r="D131" s="2">
        <v>37.17</v>
      </c>
      <c r="E131" s="2"/>
      <c r="F131" s="19">
        <f t="shared" si="17"/>
        <v>7.033085834432308E-5</v>
      </c>
      <c r="G131" s="2"/>
      <c r="H131" s="2"/>
      <c r="I131" s="2"/>
      <c r="J131" s="19">
        <f t="shared" si="18"/>
        <v>0</v>
      </c>
      <c r="K131" s="2"/>
      <c r="L131" s="2">
        <f t="shared" si="19"/>
        <v>37.17</v>
      </c>
      <c r="M131" s="2"/>
      <c r="N131" s="19">
        <f t="shared" si="20"/>
        <v>0</v>
      </c>
      <c r="O131" s="11"/>
      <c r="P131" s="2">
        <v>735.31</v>
      </c>
      <c r="Q131" s="2"/>
      <c r="R131" s="19">
        <f t="shared" si="21"/>
        <v>1.0358570910645905E-4</v>
      </c>
      <c r="S131" s="2"/>
      <c r="T131" s="2">
        <v>1406.94</v>
      </c>
      <c r="U131" s="2"/>
      <c r="V131" s="19">
        <f t="shared" si="22"/>
        <v>1.8873139179525822E-4</v>
      </c>
      <c r="W131" s="2"/>
      <c r="X131" s="2">
        <f t="shared" si="23"/>
        <v>-671.63000000000011</v>
      </c>
      <c r="Y131" s="2"/>
      <c r="Z131" s="19">
        <f t="shared" si="24"/>
        <v>-0.47736932633943174</v>
      </c>
    </row>
    <row r="132" spans="1:26" s="24" customFormat="1" hidden="1" outlineLevel="1" x14ac:dyDescent="0.25">
      <c r="A132" s="44"/>
      <c r="B132" s="11" t="str">
        <f>CONCATENATE("          ", "5014", " - ", "PURCHASES @ COST-REMAINDERS")</f>
        <v xml:space="preserve">          5014 - PURCHASES @ COST-REMAINDERS</v>
      </c>
      <c r="C132" s="11"/>
      <c r="D132" s="2">
        <v>56.98</v>
      </c>
      <c r="E132" s="2"/>
      <c r="F132" s="19">
        <f t="shared" si="17"/>
        <v>1.0781415949581728E-4</v>
      </c>
      <c r="G132" s="2"/>
      <c r="H132" s="2">
        <v>52.76</v>
      </c>
      <c r="I132" s="2"/>
      <c r="J132" s="19">
        <f t="shared" si="18"/>
        <v>7.3225223424715636E-5</v>
      </c>
      <c r="K132" s="2"/>
      <c r="L132" s="2">
        <f t="shared" si="19"/>
        <v>4.2199999999999989</v>
      </c>
      <c r="M132" s="2"/>
      <c r="N132" s="19">
        <f t="shared" si="20"/>
        <v>7.9984836997725531E-2</v>
      </c>
      <c r="O132" s="11"/>
      <c r="P132" s="2">
        <v>513.79</v>
      </c>
      <c r="Q132" s="2"/>
      <c r="R132" s="19">
        <f t="shared" si="21"/>
        <v>7.2379406620075331E-5</v>
      </c>
      <c r="S132" s="2"/>
      <c r="T132" s="2">
        <v>787.96</v>
      </c>
      <c r="U132" s="2"/>
      <c r="V132" s="19">
        <f t="shared" si="22"/>
        <v>1.0569945234266683E-4</v>
      </c>
      <c r="W132" s="2"/>
      <c r="X132" s="2">
        <f t="shared" si="23"/>
        <v>-274.17000000000007</v>
      </c>
      <c r="Y132" s="2"/>
      <c r="Z132" s="19">
        <f t="shared" si="24"/>
        <v>-0.34794913447383125</v>
      </c>
    </row>
    <row r="133" spans="1:26" s="24" customFormat="1" hidden="1" outlineLevel="1" x14ac:dyDescent="0.25">
      <c r="A133" s="44"/>
      <c r="B133" s="11" t="str">
        <f>CONCATENATE("          ", "5017", " - ", "PURCHASES @ COST-DORM/HOUSEWAR")</f>
        <v xml:space="preserve">          5017 - PURCHASES @ COST-DORM/HOUSEWAR</v>
      </c>
      <c r="C133" s="11"/>
      <c r="D133" s="2"/>
      <c r="E133" s="2"/>
      <c r="F133" s="19">
        <f t="shared" si="17"/>
        <v>0</v>
      </c>
      <c r="G133" s="2"/>
      <c r="H133" s="2"/>
      <c r="I133" s="2"/>
      <c r="J133" s="19">
        <f t="shared" si="18"/>
        <v>0</v>
      </c>
      <c r="K133" s="2"/>
      <c r="L133" s="2">
        <f t="shared" si="19"/>
        <v>0</v>
      </c>
      <c r="M133" s="2"/>
      <c r="N133" s="19">
        <f t="shared" si="20"/>
        <v>0</v>
      </c>
      <c r="O133" s="11"/>
      <c r="P133" s="2">
        <v>0</v>
      </c>
      <c r="Q133" s="2"/>
      <c r="R133" s="19">
        <f t="shared" si="21"/>
        <v>0</v>
      </c>
      <c r="S133" s="2"/>
      <c r="T133" s="2">
        <v>239.9</v>
      </c>
      <c r="U133" s="2"/>
      <c r="V133" s="19">
        <f t="shared" si="22"/>
        <v>3.2180946516327949E-5</v>
      </c>
      <c r="W133" s="2"/>
      <c r="X133" s="2">
        <f t="shared" si="23"/>
        <v>-239.9</v>
      </c>
      <c r="Y133" s="2"/>
      <c r="Z133" s="19">
        <f t="shared" si="24"/>
        <v>-1</v>
      </c>
    </row>
    <row r="134" spans="1:26" s="24" customFormat="1" hidden="1" outlineLevel="1" x14ac:dyDescent="0.25">
      <c r="A134" s="44"/>
      <c r="B134" s="11" t="str">
        <f>CONCATENATE("          ", "5018", " - ", "PURCHASES @ COST-STUDY GUIDES")</f>
        <v xml:space="preserve">          5018 - PURCHASES @ COST-STUDY GUIDES</v>
      </c>
      <c r="C134" s="11"/>
      <c r="D134" s="2">
        <v>196.31</v>
      </c>
      <c r="E134" s="2"/>
      <c r="F134" s="19">
        <f t="shared" si="17"/>
        <v>3.7144608021452951E-4</v>
      </c>
      <c r="G134" s="2"/>
      <c r="H134" s="2">
        <v>1051.22</v>
      </c>
      <c r="I134" s="2"/>
      <c r="J134" s="19">
        <f t="shared" si="18"/>
        <v>1.4589806552033659E-3</v>
      </c>
      <c r="K134" s="2"/>
      <c r="L134" s="2">
        <f t="shared" si="19"/>
        <v>-854.91000000000008</v>
      </c>
      <c r="M134" s="2"/>
      <c r="N134" s="19">
        <f t="shared" si="20"/>
        <v>-0.81325507505564965</v>
      </c>
      <c r="O134" s="11"/>
      <c r="P134" s="2">
        <v>998.4</v>
      </c>
      <c r="Q134" s="2"/>
      <c r="R134" s="19">
        <f t="shared" si="21"/>
        <v>1.406481238822928E-4</v>
      </c>
      <c r="S134" s="2"/>
      <c r="T134" s="2">
        <v>2085.77</v>
      </c>
      <c r="U134" s="2"/>
      <c r="V134" s="19">
        <f t="shared" si="22"/>
        <v>2.7979179998066422E-4</v>
      </c>
      <c r="W134" s="2"/>
      <c r="X134" s="2">
        <f t="shared" si="23"/>
        <v>-1087.3699999999999</v>
      </c>
      <c r="Y134" s="2"/>
      <c r="Z134" s="19">
        <f t="shared" si="24"/>
        <v>-0.52132785494086109</v>
      </c>
    </row>
    <row r="135" spans="1:26" s="24" customFormat="1" hidden="1" outlineLevel="1" x14ac:dyDescent="0.25">
      <c r="A135" s="44"/>
      <c r="B135" s="11" t="str">
        <f>CONCATENATE("          ", "5025", " - ", "PURCHASES @ COST-TEST FORMS")</f>
        <v xml:space="preserve">          5025 - PURCHASES @ COST-TEST FORMS</v>
      </c>
      <c r="C135" s="11"/>
      <c r="D135" s="2">
        <v>0</v>
      </c>
      <c r="E135" s="2"/>
      <c r="F135" s="19">
        <f t="shared" si="17"/>
        <v>0</v>
      </c>
      <c r="G135" s="2"/>
      <c r="H135" s="2">
        <v>12949.15</v>
      </c>
      <c r="I135" s="2"/>
      <c r="J135" s="19">
        <f t="shared" si="18"/>
        <v>1.797203187850941E-2</v>
      </c>
      <c r="K135" s="2"/>
      <c r="L135" s="2">
        <f t="shared" si="19"/>
        <v>-12949.15</v>
      </c>
      <c r="M135" s="2"/>
      <c r="N135" s="19">
        <f t="shared" si="20"/>
        <v>-1</v>
      </c>
      <c r="O135" s="11"/>
      <c r="P135" s="2">
        <v>22098.390000000003</v>
      </c>
      <c r="Q135" s="2"/>
      <c r="R135" s="19">
        <f t="shared" si="21"/>
        <v>3.1130780191498605E-3</v>
      </c>
      <c r="S135" s="2"/>
      <c r="T135" s="2">
        <v>14999.150000000001</v>
      </c>
      <c r="U135" s="2"/>
      <c r="V135" s="19">
        <f t="shared" si="22"/>
        <v>2.0120335303892472E-3</v>
      </c>
      <c r="W135" s="2"/>
      <c r="X135" s="2">
        <f t="shared" si="23"/>
        <v>7099.2400000000016</v>
      </c>
      <c r="Y135" s="2"/>
      <c r="Z135" s="19">
        <f t="shared" si="24"/>
        <v>0.47330948753762719</v>
      </c>
    </row>
    <row r="136" spans="1:26" s="24" customFormat="1" hidden="1" outlineLevel="1" x14ac:dyDescent="0.25">
      <c r="A136" s="44"/>
      <c r="B136" s="11" t="str">
        <f>CONCATENATE("          ", "5026", " - ", "PURCHASES @ COST-WRITING INSTR")</f>
        <v xml:space="preserve">          5026 - PURCHASES @ COST-WRITING INSTR</v>
      </c>
      <c r="C136" s="11"/>
      <c r="D136" s="2">
        <v>4344.2</v>
      </c>
      <c r="E136" s="2"/>
      <c r="F136" s="19">
        <f t="shared" si="17"/>
        <v>8.2198362878506404E-3</v>
      </c>
      <c r="G136" s="2"/>
      <c r="H136" s="2">
        <v>3765.16</v>
      </c>
      <c r="I136" s="2"/>
      <c r="J136" s="19">
        <f t="shared" si="18"/>
        <v>5.2256384046588762E-3</v>
      </c>
      <c r="K136" s="2"/>
      <c r="L136" s="2">
        <f t="shared" si="19"/>
        <v>579.04</v>
      </c>
      <c r="M136" s="2"/>
      <c r="N136" s="19">
        <f t="shared" si="20"/>
        <v>0.15378894920800179</v>
      </c>
      <c r="O136" s="11"/>
      <c r="P136" s="2">
        <v>34294.769999999997</v>
      </c>
      <c r="Q136" s="2"/>
      <c r="R136" s="19">
        <f t="shared" si="21"/>
        <v>4.8312250195059478E-3</v>
      </c>
      <c r="S136" s="2"/>
      <c r="T136" s="2">
        <v>31774.220000000005</v>
      </c>
      <c r="U136" s="2"/>
      <c r="V136" s="19">
        <f t="shared" si="22"/>
        <v>4.2622945994916133E-3</v>
      </c>
      <c r="W136" s="2"/>
      <c r="X136" s="2">
        <f t="shared" si="23"/>
        <v>2520.549999999992</v>
      </c>
      <c r="Y136" s="2"/>
      <c r="Z136" s="19">
        <f t="shared" si="24"/>
        <v>7.9326888276092744E-2</v>
      </c>
    </row>
    <row r="137" spans="1:26" s="24" customFormat="1" hidden="1" outlineLevel="1" x14ac:dyDescent="0.25">
      <c r="A137" s="44"/>
      <c r="B137" s="11" t="str">
        <f>CONCATENATE("          ", "5027", " - ", "PURCHASES @ COST-SCHOOL SUPPLI")</f>
        <v xml:space="preserve">          5027 - PURCHASES @ COST-SCHOOL SUPPLI</v>
      </c>
      <c r="C137" s="11"/>
      <c r="D137" s="2">
        <v>2493.64</v>
      </c>
      <c r="E137" s="2"/>
      <c r="F137" s="19">
        <f t="shared" si="17"/>
        <v>4.7183169653413444E-3</v>
      </c>
      <c r="G137" s="2"/>
      <c r="H137" s="2">
        <v>15673.230000000001</v>
      </c>
      <c r="I137" s="2"/>
      <c r="J137" s="19">
        <f t="shared" si="18"/>
        <v>2.1752762860821759E-2</v>
      </c>
      <c r="K137" s="2"/>
      <c r="L137" s="2">
        <f t="shared" si="19"/>
        <v>-13179.590000000002</v>
      </c>
      <c r="M137" s="2"/>
      <c r="N137" s="19">
        <f t="shared" si="20"/>
        <v>-0.8408981428843959</v>
      </c>
      <c r="O137" s="11"/>
      <c r="P137" s="2">
        <v>78000</v>
      </c>
      <c r="Q137" s="2"/>
      <c r="R137" s="19">
        <f t="shared" si="21"/>
        <v>1.0988134678304125E-2</v>
      </c>
      <c r="S137" s="2"/>
      <c r="T137" s="2">
        <v>97906.49</v>
      </c>
      <c r="U137" s="2"/>
      <c r="V137" s="19">
        <f t="shared" si="22"/>
        <v>1.3133486945774896E-2</v>
      </c>
      <c r="W137" s="2"/>
      <c r="X137" s="2">
        <f t="shared" si="23"/>
        <v>-19906.490000000005</v>
      </c>
      <c r="Y137" s="2"/>
      <c r="Z137" s="19">
        <f t="shared" si="24"/>
        <v>-0.20332145499241169</v>
      </c>
    </row>
    <row r="138" spans="1:26" s="24" customFormat="1" hidden="1" outlineLevel="1" x14ac:dyDescent="0.25">
      <c r="A138" s="44"/>
      <c r="B138" s="11" t="str">
        <f>CONCATENATE("          ", "5028", " - ", "PURCHASES @ COST-ART/TECH")</f>
        <v xml:space="preserve">          5028 - PURCHASES @ COST-ART/TECH</v>
      </c>
      <c r="C138" s="11"/>
      <c r="D138" s="2">
        <v>7730.31</v>
      </c>
      <c r="E138" s="2"/>
      <c r="F138" s="19">
        <f t="shared" si="17"/>
        <v>1.4626831788208344E-2</v>
      </c>
      <c r="G138" s="2"/>
      <c r="H138" s="2">
        <v>12127.84</v>
      </c>
      <c r="I138" s="2"/>
      <c r="J138" s="19">
        <f t="shared" si="18"/>
        <v>1.6832141653889375E-2</v>
      </c>
      <c r="K138" s="2"/>
      <c r="L138" s="2">
        <f t="shared" si="19"/>
        <v>-4397.53</v>
      </c>
      <c r="M138" s="2"/>
      <c r="N138" s="19">
        <f t="shared" si="20"/>
        <v>-0.36259795643741999</v>
      </c>
      <c r="O138" s="11"/>
      <c r="P138" s="2">
        <v>103000.81999999999</v>
      </c>
      <c r="Q138" s="2"/>
      <c r="R138" s="19">
        <f t="shared" si="21"/>
        <v>1.4510088232509757E-2</v>
      </c>
      <c r="S138" s="2"/>
      <c r="T138" s="2">
        <v>97793.52</v>
      </c>
      <c r="U138" s="2"/>
      <c r="V138" s="19">
        <f t="shared" si="22"/>
        <v>1.31183327918443E-2</v>
      </c>
      <c r="W138" s="2"/>
      <c r="X138" s="2">
        <f t="shared" si="23"/>
        <v>5207.2999999999884</v>
      </c>
      <c r="Y138" s="2"/>
      <c r="Z138" s="19">
        <f t="shared" si="24"/>
        <v>5.3247904360125171E-2</v>
      </c>
    </row>
    <row r="139" spans="1:26" s="24" customFormat="1" hidden="1" outlineLevel="1" x14ac:dyDescent="0.25">
      <c r="A139" s="44"/>
      <c r="B139" s="11" t="str">
        <f>CONCATENATE("          ", "5031", " - ", "PURCHASES @ COST-FOOD")</f>
        <v xml:space="preserve">          5031 - PURCHASES @ COST-FOOD</v>
      </c>
      <c r="C139" s="11"/>
      <c r="D139" s="2">
        <v>1695.24</v>
      </c>
      <c r="E139" s="2"/>
      <c r="F139" s="19">
        <f t="shared" si="17"/>
        <v>3.2076320769338241E-3</v>
      </c>
      <c r="G139" s="2"/>
      <c r="H139" s="2">
        <v>1711.02</v>
      </c>
      <c r="I139" s="2"/>
      <c r="J139" s="19">
        <f t="shared" si="18"/>
        <v>2.3747123158483121E-3</v>
      </c>
      <c r="K139" s="2"/>
      <c r="L139" s="2">
        <f t="shared" si="19"/>
        <v>-15.779999999999973</v>
      </c>
      <c r="M139" s="2"/>
      <c r="N139" s="19">
        <f t="shared" si="20"/>
        <v>-9.2225689939334273E-3</v>
      </c>
      <c r="O139" s="11"/>
      <c r="P139" s="2">
        <v>22509.73</v>
      </c>
      <c r="Q139" s="2"/>
      <c r="R139" s="19">
        <f t="shared" si="21"/>
        <v>3.1710249334905476E-3</v>
      </c>
      <c r="S139" s="2"/>
      <c r="T139" s="2">
        <v>19133.79</v>
      </c>
      <c r="U139" s="2"/>
      <c r="V139" s="19">
        <f t="shared" si="22"/>
        <v>2.5666672473724493E-3</v>
      </c>
      <c r="W139" s="2"/>
      <c r="X139" s="2">
        <f t="shared" si="23"/>
        <v>3375.9399999999987</v>
      </c>
      <c r="Y139" s="2"/>
      <c r="Z139" s="19">
        <f t="shared" si="24"/>
        <v>0.17643864597656808</v>
      </c>
    </row>
    <row r="140" spans="1:26" s="24" customFormat="1" hidden="1" outlineLevel="1" x14ac:dyDescent="0.25">
      <c r="A140" s="44"/>
      <c r="B140" s="11" t="str">
        <f>CONCATENATE("          ", "5032", " - ", "PURCHASES @ COST-JUICE")</f>
        <v xml:space="preserve">          5032 - PURCHASES @ COST-JUICE</v>
      </c>
      <c r="C140" s="11"/>
      <c r="D140" s="2">
        <v>358.99</v>
      </c>
      <c r="E140" s="2"/>
      <c r="F140" s="19">
        <f t="shared" si="17"/>
        <v>6.7925947906990959E-4</v>
      </c>
      <c r="G140" s="2"/>
      <c r="H140" s="2">
        <v>891.9</v>
      </c>
      <c r="I140" s="2"/>
      <c r="J140" s="19">
        <f t="shared" si="18"/>
        <v>1.2378615764310819E-3</v>
      </c>
      <c r="K140" s="2"/>
      <c r="L140" s="2">
        <f t="shared" si="19"/>
        <v>-532.91</v>
      </c>
      <c r="M140" s="2"/>
      <c r="N140" s="19">
        <f t="shared" si="20"/>
        <v>-0.59749971969951787</v>
      </c>
      <c r="O140" s="11"/>
      <c r="P140" s="2">
        <v>5021.4799999999996</v>
      </c>
      <c r="Q140" s="2"/>
      <c r="R140" s="19">
        <f t="shared" si="21"/>
        <v>7.0739357082577679E-4</v>
      </c>
      <c r="S140" s="2"/>
      <c r="T140" s="2">
        <v>5570.25</v>
      </c>
      <c r="U140" s="2"/>
      <c r="V140" s="19">
        <f t="shared" si="22"/>
        <v>7.4721099346634326E-4</v>
      </c>
      <c r="W140" s="2"/>
      <c r="X140" s="2">
        <f t="shared" si="23"/>
        <v>-548.77000000000044</v>
      </c>
      <c r="Y140" s="2"/>
      <c r="Z140" s="19">
        <f t="shared" si="24"/>
        <v>-9.8518019837529808E-2</v>
      </c>
    </row>
    <row r="141" spans="1:26" s="24" customFormat="1" hidden="1" outlineLevel="1" x14ac:dyDescent="0.25">
      <c r="A141" s="44"/>
      <c r="B141" s="11" t="str">
        <f>CONCATENATE("          ", "5033", " - ", "PURCHASES @ COST-CANDY")</f>
        <v xml:space="preserve">          5033 - PURCHASES @ COST-CANDY</v>
      </c>
      <c r="C141" s="11"/>
      <c r="D141" s="2">
        <v>260.19</v>
      </c>
      <c r="E141" s="2"/>
      <c r="F141" s="19">
        <f t="shared" si="17"/>
        <v>4.9231600841026155E-4</v>
      </c>
      <c r="G141" s="2"/>
      <c r="H141" s="2">
        <v>143.51</v>
      </c>
      <c r="I141" s="2"/>
      <c r="J141" s="19">
        <f t="shared" si="18"/>
        <v>1.991764938150292E-4</v>
      </c>
      <c r="K141" s="2"/>
      <c r="L141" s="2">
        <f t="shared" si="19"/>
        <v>116.68</v>
      </c>
      <c r="M141" s="2"/>
      <c r="N141" s="19">
        <f t="shared" si="20"/>
        <v>0.81304438715072125</v>
      </c>
      <c r="O141" s="11"/>
      <c r="P141" s="2">
        <v>6197.93</v>
      </c>
      <c r="Q141" s="2"/>
      <c r="R141" s="19">
        <f t="shared" si="21"/>
        <v>8.7312422521412163E-4</v>
      </c>
      <c r="S141" s="2"/>
      <c r="T141" s="2">
        <v>4581.87</v>
      </c>
      <c r="U141" s="2"/>
      <c r="V141" s="19">
        <f t="shared" si="22"/>
        <v>6.1462656696443325E-4</v>
      </c>
      <c r="W141" s="2"/>
      <c r="X141" s="2">
        <f t="shared" si="23"/>
        <v>1616.0600000000004</v>
      </c>
      <c r="Y141" s="2"/>
      <c r="Z141" s="19">
        <f t="shared" si="24"/>
        <v>0.35270751898242431</v>
      </c>
    </row>
    <row r="142" spans="1:26" s="24" customFormat="1" hidden="1" outlineLevel="1" x14ac:dyDescent="0.25">
      <c r="A142" s="44"/>
      <c r="B142" s="11" t="str">
        <f>CONCATENATE("          ", "5034", " - ", "PURCHASES @ COST-SODA")</f>
        <v xml:space="preserve">          5034 - PURCHASES @ COST-SODA</v>
      </c>
      <c r="C142" s="11"/>
      <c r="D142" s="2">
        <v>42.24</v>
      </c>
      <c r="E142" s="2"/>
      <c r="F142" s="19">
        <f t="shared" si="17"/>
        <v>7.9924010128173435E-5</v>
      </c>
      <c r="G142" s="2"/>
      <c r="H142" s="2">
        <v>401.72</v>
      </c>
      <c r="I142" s="2"/>
      <c r="J142" s="19">
        <f t="shared" si="18"/>
        <v>5.5754429026112144E-4</v>
      </c>
      <c r="K142" s="2"/>
      <c r="L142" s="2">
        <f t="shared" si="19"/>
        <v>-359.48</v>
      </c>
      <c r="M142" s="2"/>
      <c r="N142" s="19">
        <f t="shared" si="20"/>
        <v>-0.89485213581599121</v>
      </c>
      <c r="O142" s="11"/>
      <c r="P142" s="2">
        <v>2124.16</v>
      </c>
      <c r="Q142" s="2"/>
      <c r="R142" s="19">
        <f t="shared" si="21"/>
        <v>2.9923789946495499E-4</v>
      </c>
      <c r="S142" s="2"/>
      <c r="T142" s="2">
        <v>2062.34</v>
      </c>
      <c r="U142" s="2"/>
      <c r="V142" s="19">
        <f t="shared" si="22"/>
        <v>2.7664882550430922E-4</v>
      </c>
      <c r="W142" s="2"/>
      <c r="X142" s="2">
        <f t="shared" si="23"/>
        <v>61.819999999999709</v>
      </c>
      <c r="Y142" s="2"/>
      <c r="Z142" s="19">
        <f t="shared" si="24"/>
        <v>2.9975658717767053E-2</v>
      </c>
    </row>
    <row r="143" spans="1:26" s="24" customFormat="1" hidden="1" outlineLevel="1" x14ac:dyDescent="0.25">
      <c r="A143" s="44"/>
      <c r="B143" s="11" t="str">
        <f>CONCATENATE("          ", "5035", " - ", "PURCHASES @ COST-HEALTH &amp; BEAU")</f>
        <v xml:space="preserve">          5035 - PURCHASES @ COST-HEALTH &amp; BEAU</v>
      </c>
      <c r="C143" s="11"/>
      <c r="D143" s="2">
        <v>23.17</v>
      </c>
      <c r="E143" s="2"/>
      <c r="F143" s="19">
        <f t="shared" si="17"/>
        <v>4.3840892866235286E-5</v>
      </c>
      <c r="G143" s="2"/>
      <c r="H143" s="2">
        <v>42.48</v>
      </c>
      <c r="I143" s="2"/>
      <c r="J143" s="19">
        <f t="shared" si="18"/>
        <v>5.8957685577746779E-5</v>
      </c>
      <c r="K143" s="2"/>
      <c r="L143" s="2">
        <f t="shared" si="19"/>
        <v>-19.309999999999995</v>
      </c>
      <c r="M143" s="2"/>
      <c r="N143" s="19">
        <f t="shared" si="20"/>
        <v>-0.45456685499058375</v>
      </c>
      <c r="O143" s="11"/>
      <c r="P143" s="2">
        <v>824.38</v>
      </c>
      <c r="Q143" s="2"/>
      <c r="R143" s="19">
        <f t="shared" si="21"/>
        <v>1.1613331366795326E-4</v>
      </c>
      <c r="S143" s="2"/>
      <c r="T143" s="2">
        <v>600.35</v>
      </c>
      <c r="U143" s="2"/>
      <c r="V143" s="19">
        <f t="shared" si="22"/>
        <v>8.0532852192903234E-5</v>
      </c>
      <c r="W143" s="2"/>
      <c r="X143" s="2">
        <f t="shared" si="23"/>
        <v>224.02999999999997</v>
      </c>
      <c r="Y143" s="2"/>
      <c r="Z143" s="19">
        <f t="shared" si="24"/>
        <v>0.37316565336886809</v>
      </c>
    </row>
    <row r="144" spans="1:26" s="24" customFormat="1" hidden="1" outlineLevel="1" x14ac:dyDescent="0.25">
      <c r="A144" s="44"/>
      <c r="B144" s="11" t="str">
        <f>CONCATENATE("          ", "5037", " - ", "PURCHASES @ COST-WATER")</f>
        <v xml:space="preserve">          5037 - PURCHASES @ COST-WATER</v>
      </c>
      <c r="C144" s="11"/>
      <c r="D144" s="2">
        <v>235.9</v>
      </c>
      <c r="E144" s="2"/>
      <c r="F144" s="19">
        <f t="shared" si="17"/>
        <v>4.4635591830577919E-4</v>
      </c>
      <c r="G144" s="2"/>
      <c r="H144" s="2">
        <v>424.48</v>
      </c>
      <c r="I144" s="2"/>
      <c r="J144" s="19">
        <f t="shared" si="18"/>
        <v>5.8913273008573343E-4</v>
      </c>
      <c r="K144" s="2"/>
      <c r="L144" s="2">
        <f t="shared" si="19"/>
        <v>-188.58</v>
      </c>
      <c r="M144" s="2"/>
      <c r="N144" s="19">
        <f t="shared" si="20"/>
        <v>-0.44426121372031663</v>
      </c>
      <c r="O144" s="11"/>
      <c r="P144" s="2">
        <v>3759.27</v>
      </c>
      <c r="Q144" s="2"/>
      <c r="R144" s="19">
        <f t="shared" si="21"/>
        <v>5.2958160323215834E-4</v>
      </c>
      <c r="S144" s="2"/>
      <c r="T144" s="2">
        <v>3896.09</v>
      </c>
      <c r="U144" s="2"/>
      <c r="V144" s="19">
        <f t="shared" si="22"/>
        <v>5.2263386374656179E-4</v>
      </c>
      <c r="W144" s="2"/>
      <c r="X144" s="2">
        <f t="shared" si="23"/>
        <v>-136.82000000000016</v>
      </c>
      <c r="Y144" s="2"/>
      <c r="Z144" s="19">
        <f t="shared" si="24"/>
        <v>-3.5117258584888997E-2</v>
      </c>
    </row>
    <row r="145" spans="1:26" s="24" customFormat="1" hidden="1" outlineLevel="1" x14ac:dyDescent="0.25">
      <c r="A145" s="44"/>
      <c r="B145" s="11" t="str">
        <f>CONCATENATE("          ", "5040", " - ", "PURCHASES @ COST-LOGO CLOTHING")</f>
        <v xml:space="preserve">          5040 - PURCHASES @ COST-LOGO CLOTHING</v>
      </c>
      <c r="C145" s="11"/>
      <c r="D145" s="2">
        <v>97946.53</v>
      </c>
      <c r="E145" s="2"/>
      <c r="F145" s="19">
        <f t="shared" si="17"/>
        <v>0.18532858559989213</v>
      </c>
      <c r="G145" s="2"/>
      <c r="H145" s="2">
        <v>62222.17</v>
      </c>
      <c r="I145" s="2"/>
      <c r="J145" s="19">
        <f t="shared" si="18"/>
        <v>8.6357700913962068E-2</v>
      </c>
      <c r="K145" s="2"/>
      <c r="L145" s="2">
        <f t="shared" si="19"/>
        <v>35724.36</v>
      </c>
      <c r="M145" s="2"/>
      <c r="N145" s="19">
        <f t="shared" si="20"/>
        <v>0.57414198186916343</v>
      </c>
      <c r="O145" s="11"/>
      <c r="P145" s="2">
        <v>716238.84000000008</v>
      </c>
      <c r="Q145" s="2"/>
      <c r="R145" s="19">
        <f t="shared" si="21"/>
        <v>0.10089908763785027</v>
      </c>
      <c r="S145" s="2"/>
      <c r="T145" s="2">
        <v>610458.11</v>
      </c>
      <c r="U145" s="2"/>
      <c r="V145" s="19">
        <f t="shared" si="22"/>
        <v>8.1888786112416193E-2</v>
      </c>
      <c r="W145" s="2"/>
      <c r="X145" s="2">
        <f t="shared" si="23"/>
        <v>105780.7300000001</v>
      </c>
      <c r="Y145" s="2"/>
      <c r="Z145" s="19">
        <f t="shared" si="24"/>
        <v>0.17328089883186268</v>
      </c>
    </row>
    <row r="146" spans="1:26" s="24" customFormat="1" hidden="1" outlineLevel="1" x14ac:dyDescent="0.25">
      <c r="A146" s="44"/>
      <c r="B146" s="11" t="str">
        <f>CONCATENATE("          ", "5041", " - ", "PURCHASES @ COST-LOGO GIFTS")</f>
        <v xml:space="preserve">          5041 - PURCHASES @ COST-LOGO GIFTS</v>
      </c>
      <c r="C146" s="11"/>
      <c r="D146" s="2">
        <v>20607.12</v>
      </c>
      <c r="E146" s="2"/>
      <c r="F146" s="19">
        <f t="shared" si="17"/>
        <v>3.8991564100200882E-2</v>
      </c>
      <c r="G146" s="2"/>
      <c r="H146" s="2">
        <v>8923.84</v>
      </c>
      <c r="I146" s="2"/>
      <c r="J146" s="19">
        <f t="shared" si="18"/>
        <v>1.2385333165398303E-2</v>
      </c>
      <c r="K146" s="2"/>
      <c r="L146" s="2">
        <f t="shared" si="19"/>
        <v>11683.279999999999</v>
      </c>
      <c r="M146" s="2"/>
      <c r="N146" s="19">
        <f t="shared" si="20"/>
        <v>1.3092211424678164</v>
      </c>
      <c r="O146" s="11"/>
      <c r="P146" s="2">
        <v>109403.67</v>
      </c>
      <c r="Q146" s="2"/>
      <c r="R146" s="19">
        <f t="shared" si="21"/>
        <v>1.5412080259753085E-2</v>
      </c>
      <c r="S146" s="2"/>
      <c r="T146" s="2">
        <v>105443.35</v>
      </c>
      <c r="U146" s="2"/>
      <c r="V146" s="19">
        <f t="shared" si="22"/>
        <v>1.4144505239068149E-2</v>
      </c>
      <c r="W146" s="2"/>
      <c r="X146" s="2">
        <f t="shared" si="23"/>
        <v>3960.3199999999924</v>
      </c>
      <c r="Y146" s="2"/>
      <c r="Z146" s="19">
        <f t="shared" si="24"/>
        <v>3.7558745999629113E-2</v>
      </c>
    </row>
    <row r="147" spans="1:26" s="24" customFormat="1" hidden="1" outlineLevel="1" x14ac:dyDescent="0.25">
      <c r="A147" s="44"/>
      <c r="B147" s="11" t="str">
        <f>CONCATENATE("          ", "5042", " - ", "PURCHASES @ COST-EVERYDAY GIFT")</f>
        <v xml:space="preserve">          5042 - PURCHASES @ COST-EVERYDAY GIFT</v>
      </c>
      <c r="C147" s="11"/>
      <c r="D147" s="2">
        <v>7822.79</v>
      </c>
      <c r="E147" s="2"/>
      <c r="F147" s="19">
        <f t="shared" si="17"/>
        <v>1.4801816931595026E-2</v>
      </c>
      <c r="G147" s="2"/>
      <c r="H147" s="2">
        <v>6183.21</v>
      </c>
      <c r="I147" s="2"/>
      <c r="J147" s="19">
        <f t="shared" si="18"/>
        <v>8.5816325574665647E-3</v>
      </c>
      <c r="K147" s="2"/>
      <c r="L147" s="2">
        <f t="shared" si="19"/>
        <v>1639.58</v>
      </c>
      <c r="M147" s="2"/>
      <c r="N147" s="19">
        <f t="shared" si="20"/>
        <v>0.26516647501863916</v>
      </c>
      <c r="O147" s="11"/>
      <c r="P147" s="2">
        <v>88388.11</v>
      </c>
      <c r="Q147" s="2"/>
      <c r="R147" s="19">
        <f t="shared" si="21"/>
        <v>1.2451544315907176E-2</v>
      </c>
      <c r="S147" s="2"/>
      <c r="T147" s="2">
        <v>80573.990000000005</v>
      </c>
      <c r="U147" s="2"/>
      <c r="V147" s="19">
        <f t="shared" si="22"/>
        <v>1.080845044934199E-2</v>
      </c>
      <c r="W147" s="2"/>
      <c r="X147" s="2">
        <f t="shared" si="23"/>
        <v>7814.1199999999953</v>
      </c>
      <c r="Y147" s="2"/>
      <c r="Z147" s="19">
        <f t="shared" si="24"/>
        <v>9.6980675773906622E-2</v>
      </c>
    </row>
    <row r="148" spans="1:26" s="24" customFormat="1" hidden="1" outlineLevel="1" x14ac:dyDescent="0.25">
      <c r="A148" s="44"/>
      <c r="B148" s="11" t="str">
        <f>CONCATENATE("          ", "5043", " - ", "PURCHASES @ COST-CARDS")</f>
        <v xml:space="preserve">          5043 - PURCHASES @ COST-CARDS</v>
      </c>
      <c r="C148" s="11"/>
      <c r="D148" s="2">
        <v>3256.15</v>
      </c>
      <c r="E148" s="2"/>
      <c r="F148" s="19">
        <f t="shared" si="17"/>
        <v>6.1610929351053959E-3</v>
      </c>
      <c r="G148" s="2"/>
      <c r="H148" s="2">
        <v>280.19</v>
      </c>
      <c r="I148" s="2"/>
      <c r="J148" s="19">
        <f t="shared" si="18"/>
        <v>3.8887367989710148E-4</v>
      </c>
      <c r="K148" s="2"/>
      <c r="L148" s="2">
        <f t="shared" si="19"/>
        <v>2975.96</v>
      </c>
      <c r="M148" s="2"/>
      <c r="N148" s="19">
        <f t="shared" si="20"/>
        <v>10.621221314108285</v>
      </c>
      <c r="O148" s="11"/>
      <c r="P148" s="2">
        <v>6784.89</v>
      </c>
      <c r="Q148" s="2"/>
      <c r="R148" s="19">
        <f t="shared" si="21"/>
        <v>9.558113474035754E-4</v>
      </c>
      <c r="S148" s="2"/>
      <c r="T148" s="2">
        <v>2544.06</v>
      </c>
      <c r="U148" s="2"/>
      <c r="V148" s="19">
        <f t="shared" si="22"/>
        <v>3.4126827342363187E-4</v>
      </c>
      <c r="W148" s="2"/>
      <c r="X148" s="2">
        <f t="shared" si="23"/>
        <v>4240.83</v>
      </c>
      <c r="Y148" s="2"/>
      <c r="Z148" s="19">
        <f t="shared" si="24"/>
        <v>1.6669536095846795</v>
      </c>
    </row>
    <row r="149" spans="1:26" s="24" customFormat="1" hidden="1" outlineLevel="1" x14ac:dyDescent="0.25">
      <c r="A149" s="44"/>
      <c r="B149" s="11" t="str">
        <f>CONCATENATE("          ", "5044", " - ", "PURCHASES @ COST-ACCESSORIES")</f>
        <v xml:space="preserve">          5044 - PURCHASES @ COST-ACCESSORIES</v>
      </c>
      <c r="C149" s="11"/>
      <c r="D149" s="2">
        <v>432</v>
      </c>
      <c r="E149" s="2"/>
      <c r="F149" s="19">
        <f t="shared" si="17"/>
        <v>8.1740464903813745E-4</v>
      </c>
      <c r="G149" s="2"/>
      <c r="H149" s="2">
        <v>836</v>
      </c>
      <c r="I149" s="2"/>
      <c r="J149" s="19">
        <f t="shared" si="18"/>
        <v>1.1602783696562221E-3</v>
      </c>
      <c r="K149" s="2"/>
      <c r="L149" s="2">
        <f t="shared" si="19"/>
        <v>-404</v>
      </c>
      <c r="M149" s="2"/>
      <c r="N149" s="19">
        <f t="shared" si="20"/>
        <v>-0.48325358851674644</v>
      </c>
      <c r="O149" s="11"/>
      <c r="P149" s="2">
        <v>17687.580000000002</v>
      </c>
      <c r="Q149" s="2"/>
      <c r="R149" s="19">
        <f t="shared" si="21"/>
        <v>2.4917116817086988E-3</v>
      </c>
      <c r="S149" s="2"/>
      <c r="T149" s="2">
        <v>20975.030000000002</v>
      </c>
      <c r="U149" s="2"/>
      <c r="V149" s="19">
        <f t="shared" si="22"/>
        <v>2.8136570179590425E-3</v>
      </c>
      <c r="W149" s="2"/>
      <c r="X149" s="2">
        <f t="shared" si="23"/>
        <v>-3287.4500000000007</v>
      </c>
      <c r="Y149" s="2"/>
      <c r="Z149" s="19">
        <f t="shared" si="24"/>
        <v>-0.15673159943037032</v>
      </c>
    </row>
    <row r="150" spans="1:26" s="24" customFormat="1" hidden="1" outlineLevel="1" x14ac:dyDescent="0.25">
      <c r="A150" s="44"/>
      <c r="B150" s="11" t="str">
        <f>CONCATENATE("          ", "5045", " - ", "PURCHASES @ COST-SPECIAL ORDER")</f>
        <v xml:space="preserve">          5045 - PURCHASES @ COST-SPECIAL ORDER</v>
      </c>
      <c r="C150" s="11"/>
      <c r="D150" s="2">
        <v>-1045.9100000000001</v>
      </c>
      <c r="E150" s="2"/>
      <c r="F150" s="19">
        <f t="shared" si="17"/>
        <v>-1.9790085566561998E-3</v>
      </c>
      <c r="G150" s="2"/>
      <c r="H150" s="2">
        <v>2360.23</v>
      </c>
      <c r="I150" s="2"/>
      <c r="J150" s="19">
        <f t="shared" si="18"/>
        <v>3.2757461918824222E-3</v>
      </c>
      <c r="K150" s="2"/>
      <c r="L150" s="2">
        <f t="shared" si="19"/>
        <v>-3406.1400000000003</v>
      </c>
      <c r="M150" s="2"/>
      <c r="N150" s="19">
        <f t="shared" si="20"/>
        <v>-1.4431390161128366</v>
      </c>
      <c r="O150" s="11"/>
      <c r="P150" s="2">
        <v>41180.579999999994</v>
      </c>
      <c r="Q150" s="2"/>
      <c r="R150" s="19">
        <f t="shared" si="21"/>
        <v>5.8012533227009902E-3</v>
      </c>
      <c r="S150" s="2"/>
      <c r="T150" s="2">
        <v>51672.310000000005</v>
      </c>
      <c r="U150" s="2"/>
      <c r="V150" s="19">
        <f t="shared" si="22"/>
        <v>6.9314874718012422E-3</v>
      </c>
      <c r="W150" s="2"/>
      <c r="X150" s="2">
        <f t="shared" si="23"/>
        <v>-10491.73000000001</v>
      </c>
      <c r="Y150" s="2"/>
      <c r="Z150" s="19">
        <f t="shared" si="24"/>
        <v>-0.20304356433842438</v>
      </c>
    </row>
    <row r="151" spans="1:26" s="24" customFormat="1" hidden="1" outlineLevel="1" x14ac:dyDescent="0.25">
      <c r="A151" s="44"/>
      <c r="B151" s="11" t="str">
        <f>CONCATENATE("          ", "5081", " - ", "PURCHASES @ COST-ELECTRONICS")</f>
        <v xml:space="preserve">          5081 - PURCHASES @ COST-ELECTRONICS</v>
      </c>
      <c r="C151" s="11"/>
      <c r="D151" s="2">
        <v>3128.44</v>
      </c>
      <c r="E151" s="2"/>
      <c r="F151" s="19">
        <f t="shared" si="17"/>
        <v>5.9194476857334965E-3</v>
      </c>
      <c r="G151" s="2"/>
      <c r="H151" s="2">
        <v>2325.7800000000002</v>
      </c>
      <c r="I151" s="2"/>
      <c r="J151" s="19">
        <f t="shared" si="18"/>
        <v>3.2279332853816368E-3</v>
      </c>
      <c r="K151" s="2"/>
      <c r="L151" s="2">
        <f t="shared" si="19"/>
        <v>802.65999999999985</v>
      </c>
      <c r="M151" s="2"/>
      <c r="N151" s="19">
        <f t="shared" si="20"/>
        <v>0.34511432723645391</v>
      </c>
      <c r="O151" s="11"/>
      <c r="P151" s="2">
        <v>189180.98</v>
      </c>
      <c r="Q151" s="2"/>
      <c r="R151" s="19">
        <f t="shared" si="21"/>
        <v>2.6650590856584094E-2</v>
      </c>
      <c r="S151" s="2"/>
      <c r="T151" s="2">
        <v>163212.35</v>
      </c>
      <c r="U151" s="2"/>
      <c r="V151" s="19">
        <f t="shared" si="22"/>
        <v>2.1893822034823669E-2</v>
      </c>
      <c r="W151" s="2"/>
      <c r="X151" s="2">
        <f t="shared" si="23"/>
        <v>25968.630000000005</v>
      </c>
      <c r="Y151" s="2"/>
      <c r="Z151" s="19">
        <f t="shared" si="24"/>
        <v>0.1591094669000232</v>
      </c>
    </row>
    <row r="152" spans="1:26" s="24" customFormat="1" hidden="1" outlineLevel="1" x14ac:dyDescent="0.25">
      <c r="A152" s="44"/>
      <c r="B152" s="11" t="str">
        <f>CONCATENATE("          ", "5082", " - ", "PURCHASES @ COST-COMPUTER HARD")</f>
        <v xml:space="preserve">          5082 - PURCHASES @ COST-COMPUTER HARD</v>
      </c>
      <c r="C152" s="11"/>
      <c r="D152" s="2">
        <v>49932.72</v>
      </c>
      <c r="E152" s="2"/>
      <c r="F152" s="19">
        <f t="shared" si="17"/>
        <v>9.447971635907311E-2</v>
      </c>
      <c r="G152" s="2"/>
      <c r="H152" s="2">
        <v>86281.75</v>
      </c>
      <c r="I152" s="2"/>
      <c r="J152" s="19">
        <f t="shared" si="18"/>
        <v>0.1197498184462748</v>
      </c>
      <c r="K152" s="2"/>
      <c r="L152" s="2">
        <f t="shared" si="19"/>
        <v>-36349.03</v>
      </c>
      <c r="M152" s="2"/>
      <c r="N152" s="19">
        <f t="shared" si="20"/>
        <v>-0.4212829480162375</v>
      </c>
      <c r="O152" s="11"/>
      <c r="P152" s="2">
        <v>1008527.58</v>
      </c>
      <c r="Q152" s="2"/>
      <c r="R152" s="19">
        <f t="shared" si="21"/>
        <v>0.14207483174133509</v>
      </c>
      <c r="S152" s="2"/>
      <c r="T152" s="2">
        <v>945946.30999999994</v>
      </c>
      <c r="U152" s="2"/>
      <c r="V152" s="19">
        <f t="shared" si="22"/>
        <v>0.12689223680461767</v>
      </c>
      <c r="W152" s="2"/>
      <c r="X152" s="2">
        <f t="shared" si="23"/>
        <v>62581.270000000019</v>
      </c>
      <c r="Y152" s="2"/>
      <c r="Z152" s="19">
        <f t="shared" si="24"/>
        <v>6.6157317110312558E-2</v>
      </c>
    </row>
    <row r="153" spans="1:26" s="24" customFormat="1" hidden="1" outlineLevel="1" x14ac:dyDescent="0.25">
      <c r="A153" s="44"/>
      <c r="B153" s="11" t="str">
        <f>CONCATENATE("          ", "5083", " - ", "PURCHASES @ COST-COMPUTER EQUI")</f>
        <v xml:space="preserve">          5083 - PURCHASES @ COST-COMPUTER EQUI</v>
      </c>
      <c r="C153" s="11"/>
      <c r="D153" s="2">
        <v>5662.46</v>
      </c>
      <c r="E153" s="2"/>
      <c r="F153" s="19">
        <f t="shared" si="17"/>
        <v>1.0714169280075212E-2</v>
      </c>
      <c r="G153" s="2"/>
      <c r="H153" s="2">
        <v>4644.99</v>
      </c>
      <c r="I153" s="2"/>
      <c r="J153" s="19">
        <f t="shared" si="18"/>
        <v>6.4467481151548496E-3</v>
      </c>
      <c r="K153" s="2"/>
      <c r="L153" s="2">
        <f t="shared" si="19"/>
        <v>1017.4700000000003</v>
      </c>
      <c r="M153" s="2"/>
      <c r="N153" s="19">
        <f t="shared" si="20"/>
        <v>0.21904675790475336</v>
      </c>
      <c r="O153" s="11"/>
      <c r="P153" s="2">
        <v>54830.780000000006</v>
      </c>
      <c r="Q153" s="2"/>
      <c r="R153" s="19">
        <f t="shared" si="21"/>
        <v>7.7242050661085167E-3</v>
      </c>
      <c r="S153" s="2"/>
      <c r="T153" s="2">
        <v>62050.33</v>
      </c>
      <c r="U153" s="2"/>
      <c r="V153" s="19">
        <f t="shared" si="22"/>
        <v>8.3236279743664019E-3</v>
      </c>
      <c r="W153" s="2"/>
      <c r="X153" s="2">
        <f t="shared" si="23"/>
        <v>-7219.5499999999956</v>
      </c>
      <c r="Y153" s="2"/>
      <c r="Z153" s="19">
        <f t="shared" si="24"/>
        <v>-0.1163499049884182</v>
      </c>
    </row>
    <row r="154" spans="1:26" s="24" customFormat="1" hidden="1" outlineLevel="1" x14ac:dyDescent="0.25">
      <c r="A154" s="44"/>
      <c r="B154" s="11" t="str">
        <f>CONCATENATE("          ", "5084", " - ", "PURCHASES @ COST-SOFTWARE LICE")</f>
        <v xml:space="preserve">          5084 - PURCHASES @ COST-SOFTWARE LICE</v>
      </c>
      <c r="C154" s="11"/>
      <c r="D154" s="2"/>
      <c r="E154" s="2"/>
      <c r="F154" s="19">
        <f t="shared" si="17"/>
        <v>0</v>
      </c>
      <c r="G154" s="2"/>
      <c r="H154" s="2">
        <v>1077</v>
      </c>
      <c r="I154" s="2"/>
      <c r="J154" s="19">
        <f t="shared" si="18"/>
        <v>1.4947605312437215E-3</v>
      </c>
      <c r="K154" s="2"/>
      <c r="L154" s="2">
        <f t="shared" si="19"/>
        <v>-1077</v>
      </c>
      <c r="M154" s="2"/>
      <c r="N154" s="19">
        <f t="shared" si="20"/>
        <v>-1</v>
      </c>
      <c r="O154" s="11"/>
      <c r="P154" s="2">
        <v>2728</v>
      </c>
      <c r="Q154" s="2"/>
      <c r="R154" s="19">
        <f t="shared" si="21"/>
        <v>3.8430296669761095E-4</v>
      </c>
      <c r="S154" s="2"/>
      <c r="T154" s="2">
        <v>1750</v>
      </c>
      <c r="U154" s="2"/>
      <c r="V154" s="19">
        <f t="shared" si="22"/>
        <v>2.3475054774311759E-4</v>
      </c>
      <c r="W154" s="2"/>
      <c r="X154" s="2">
        <f t="shared" si="23"/>
        <v>978</v>
      </c>
      <c r="Y154" s="2"/>
      <c r="Z154" s="19">
        <f t="shared" si="24"/>
        <v>0.55885714285714283</v>
      </c>
    </row>
    <row r="155" spans="1:26" s="24" customFormat="1" hidden="1" outlineLevel="1" x14ac:dyDescent="0.25">
      <c r="A155" s="44"/>
      <c r="B155" s="11" t="str">
        <f>CONCATENATE("          ", "5085", " - ", "PURCHASES @ COST-SOFTWARE")</f>
        <v xml:space="preserve">          5085 - PURCHASES @ COST-SOFTWARE</v>
      </c>
      <c r="C155" s="11"/>
      <c r="D155" s="2">
        <v>780.26</v>
      </c>
      <c r="E155" s="2"/>
      <c r="F155" s="19">
        <f t="shared" si="17"/>
        <v>1.476361461709484E-3</v>
      </c>
      <c r="G155" s="2"/>
      <c r="H155" s="2"/>
      <c r="I155" s="2"/>
      <c r="J155" s="19">
        <f t="shared" si="18"/>
        <v>0</v>
      </c>
      <c r="K155" s="2"/>
      <c r="L155" s="2">
        <f t="shared" si="19"/>
        <v>780.26</v>
      </c>
      <c r="M155" s="2"/>
      <c r="N155" s="19">
        <f t="shared" si="20"/>
        <v>0</v>
      </c>
      <c r="O155" s="11"/>
      <c r="P155" s="2">
        <v>7860.66</v>
      </c>
      <c r="Q155" s="2"/>
      <c r="R155" s="19">
        <f t="shared" si="21"/>
        <v>1.1073588556456168E-3</v>
      </c>
      <c r="S155" s="2"/>
      <c r="T155" s="2">
        <v>6563.47</v>
      </c>
      <c r="U155" s="2"/>
      <c r="V155" s="19">
        <f t="shared" si="22"/>
        <v>8.8044467291172577E-4</v>
      </c>
      <c r="W155" s="2"/>
      <c r="X155" s="2">
        <f t="shared" si="23"/>
        <v>1297.1899999999996</v>
      </c>
      <c r="Y155" s="2"/>
      <c r="Z155" s="19">
        <f t="shared" si="24"/>
        <v>0.19763783486478945</v>
      </c>
    </row>
    <row r="156" spans="1:26" s="24" customFormat="1" hidden="1" outlineLevel="1" x14ac:dyDescent="0.25">
      <c r="A156" s="44"/>
      <c r="B156" s="11" t="str">
        <f>CONCATENATE("          ", "5086", " - ", "PURCHASES @ COST-COMPUTER SUPP")</f>
        <v xml:space="preserve">          5086 - PURCHASES @ COST-COMPUTER SUPP</v>
      </c>
      <c r="C156" s="11"/>
      <c r="D156" s="2">
        <v>1560.99</v>
      </c>
      <c r="E156" s="2"/>
      <c r="F156" s="19">
        <f t="shared" si="17"/>
        <v>2.9536122294028752E-3</v>
      </c>
      <c r="G156" s="2"/>
      <c r="H156" s="2">
        <v>5537.84</v>
      </c>
      <c r="I156" s="2"/>
      <c r="J156" s="19">
        <f t="shared" si="18"/>
        <v>7.6859281897332689E-3</v>
      </c>
      <c r="K156" s="2"/>
      <c r="L156" s="2">
        <f t="shared" si="19"/>
        <v>-3976.8500000000004</v>
      </c>
      <c r="M156" s="2"/>
      <c r="N156" s="19">
        <f t="shared" si="20"/>
        <v>-0.71812295046444108</v>
      </c>
      <c r="O156" s="11"/>
      <c r="P156" s="2">
        <v>20983.64</v>
      </c>
      <c r="Q156" s="2"/>
      <c r="R156" s="19">
        <f t="shared" si="21"/>
        <v>2.9560392610390972E-3</v>
      </c>
      <c r="S156" s="2"/>
      <c r="T156" s="2">
        <v>24564.74</v>
      </c>
      <c r="U156" s="2"/>
      <c r="V156" s="19">
        <f t="shared" si="22"/>
        <v>3.2951920972384406E-3</v>
      </c>
      <c r="W156" s="2"/>
      <c r="X156" s="2">
        <f t="shared" si="23"/>
        <v>-3581.1000000000022</v>
      </c>
      <c r="Y156" s="2"/>
      <c r="Z156" s="19">
        <f t="shared" si="24"/>
        <v>-0.14578212511103322</v>
      </c>
    </row>
    <row r="157" spans="1:26" s="24" customFormat="1" hidden="1" outlineLevel="1" x14ac:dyDescent="0.25">
      <c r="A157" s="44"/>
      <c r="B157" s="11" t="str">
        <f>CONCATENATE("          ", "5088", " - ", "PURCHASES @ COST-MUSIC")</f>
        <v xml:space="preserve">          5088 - PURCHASES @ COST-MUSIC</v>
      </c>
      <c r="C157" s="11"/>
      <c r="D157" s="2"/>
      <c r="E157" s="2"/>
      <c r="F157" s="19">
        <f t="shared" si="17"/>
        <v>0</v>
      </c>
      <c r="G157" s="2"/>
      <c r="H157" s="2"/>
      <c r="I157" s="2"/>
      <c r="J157" s="19">
        <f t="shared" si="18"/>
        <v>0</v>
      </c>
      <c r="K157" s="2"/>
      <c r="L157" s="2">
        <f t="shared" si="19"/>
        <v>0</v>
      </c>
      <c r="M157" s="2"/>
      <c r="N157" s="19">
        <f t="shared" si="20"/>
        <v>0</v>
      </c>
      <c r="O157" s="11"/>
      <c r="P157" s="2">
        <v>88.75</v>
      </c>
      <c r="Q157" s="2"/>
      <c r="R157" s="19">
        <f t="shared" si="21"/>
        <v>1.2502525034608861E-5</v>
      </c>
      <c r="S157" s="2"/>
      <c r="T157" s="2">
        <v>0</v>
      </c>
      <c r="U157" s="2"/>
      <c r="V157" s="19">
        <f t="shared" si="22"/>
        <v>0</v>
      </c>
      <c r="W157" s="2"/>
      <c r="X157" s="2">
        <f t="shared" si="23"/>
        <v>88.75</v>
      </c>
      <c r="Y157" s="2"/>
      <c r="Z157" s="19">
        <f t="shared" si="24"/>
        <v>0</v>
      </c>
    </row>
    <row r="158" spans="1:26" s="24" customFormat="1" hidden="1" outlineLevel="1" x14ac:dyDescent="0.25">
      <c r="A158" s="44"/>
      <c r="B158" s="11" t="str">
        <f>CONCATENATE("          ", "5092", " - ", "PURCHASES @ COST-GRAD MERCH")</f>
        <v xml:space="preserve">          5092 - PURCHASES @ COST-GRAD MERCH</v>
      </c>
      <c r="C158" s="11"/>
      <c r="D158" s="2"/>
      <c r="E158" s="2"/>
      <c r="F158" s="19">
        <f t="shared" si="17"/>
        <v>0</v>
      </c>
      <c r="G158" s="2"/>
      <c r="H158" s="2">
        <v>828</v>
      </c>
      <c r="I158" s="2"/>
      <c r="J158" s="19">
        <f t="shared" si="18"/>
        <v>1.1491752273628611E-3</v>
      </c>
      <c r="K158" s="2"/>
      <c r="L158" s="2">
        <f t="shared" si="19"/>
        <v>-828</v>
      </c>
      <c r="M158" s="2"/>
      <c r="N158" s="19">
        <f t="shared" si="20"/>
        <v>-1</v>
      </c>
      <c r="O158" s="11"/>
      <c r="P158" s="2">
        <v>1924.14</v>
      </c>
      <c r="Q158" s="2"/>
      <c r="R158" s="19">
        <f t="shared" si="21"/>
        <v>2.7106037769118079E-4</v>
      </c>
      <c r="S158" s="2"/>
      <c r="T158" s="2">
        <v>-1870.04</v>
      </c>
      <c r="U158" s="2"/>
      <c r="V158" s="19">
        <f t="shared" si="22"/>
        <v>-2.5085309388659407E-4</v>
      </c>
      <c r="W158" s="2"/>
      <c r="X158" s="2">
        <f t="shared" si="23"/>
        <v>3794.1800000000003</v>
      </c>
      <c r="Y158" s="2"/>
      <c r="Z158" s="19">
        <f t="shared" si="24"/>
        <v>-2.0289298624628351</v>
      </c>
    </row>
    <row r="159" spans="1:26" s="24" customFormat="1" hidden="1" outlineLevel="1" x14ac:dyDescent="0.25">
      <c r="A159" s="44"/>
      <c r="B159" s="11" t="str">
        <f>CONCATENATE("          ", "5095", " - ", "PURCHASES @ COST-CUSTOMER SERV")</f>
        <v xml:space="preserve">          5095 - PURCHASES @ COST-CUSTOMER SERV</v>
      </c>
      <c r="C159" s="11"/>
      <c r="D159" s="2"/>
      <c r="E159" s="2"/>
      <c r="F159" s="19">
        <f t="shared" si="17"/>
        <v>0</v>
      </c>
      <c r="G159" s="2"/>
      <c r="H159" s="2">
        <v>0</v>
      </c>
      <c r="I159" s="2"/>
      <c r="J159" s="19">
        <f t="shared" si="18"/>
        <v>0</v>
      </c>
      <c r="K159" s="2"/>
      <c r="L159" s="2">
        <f t="shared" si="19"/>
        <v>0</v>
      </c>
      <c r="M159" s="2"/>
      <c r="N159" s="19">
        <f t="shared" si="20"/>
        <v>0</v>
      </c>
      <c r="O159" s="11"/>
      <c r="P159" s="2">
        <v>0</v>
      </c>
      <c r="Q159" s="2"/>
      <c r="R159" s="19">
        <f t="shared" si="21"/>
        <v>0</v>
      </c>
      <c r="S159" s="2"/>
      <c r="T159" s="2">
        <v>0</v>
      </c>
      <c r="U159" s="2"/>
      <c r="V159" s="19">
        <f t="shared" si="22"/>
        <v>0</v>
      </c>
      <c r="W159" s="2"/>
      <c r="X159" s="2">
        <f t="shared" si="23"/>
        <v>0</v>
      </c>
      <c r="Y159" s="2"/>
      <c r="Z159" s="19">
        <f t="shared" si="24"/>
        <v>0</v>
      </c>
    </row>
    <row r="160" spans="1:26" s="24" customFormat="1" hidden="1" outlineLevel="1" x14ac:dyDescent="0.25">
      <c r="A160" s="44"/>
      <c r="B160" s="11" t="str">
        <f>CONCATENATE("          ", "5200", " - ", "PURCHASES OFFSET")</f>
        <v xml:space="preserve">          5200 - PURCHASES OFFSET</v>
      </c>
      <c r="C160" s="11"/>
      <c r="D160" s="2">
        <v>-422519</v>
      </c>
      <c r="E160" s="2"/>
      <c r="F160" s="19">
        <f t="shared" si="17"/>
        <v>-0.79946526598829815</v>
      </c>
      <c r="G160" s="2"/>
      <c r="H160" s="2">
        <v>-658747</v>
      </c>
      <c r="I160" s="2"/>
      <c r="J160" s="19">
        <f t="shared" si="18"/>
        <v>-0.91427020954058291</v>
      </c>
      <c r="K160" s="2"/>
      <c r="L160" s="2">
        <f t="shared" si="19"/>
        <v>236228</v>
      </c>
      <c r="M160" s="2"/>
      <c r="N160" s="19">
        <f t="shared" si="20"/>
        <v>-0.35860201260878605</v>
      </c>
      <c r="O160" s="11"/>
      <c r="P160" s="2">
        <v>-4268163</v>
      </c>
      <c r="Q160" s="2"/>
      <c r="R160" s="19">
        <f t="shared" si="21"/>
        <v>-0.60127115221736627</v>
      </c>
      <c r="S160" s="2"/>
      <c r="T160" s="2">
        <v>-4395711</v>
      </c>
      <c r="U160" s="2"/>
      <c r="V160" s="19">
        <f t="shared" si="22"/>
        <v>-0.58965460855454122</v>
      </c>
      <c r="W160" s="2"/>
      <c r="X160" s="2">
        <f t="shared" si="23"/>
        <v>127548</v>
      </c>
      <c r="Y160" s="2"/>
      <c r="Z160" s="19">
        <f t="shared" si="24"/>
        <v>-2.901646627815159E-2</v>
      </c>
    </row>
    <row r="161" spans="1:26" s="24" customFormat="1" hidden="1" outlineLevel="1" x14ac:dyDescent="0.25">
      <c r="A161" s="44"/>
      <c r="B161" s="11" t="str">
        <f>CONCATENATE("          ", "5300", " - ", "COG$ OFFSET")</f>
        <v xml:space="preserve">          5300 - COG$ OFFSET</v>
      </c>
      <c r="C161" s="11"/>
      <c r="D161" s="2">
        <v>240738.46999999997</v>
      </c>
      <c r="E161" s="2"/>
      <c r="F161" s="19">
        <f t="shared" si="17"/>
        <v>0.45551098282483365</v>
      </c>
      <c r="G161" s="2"/>
      <c r="H161" s="2">
        <v>393610</v>
      </c>
      <c r="I161" s="2"/>
      <c r="J161" s="19">
        <f t="shared" si="18"/>
        <v>0.54628847976122674</v>
      </c>
      <c r="K161" s="2"/>
      <c r="L161" s="2">
        <f t="shared" si="19"/>
        <v>-152871.53000000003</v>
      </c>
      <c r="M161" s="2"/>
      <c r="N161" s="19">
        <f t="shared" si="20"/>
        <v>-0.38838324737684515</v>
      </c>
      <c r="O161" s="11"/>
      <c r="P161" s="2">
        <v>3920135.4699999997</v>
      </c>
      <c r="Q161" s="2"/>
      <c r="R161" s="19">
        <f t="shared" si="21"/>
        <v>0.5522432884815005</v>
      </c>
      <c r="S161" s="2"/>
      <c r="T161" s="2">
        <v>4078909</v>
      </c>
      <c r="U161" s="2"/>
      <c r="V161" s="19">
        <f t="shared" si="22"/>
        <v>0.5471577839681897</v>
      </c>
      <c r="W161" s="2"/>
      <c r="X161" s="2">
        <f t="shared" si="23"/>
        <v>-158773.53000000026</v>
      </c>
      <c r="Y161" s="2"/>
      <c r="Z161" s="19">
        <f t="shared" si="24"/>
        <v>-3.8925489634605785E-2</v>
      </c>
    </row>
    <row r="162" spans="1:26" s="24" customFormat="1" hidden="1" outlineLevel="1" x14ac:dyDescent="0.25">
      <c r="A162" s="44"/>
      <c r="B162" s="11" t="str">
        <f>CONCATENATE("          ", "5500", " - ", "FREIGHT-IN")</f>
        <v xml:space="preserve">          5500 - FREIGHT-IN</v>
      </c>
      <c r="C162" s="11"/>
      <c r="D162" s="2">
        <v>80</v>
      </c>
      <c r="E162" s="2"/>
      <c r="F162" s="19">
        <f t="shared" si="17"/>
        <v>1.5137123130335879E-4</v>
      </c>
      <c r="G162" s="2"/>
      <c r="H162" s="2">
        <v>10.5</v>
      </c>
      <c r="I162" s="2"/>
      <c r="J162" s="19">
        <f t="shared" si="18"/>
        <v>1.4572874260036282E-5</v>
      </c>
      <c r="K162" s="2"/>
      <c r="L162" s="2">
        <f t="shared" si="19"/>
        <v>69.5</v>
      </c>
      <c r="M162" s="2"/>
      <c r="N162" s="19">
        <f t="shared" si="20"/>
        <v>6.6190476190476186</v>
      </c>
      <c r="O162" s="11"/>
      <c r="P162" s="2">
        <v>115.23</v>
      </c>
      <c r="Q162" s="2"/>
      <c r="R162" s="19">
        <f t="shared" si="21"/>
        <v>1.6232855884371595E-5</v>
      </c>
      <c r="S162" s="2"/>
      <c r="T162" s="2">
        <v>24.58</v>
      </c>
      <c r="U162" s="2"/>
      <c r="V162" s="19">
        <f t="shared" si="22"/>
        <v>3.2972391220147602E-6</v>
      </c>
      <c r="W162" s="2"/>
      <c r="X162" s="2">
        <f t="shared" si="23"/>
        <v>90.65</v>
      </c>
      <c r="Y162" s="2"/>
      <c r="Z162" s="19">
        <f t="shared" si="24"/>
        <v>3.687957689178194</v>
      </c>
    </row>
    <row r="163" spans="1:26" s="24" customFormat="1" hidden="1" outlineLevel="1" x14ac:dyDescent="0.25">
      <c r="A163" s="44"/>
      <c r="B163" s="11" t="str">
        <f>CONCATENATE("          ", "5501", " - ", "FREIGHT-IN-NEW TEXT")</f>
        <v xml:space="preserve">          5501 - FREIGHT-IN-NEW TEXT</v>
      </c>
      <c r="C163" s="11"/>
      <c r="D163" s="2">
        <v>4162.3900000000003</v>
      </c>
      <c r="E163" s="2"/>
      <c r="F163" s="19">
        <f t="shared" si="17"/>
        <v>7.8758262433098452E-3</v>
      </c>
      <c r="G163" s="2"/>
      <c r="H163" s="2">
        <v>2096.16</v>
      </c>
      <c r="I163" s="2"/>
      <c r="J163" s="19">
        <f t="shared" si="18"/>
        <v>2.9092453437064431E-3</v>
      </c>
      <c r="K163" s="2"/>
      <c r="L163" s="2">
        <f t="shared" si="19"/>
        <v>2066.2300000000005</v>
      </c>
      <c r="M163" s="2"/>
      <c r="N163" s="19">
        <f t="shared" si="20"/>
        <v>0.98572150980841189</v>
      </c>
      <c r="O163" s="11"/>
      <c r="P163" s="2">
        <v>38669.939999999995</v>
      </c>
      <c r="Q163" s="2"/>
      <c r="R163" s="19">
        <f t="shared" si="21"/>
        <v>5.4475706246402533E-3</v>
      </c>
      <c r="S163" s="2"/>
      <c r="T163" s="2">
        <v>38895.120000000003</v>
      </c>
      <c r="U163" s="2"/>
      <c r="V163" s="19">
        <f t="shared" si="22"/>
        <v>5.2175146997338788E-3</v>
      </c>
      <c r="W163" s="2"/>
      <c r="X163" s="2">
        <f t="shared" si="23"/>
        <v>-225.18000000000757</v>
      </c>
      <c r="Y163" s="2"/>
      <c r="Z163" s="19">
        <f t="shared" si="24"/>
        <v>-5.7894152274117561E-3</v>
      </c>
    </row>
    <row r="164" spans="1:26" s="24" customFormat="1" hidden="1" outlineLevel="1" x14ac:dyDescent="0.25">
      <c r="A164" s="44"/>
      <c r="B164" s="11" t="str">
        <f>CONCATENATE("          ", "5502", " - ", "FREIGHT-IN-USED TEXT")</f>
        <v xml:space="preserve">          5502 - FREIGHT-IN-USED TEXT</v>
      </c>
      <c r="C164" s="11"/>
      <c r="D164" s="2">
        <v>563.29999999999995</v>
      </c>
      <c r="E164" s="2"/>
      <c r="F164" s="19">
        <f t="shared" si="17"/>
        <v>1.0658426824147749E-3</v>
      </c>
      <c r="G164" s="2"/>
      <c r="H164" s="2">
        <v>119.04</v>
      </c>
      <c r="I164" s="2"/>
      <c r="J164" s="19">
        <f t="shared" si="18"/>
        <v>1.6521475732521134E-4</v>
      </c>
      <c r="K164" s="2"/>
      <c r="L164" s="2">
        <f t="shared" si="19"/>
        <v>444.25999999999993</v>
      </c>
      <c r="M164" s="2"/>
      <c r="N164" s="19">
        <f t="shared" si="20"/>
        <v>3.7320228494623646</v>
      </c>
      <c r="O164" s="11"/>
      <c r="P164" s="2">
        <v>7653.42</v>
      </c>
      <c r="Q164" s="2"/>
      <c r="R164" s="19">
        <f t="shared" si="21"/>
        <v>1.0781642270464918E-3</v>
      </c>
      <c r="S164" s="2"/>
      <c r="T164" s="2">
        <v>7870.09</v>
      </c>
      <c r="U164" s="2"/>
      <c r="V164" s="19">
        <f t="shared" si="22"/>
        <v>1.0557188218786471E-3</v>
      </c>
      <c r="W164" s="2"/>
      <c r="X164" s="2">
        <f t="shared" si="23"/>
        <v>-216.67000000000007</v>
      </c>
      <c r="Y164" s="2"/>
      <c r="Z164" s="19">
        <f t="shared" si="24"/>
        <v>-2.7530816038952549E-2</v>
      </c>
    </row>
    <row r="165" spans="1:26" s="24" customFormat="1" hidden="1" outlineLevel="1" x14ac:dyDescent="0.25">
      <c r="A165" s="44"/>
      <c r="B165" s="11" t="str">
        <f>CONCATENATE("          ", "5504", " - ", "FREIGHT-IN-DIGITAL TEXT")</f>
        <v xml:space="preserve">          5504 - FREIGHT-IN-DIGITAL TEXT</v>
      </c>
      <c r="C165" s="11"/>
      <c r="D165" s="2"/>
      <c r="E165" s="2"/>
      <c r="F165" s="19">
        <f t="shared" si="17"/>
        <v>0</v>
      </c>
      <c r="G165" s="2"/>
      <c r="H165" s="2"/>
      <c r="I165" s="2"/>
      <c r="J165" s="19">
        <f t="shared" si="18"/>
        <v>0</v>
      </c>
      <c r="K165" s="2"/>
      <c r="L165" s="2">
        <f t="shared" si="19"/>
        <v>0</v>
      </c>
      <c r="M165" s="2"/>
      <c r="N165" s="19">
        <f t="shared" si="20"/>
        <v>0</v>
      </c>
      <c r="O165" s="11"/>
      <c r="P165" s="2">
        <v>105.97</v>
      </c>
      <c r="Q165" s="2"/>
      <c r="R165" s="19">
        <f t="shared" si="21"/>
        <v>1.4928367075126771E-5</v>
      </c>
      <c r="S165" s="2"/>
      <c r="T165" s="2">
        <v>166.22</v>
      </c>
      <c r="U165" s="2"/>
      <c r="V165" s="19">
        <f t="shared" si="22"/>
        <v>2.2297277740492003E-5</v>
      </c>
      <c r="W165" s="2"/>
      <c r="X165" s="2">
        <f t="shared" si="23"/>
        <v>-60.25</v>
      </c>
      <c r="Y165" s="2"/>
      <c r="Z165" s="19">
        <f t="shared" si="24"/>
        <v>-0.36247142341475153</v>
      </c>
    </row>
    <row r="166" spans="1:26" s="24" customFormat="1" hidden="1" outlineLevel="1" x14ac:dyDescent="0.25">
      <c r="A166" s="44"/>
      <c r="B166" s="11" t="str">
        <f>CONCATENATE("          ", "5513", " - ", "FREIGHT-IN-TRADE BOOKS")</f>
        <v xml:space="preserve">          5513 - FREIGHT-IN-TRADE BOOKS</v>
      </c>
      <c r="C166" s="11"/>
      <c r="D166" s="2">
        <v>9.08</v>
      </c>
      <c r="E166" s="2"/>
      <c r="F166" s="19">
        <f t="shared" si="17"/>
        <v>1.7180634752931221E-5</v>
      </c>
      <c r="G166" s="2"/>
      <c r="H166" s="2"/>
      <c r="I166" s="2"/>
      <c r="J166" s="19">
        <f t="shared" si="18"/>
        <v>0</v>
      </c>
      <c r="K166" s="2"/>
      <c r="L166" s="2">
        <f t="shared" si="19"/>
        <v>9.08</v>
      </c>
      <c r="M166" s="2"/>
      <c r="N166" s="19">
        <f t="shared" si="20"/>
        <v>0</v>
      </c>
      <c r="O166" s="11"/>
      <c r="P166" s="2">
        <v>21.41</v>
      </c>
      <c r="Q166" s="2"/>
      <c r="R166" s="19">
        <f t="shared" si="21"/>
        <v>3.0161020956729654E-6</v>
      </c>
      <c r="S166" s="2"/>
      <c r="T166" s="2">
        <v>12.22</v>
      </c>
      <c r="U166" s="2"/>
      <c r="V166" s="19">
        <f t="shared" si="22"/>
        <v>1.6392295390976555E-6</v>
      </c>
      <c r="W166" s="2"/>
      <c r="X166" s="2">
        <f t="shared" si="23"/>
        <v>9.19</v>
      </c>
      <c r="Y166" s="2"/>
      <c r="Z166" s="19">
        <f t="shared" si="24"/>
        <v>0.7520458265139115</v>
      </c>
    </row>
    <row r="167" spans="1:26" s="24" customFormat="1" hidden="1" outlineLevel="1" x14ac:dyDescent="0.25">
      <c r="A167" s="44"/>
      <c r="B167" s="11" t="str">
        <f>CONCATENATE("          ", "5518", " - ", "FREIGHT-IN-STUDY GUIDES")</f>
        <v xml:space="preserve">          5518 - FREIGHT-IN-STUDY GUIDES</v>
      </c>
      <c r="C167" s="11"/>
      <c r="D167" s="2">
        <v>8.8699999999999992</v>
      </c>
      <c r="E167" s="2"/>
      <c r="F167" s="19">
        <f t="shared" si="17"/>
        <v>1.6783285270759904E-5</v>
      </c>
      <c r="G167" s="2"/>
      <c r="H167" s="2"/>
      <c r="I167" s="2"/>
      <c r="J167" s="19">
        <f t="shared" si="18"/>
        <v>0</v>
      </c>
      <c r="K167" s="2"/>
      <c r="L167" s="2">
        <f t="shared" si="19"/>
        <v>8.8699999999999992</v>
      </c>
      <c r="M167" s="2"/>
      <c r="N167" s="19">
        <f t="shared" si="20"/>
        <v>0</v>
      </c>
      <c r="O167" s="11"/>
      <c r="P167" s="2">
        <v>21.13</v>
      </c>
      <c r="Q167" s="2"/>
      <c r="R167" s="19">
        <f t="shared" si="21"/>
        <v>2.976657509648284E-6</v>
      </c>
      <c r="S167" s="2"/>
      <c r="T167" s="2"/>
      <c r="U167" s="2"/>
      <c r="V167" s="19">
        <f t="shared" si="22"/>
        <v>0</v>
      </c>
      <c r="W167" s="2"/>
      <c r="X167" s="2">
        <f t="shared" si="23"/>
        <v>21.13</v>
      </c>
      <c r="Y167" s="2"/>
      <c r="Z167" s="19">
        <f t="shared" si="24"/>
        <v>0</v>
      </c>
    </row>
    <row r="168" spans="1:26" s="24" customFormat="1" hidden="1" outlineLevel="1" x14ac:dyDescent="0.25">
      <c r="A168" s="44"/>
      <c r="B168" s="11" t="str">
        <f>CONCATENATE("          ", "5525", " - ", "FREIGHT-IN-TEST FORMS")</f>
        <v xml:space="preserve">          5525 - FREIGHT-IN-TEST FORMS</v>
      </c>
      <c r="C168" s="11"/>
      <c r="D168" s="2">
        <v>247.49</v>
      </c>
      <c r="E168" s="2"/>
      <c r="F168" s="19">
        <f t="shared" si="17"/>
        <v>4.6828582544085329E-4</v>
      </c>
      <c r="G168" s="2"/>
      <c r="H168" s="2"/>
      <c r="I168" s="2"/>
      <c r="J168" s="19">
        <f t="shared" si="18"/>
        <v>0</v>
      </c>
      <c r="K168" s="2"/>
      <c r="L168" s="2">
        <f t="shared" si="19"/>
        <v>247.49</v>
      </c>
      <c r="M168" s="2"/>
      <c r="N168" s="19">
        <f t="shared" si="20"/>
        <v>0</v>
      </c>
      <c r="O168" s="11"/>
      <c r="P168" s="2">
        <v>622.41</v>
      </c>
      <c r="Q168" s="2"/>
      <c r="R168" s="19">
        <f t="shared" si="21"/>
        <v>8.7681088527221418E-5</v>
      </c>
      <c r="S168" s="2"/>
      <c r="T168" s="2">
        <v>50.92</v>
      </c>
      <c r="U168" s="2"/>
      <c r="V168" s="19">
        <f t="shared" si="22"/>
        <v>6.8305702234740271E-6</v>
      </c>
      <c r="W168" s="2"/>
      <c r="X168" s="2">
        <f t="shared" si="23"/>
        <v>571.49</v>
      </c>
      <c r="Y168" s="2"/>
      <c r="Z168" s="19">
        <f t="shared" si="24"/>
        <v>11.223291437549097</v>
      </c>
    </row>
    <row r="169" spans="1:26" s="24" customFormat="1" hidden="1" outlineLevel="1" x14ac:dyDescent="0.25">
      <c r="A169" s="44"/>
      <c r="B169" s="11" t="str">
        <f>CONCATENATE("          ", "5526", " - ", "FREIGHT-IN-WRITING INSTRUMENTS")</f>
        <v xml:space="preserve">          5526 - FREIGHT-IN-WRITING INSTRUMENTS</v>
      </c>
      <c r="C169" s="11"/>
      <c r="D169" s="2">
        <v>42.86</v>
      </c>
      <c r="E169" s="2"/>
      <c r="F169" s="19">
        <f t="shared" si="17"/>
        <v>8.1097137170774467E-5</v>
      </c>
      <c r="G169" s="2"/>
      <c r="H169" s="2">
        <v>13.98</v>
      </c>
      <c r="I169" s="2"/>
      <c r="J169" s="19">
        <f t="shared" si="18"/>
        <v>1.9402741157648307E-5</v>
      </c>
      <c r="K169" s="2"/>
      <c r="L169" s="2">
        <f t="shared" si="19"/>
        <v>28.88</v>
      </c>
      <c r="M169" s="2"/>
      <c r="N169" s="19">
        <f t="shared" si="20"/>
        <v>2.0658082975679539</v>
      </c>
      <c r="O169" s="11"/>
      <c r="P169" s="2">
        <v>260.35000000000002</v>
      </c>
      <c r="Q169" s="2"/>
      <c r="R169" s="19">
        <f t="shared" si="21"/>
        <v>3.667642132687794E-5</v>
      </c>
      <c r="S169" s="2"/>
      <c r="T169" s="2">
        <v>114.3</v>
      </c>
      <c r="U169" s="2"/>
      <c r="V169" s="19">
        <f t="shared" si="22"/>
        <v>1.5332564346879051E-5</v>
      </c>
      <c r="W169" s="2"/>
      <c r="X169" s="2">
        <f t="shared" si="23"/>
        <v>146.05000000000001</v>
      </c>
      <c r="Y169" s="2"/>
      <c r="Z169" s="19">
        <f t="shared" si="24"/>
        <v>1.2777777777777779</v>
      </c>
    </row>
    <row r="170" spans="1:26" s="24" customFormat="1" hidden="1" outlineLevel="1" x14ac:dyDescent="0.25">
      <c r="A170" s="44"/>
      <c r="B170" s="11" t="str">
        <f>CONCATENATE("          ", "5527", " - ", "FREIGHT-IN-SCHOOL SUPPLIES")</f>
        <v xml:space="preserve">          5527 - FREIGHT-IN-SCHOOL SUPPLIES</v>
      </c>
      <c r="C170" s="11"/>
      <c r="D170" s="2">
        <v>25.34</v>
      </c>
      <c r="E170" s="2"/>
      <c r="F170" s="19">
        <f t="shared" si="17"/>
        <v>4.7946837515338892E-5</v>
      </c>
      <c r="G170" s="2"/>
      <c r="H170" s="2">
        <v>215.94</v>
      </c>
      <c r="I170" s="2"/>
      <c r="J170" s="19">
        <f t="shared" si="18"/>
        <v>2.9970156835354617E-4</v>
      </c>
      <c r="K170" s="2"/>
      <c r="L170" s="2">
        <f t="shared" si="19"/>
        <v>-190.6</v>
      </c>
      <c r="M170" s="2"/>
      <c r="N170" s="19">
        <f t="shared" si="20"/>
        <v>-0.88265258868204133</v>
      </c>
      <c r="O170" s="11"/>
      <c r="P170" s="2">
        <v>897.92</v>
      </c>
      <c r="Q170" s="2"/>
      <c r="R170" s="19">
        <f t="shared" si="21"/>
        <v>1.2649315244029282E-4</v>
      </c>
      <c r="S170" s="2"/>
      <c r="T170" s="2">
        <v>1225.6500000000001</v>
      </c>
      <c r="U170" s="2"/>
      <c r="V170" s="19">
        <f t="shared" si="22"/>
        <v>1.6441257648077263E-4</v>
      </c>
      <c r="W170" s="2"/>
      <c r="X170" s="2">
        <f t="shared" si="23"/>
        <v>-327.73000000000013</v>
      </c>
      <c r="Y170" s="2"/>
      <c r="Z170" s="19">
        <f t="shared" si="24"/>
        <v>-0.26739281197731823</v>
      </c>
    </row>
    <row r="171" spans="1:26" s="24" customFormat="1" hidden="1" outlineLevel="1" x14ac:dyDescent="0.25">
      <c r="A171" s="44"/>
      <c r="B171" s="11" t="str">
        <f>CONCATENATE("          ", "5528", " - ", "FREIGHT-IN-ART/TECH")</f>
        <v xml:space="preserve">          5528 - FREIGHT-IN-ART/TECH</v>
      </c>
      <c r="C171" s="11"/>
      <c r="D171" s="2">
        <v>187.14</v>
      </c>
      <c r="E171" s="2"/>
      <c r="F171" s="19">
        <f t="shared" si="17"/>
        <v>3.5409515282638199E-4</v>
      </c>
      <c r="G171" s="2"/>
      <c r="H171" s="2">
        <v>152.88</v>
      </c>
      <c r="I171" s="2"/>
      <c r="J171" s="19">
        <f t="shared" si="18"/>
        <v>2.1218104922612825E-4</v>
      </c>
      <c r="K171" s="2"/>
      <c r="L171" s="2">
        <f t="shared" si="19"/>
        <v>34.259999999999991</v>
      </c>
      <c r="M171" s="2"/>
      <c r="N171" s="19">
        <f t="shared" si="20"/>
        <v>0.22409733124018832</v>
      </c>
      <c r="O171" s="11"/>
      <c r="P171" s="2">
        <v>1110.6400000000001</v>
      </c>
      <c r="Q171" s="2"/>
      <c r="R171" s="19">
        <f t="shared" si="21"/>
        <v>1.5645976793732941E-4</v>
      </c>
      <c r="S171" s="2"/>
      <c r="T171" s="2">
        <v>4657.53</v>
      </c>
      <c r="U171" s="2"/>
      <c r="V171" s="19">
        <f t="shared" si="22"/>
        <v>6.2477583921714428E-4</v>
      </c>
      <c r="W171" s="2"/>
      <c r="X171" s="2">
        <f t="shared" si="23"/>
        <v>-3546.8899999999994</v>
      </c>
      <c r="Y171" s="2"/>
      <c r="Z171" s="19">
        <f t="shared" si="24"/>
        <v>-0.76153884140306116</v>
      </c>
    </row>
    <row r="172" spans="1:26" s="24" customFormat="1" hidden="1" outlineLevel="1" x14ac:dyDescent="0.25">
      <c r="A172" s="44"/>
      <c r="B172" s="11" t="str">
        <f>CONCATENATE("          ", "5540", " - ", "FREIGHT-IN-LOGO CLOTHING")</f>
        <v xml:space="preserve">          5540 - FREIGHT-IN-LOGO CLOTHING</v>
      </c>
      <c r="C172" s="11"/>
      <c r="D172" s="2">
        <v>4036.06</v>
      </c>
      <c r="E172" s="2"/>
      <c r="F172" s="19">
        <f t="shared" si="17"/>
        <v>7.6367921476779279E-3</v>
      </c>
      <c r="G172" s="2"/>
      <c r="H172" s="2">
        <v>4053.14</v>
      </c>
      <c r="I172" s="2"/>
      <c r="J172" s="19">
        <f t="shared" si="18"/>
        <v>5.6253237693641382E-3</v>
      </c>
      <c r="K172" s="2"/>
      <c r="L172" s="2">
        <f t="shared" si="19"/>
        <v>-17.079999999999927</v>
      </c>
      <c r="M172" s="2"/>
      <c r="N172" s="19">
        <f t="shared" si="20"/>
        <v>-4.214016786984888E-3</v>
      </c>
      <c r="O172" s="11"/>
      <c r="P172" s="2">
        <v>24277.390000000003</v>
      </c>
      <c r="Q172" s="2"/>
      <c r="R172" s="19">
        <f t="shared" si="21"/>
        <v>3.4200414225347927E-3</v>
      </c>
      <c r="S172" s="2"/>
      <c r="T172" s="2">
        <v>16252.329999999998</v>
      </c>
      <c r="U172" s="2"/>
      <c r="V172" s="19">
        <f t="shared" si="22"/>
        <v>2.180139068343944E-3</v>
      </c>
      <c r="W172" s="2"/>
      <c r="X172" s="2">
        <f t="shared" si="23"/>
        <v>8025.0600000000049</v>
      </c>
      <c r="Y172" s="2"/>
      <c r="Z172" s="19">
        <f t="shared" si="24"/>
        <v>0.49377904583527443</v>
      </c>
    </row>
    <row r="173" spans="1:26" s="24" customFormat="1" hidden="1" outlineLevel="1" x14ac:dyDescent="0.25">
      <c r="A173" s="44"/>
      <c r="B173" s="11" t="str">
        <f>CONCATENATE("          ", "5541", " - ", "FREIGHT-IN-LOGO GIFTS")</f>
        <v xml:space="preserve">          5541 - FREIGHT-IN-LOGO GIFTS</v>
      </c>
      <c r="C173" s="11"/>
      <c r="D173" s="2">
        <v>709.94</v>
      </c>
      <c r="E173" s="2"/>
      <c r="F173" s="19">
        <f t="shared" si="17"/>
        <v>1.3433061493938318E-3</v>
      </c>
      <c r="G173" s="2"/>
      <c r="H173" s="2">
        <v>788.21</v>
      </c>
      <c r="I173" s="2"/>
      <c r="J173" s="19">
        <f t="shared" si="18"/>
        <v>1.0939509733812569E-3</v>
      </c>
      <c r="K173" s="2"/>
      <c r="L173" s="2">
        <f t="shared" si="19"/>
        <v>-78.269999999999982</v>
      </c>
      <c r="M173" s="2"/>
      <c r="N173" s="19">
        <f t="shared" si="20"/>
        <v>-9.9300947716978949E-2</v>
      </c>
      <c r="O173" s="11"/>
      <c r="P173" s="2">
        <v>3562.77</v>
      </c>
      <c r="Q173" s="2"/>
      <c r="R173" s="19">
        <f t="shared" si="21"/>
        <v>5.0189995625412296E-4</v>
      </c>
      <c r="S173" s="2"/>
      <c r="T173" s="2">
        <v>4756.21</v>
      </c>
      <c r="U173" s="2"/>
      <c r="V173" s="19">
        <f t="shared" si="22"/>
        <v>6.3801308724645333E-4</v>
      </c>
      <c r="W173" s="2"/>
      <c r="X173" s="2">
        <f t="shared" si="23"/>
        <v>-1193.44</v>
      </c>
      <c r="Y173" s="2"/>
      <c r="Z173" s="19">
        <f t="shared" si="24"/>
        <v>-0.25092247819166941</v>
      </c>
    </row>
    <row r="174" spans="1:26" s="24" customFormat="1" hidden="1" outlineLevel="1" x14ac:dyDescent="0.25">
      <c r="A174" s="44"/>
      <c r="B174" s="11" t="str">
        <f>CONCATENATE("          ", "5542", " - ", "FREIGHT-IN-EVERYDAY GIFTS")</f>
        <v xml:space="preserve">          5542 - FREIGHT-IN-EVERYDAY GIFTS</v>
      </c>
      <c r="C174" s="11"/>
      <c r="D174" s="2">
        <v>194.82</v>
      </c>
      <c r="E174" s="2"/>
      <c r="F174" s="19">
        <f t="shared" si="17"/>
        <v>3.6862679103150445E-4</v>
      </c>
      <c r="G174" s="2"/>
      <c r="H174" s="2">
        <v>92.11</v>
      </c>
      <c r="I174" s="2"/>
      <c r="J174" s="19">
        <f t="shared" si="18"/>
        <v>1.2783880458018494E-4</v>
      </c>
      <c r="K174" s="2"/>
      <c r="L174" s="2">
        <f t="shared" si="19"/>
        <v>102.71</v>
      </c>
      <c r="M174" s="2"/>
      <c r="N174" s="19">
        <f t="shared" si="20"/>
        <v>1.1150797958962111</v>
      </c>
      <c r="O174" s="11"/>
      <c r="P174" s="2">
        <v>1708.33</v>
      </c>
      <c r="Q174" s="2"/>
      <c r="R174" s="19">
        <f t="shared" si="21"/>
        <v>2.406584630126575E-4</v>
      </c>
      <c r="S174" s="2"/>
      <c r="T174" s="2">
        <v>1221.55</v>
      </c>
      <c r="U174" s="2"/>
      <c r="V174" s="19">
        <f t="shared" si="22"/>
        <v>1.6386258948320303E-4</v>
      </c>
      <c r="W174" s="2"/>
      <c r="X174" s="2">
        <f t="shared" si="23"/>
        <v>486.78</v>
      </c>
      <c r="Y174" s="2"/>
      <c r="Z174" s="19">
        <f t="shared" si="24"/>
        <v>0.39849371699889485</v>
      </c>
    </row>
    <row r="175" spans="1:26" s="24" customFormat="1" hidden="1" outlineLevel="1" x14ac:dyDescent="0.25">
      <c r="A175" s="44"/>
      <c r="B175" s="11" t="str">
        <f>CONCATENATE("          ", "5543", " - ", "FREIGHT-IN-CARDS")</f>
        <v xml:space="preserve">          5543 - FREIGHT-IN-CARDS</v>
      </c>
      <c r="C175" s="11"/>
      <c r="D175" s="2">
        <v>77.760000000000005</v>
      </c>
      <c r="E175" s="2"/>
      <c r="F175" s="19">
        <f t="shared" si="17"/>
        <v>1.4713283682686473E-4</v>
      </c>
      <c r="G175" s="2"/>
      <c r="H175" s="2"/>
      <c r="I175" s="2"/>
      <c r="J175" s="19">
        <f t="shared" si="18"/>
        <v>0</v>
      </c>
      <c r="K175" s="2"/>
      <c r="L175" s="2">
        <f t="shared" si="19"/>
        <v>77.760000000000005</v>
      </c>
      <c r="M175" s="2"/>
      <c r="N175" s="19">
        <f t="shared" si="20"/>
        <v>0</v>
      </c>
      <c r="O175" s="11"/>
      <c r="P175" s="2">
        <v>121.35</v>
      </c>
      <c r="Q175" s="2"/>
      <c r="R175" s="19">
        <f t="shared" si="21"/>
        <v>1.7095001836053917E-5</v>
      </c>
      <c r="S175" s="2"/>
      <c r="T175" s="2">
        <v>12.47</v>
      </c>
      <c r="U175" s="2"/>
      <c r="V175" s="19">
        <f t="shared" si="22"/>
        <v>1.6727653316323866E-6</v>
      </c>
      <c r="W175" s="2"/>
      <c r="X175" s="2">
        <f t="shared" si="23"/>
        <v>108.88</v>
      </c>
      <c r="Y175" s="2"/>
      <c r="Z175" s="19">
        <f t="shared" si="24"/>
        <v>8.7313552526062548</v>
      </c>
    </row>
    <row r="176" spans="1:26" s="24" customFormat="1" hidden="1" outlineLevel="1" x14ac:dyDescent="0.25">
      <c r="A176" s="44"/>
      <c r="B176" s="11" t="str">
        <f>CONCATENATE("          ", "5544", " - ", "FREIGHT-IN-ACCESSORIES")</f>
        <v xml:space="preserve">          5544 - FREIGHT-IN-ACCESSORIES</v>
      </c>
      <c r="C176" s="11"/>
      <c r="D176" s="2">
        <v>28.4</v>
      </c>
      <c r="E176" s="2"/>
      <c r="F176" s="19">
        <f t="shared" si="17"/>
        <v>5.3736787112692361E-5</v>
      </c>
      <c r="G176" s="2"/>
      <c r="H176" s="2"/>
      <c r="I176" s="2"/>
      <c r="J176" s="19">
        <f t="shared" si="18"/>
        <v>0</v>
      </c>
      <c r="K176" s="2"/>
      <c r="L176" s="2">
        <f t="shared" si="19"/>
        <v>28.4</v>
      </c>
      <c r="M176" s="2"/>
      <c r="N176" s="19">
        <f t="shared" si="20"/>
        <v>0</v>
      </c>
      <c r="O176" s="11"/>
      <c r="P176" s="2">
        <v>442.31</v>
      </c>
      <c r="Q176" s="2"/>
      <c r="R176" s="19">
        <f t="shared" si="21"/>
        <v>6.230976730206023E-5</v>
      </c>
      <c r="S176" s="2"/>
      <c r="T176" s="2">
        <v>590.45000000000005</v>
      </c>
      <c r="U176" s="2"/>
      <c r="V176" s="19">
        <f t="shared" si="22"/>
        <v>7.9204834808527884E-5</v>
      </c>
      <c r="W176" s="2"/>
      <c r="X176" s="2">
        <f t="shared" si="23"/>
        <v>-148.14000000000004</v>
      </c>
      <c r="Y176" s="2"/>
      <c r="Z176" s="19">
        <f t="shared" si="24"/>
        <v>-0.25089338640020331</v>
      </c>
    </row>
    <row r="177" spans="1:26" s="24" customFormat="1" hidden="1" outlineLevel="1" x14ac:dyDescent="0.25">
      <c r="A177" s="44"/>
      <c r="B177" s="11" t="str">
        <f>CONCATENATE("          ", "5545", " - ", "FREIGHT-IN-SPECIAL ORDERS")</f>
        <v xml:space="preserve">          5545 - FREIGHT-IN-SPECIAL ORDERS</v>
      </c>
      <c r="C177" s="11"/>
      <c r="D177" s="2">
        <v>322.61</v>
      </c>
      <c r="E177" s="2"/>
      <c r="F177" s="19">
        <f t="shared" si="17"/>
        <v>6.1042341163470724E-4</v>
      </c>
      <c r="G177" s="2"/>
      <c r="H177" s="2">
        <v>14.93</v>
      </c>
      <c r="I177" s="2"/>
      <c r="J177" s="19">
        <f t="shared" si="18"/>
        <v>2.0721239304984923E-5</v>
      </c>
      <c r="K177" s="2"/>
      <c r="L177" s="2">
        <f t="shared" si="19"/>
        <v>307.68</v>
      </c>
      <c r="M177" s="2"/>
      <c r="N177" s="19">
        <f t="shared" si="20"/>
        <v>20.608171466845278</v>
      </c>
      <c r="O177" s="11"/>
      <c r="P177" s="2">
        <v>827.67</v>
      </c>
      <c r="Q177" s="2"/>
      <c r="R177" s="19">
        <f t="shared" si="21"/>
        <v>1.1659678755374327E-4</v>
      </c>
      <c r="S177" s="2"/>
      <c r="T177" s="2">
        <v>1322.53</v>
      </c>
      <c r="U177" s="2"/>
      <c r="V177" s="19">
        <f t="shared" si="22"/>
        <v>1.774083668038316E-4</v>
      </c>
      <c r="W177" s="2"/>
      <c r="X177" s="2">
        <f t="shared" si="23"/>
        <v>-494.86</v>
      </c>
      <c r="Y177" s="2"/>
      <c r="Z177" s="19">
        <f t="shared" si="24"/>
        <v>-0.37417676725669741</v>
      </c>
    </row>
    <row r="178" spans="1:26" s="24" customFormat="1" hidden="1" outlineLevel="1" x14ac:dyDescent="0.25">
      <c r="A178" s="44"/>
      <c r="B178" s="11" t="str">
        <f>CONCATENATE("          ", "5581", " - ", "FREIGHT-IN-ELECTRONICS")</f>
        <v xml:space="preserve">          5581 - FREIGHT-IN-ELECTRONICS</v>
      </c>
      <c r="C178" s="11"/>
      <c r="D178" s="2"/>
      <c r="E178" s="2"/>
      <c r="F178" s="19">
        <f t="shared" si="17"/>
        <v>0</v>
      </c>
      <c r="G178" s="2"/>
      <c r="H178" s="2"/>
      <c r="I178" s="2"/>
      <c r="J178" s="19">
        <f t="shared" si="18"/>
        <v>0</v>
      </c>
      <c r="K178" s="2"/>
      <c r="L178" s="2">
        <f t="shared" si="19"/>
        <v>0</v>
      </c>
      <c r="M178" s="2"/>
      <c r="N178" s="19">
        <f t="shared" si="20"/>
        <v>0</v>
      </c>
      <c r="O178" s="11"/>
      <c r="P178" s="2">
        <v>105.75</v>
      </c>
      <c r="Q178" s="2"/>
      <c r="R178" s="19">
        <f t="shared" si="21"/>
        <v>1.4897374900393093E-5</v>
      </c>
      <c r="S178" s="2"/>
      <c r="T178" s="2"/>
      <c r="U178" s="2"/>
      <c r="V178" s="19">
        <f t="shared" si="22"/>
        <v>0</v>
      </c>
      <c r="W178" s="2"/>
      <c r="X178" s="2">
        <f t="shared" si="23"/>
        <v>105.75</v>
      </c>
      <c r="Y178" s="2"/>
      <c r="Z178" s="19">
        <f t="shared" si="24"/>
        <v>0</v>
      </c>
    </row>
    <row r="179" spans="1:26" s="24" customFormat="1" hidden="1" outlineLevel="1" x14ac:dyDescent="0.25">
      <c r="A179" s="44"/>
      <c r="B179" s="11" t="str">
        <f>CONCATENATE("          ", "5582", " - ", "FREIGHT-IN-COMPUTER HARDWARE")</f>
        <v xml:space="preserve">          5582 - FREIGHT-IN-COMPUTER HARDWARE</v>
      </c>
      <c r="C179" s="11"/>
      <c r="D179" s="2"/>
      <c r="E179" s="2"/>
      <c r="F179" s="19">
        <f t="shared" si="17"/>
        <v>0</v>
      </c>
      <c r="G179" s="2"/>
      <c r="H179" s="2">
        <v>12</v>
      </c>
      <c r="I179" s="2"/>
      <c r="J179" s="19">
        <f t="shared" si="18"/>
        <v>1.6654713440041464E-5</v>
      </c>
      <c r="K179" s="2"/>
      <c r="L179" s="2">
        <f t="shared" si="19"/>
        <v>-12</v>
      </c>
      <c r="M179" s="2"/>
      <c r="N179" s="19">
        <f t="shared" si="20"/>
        <v>-1</v>
      </c>
      <c r="O179" s="11"/>
      <c r="P179" s="2">
        <v>4.84</v>
      </c>
      <c r="Q179" s="2"/>
      <c r="R179" s="19">
        <f t="shared" si="21"/>
        <v>6.8182784414092264E-7</v>
      </c>
      <c r="S179" s="2"/>
      <c r="T179" s="2">
        <v>12</v>
      </c>
      <c r="U179" s="2"/>
      <c r="V179" s="19">
        <f t="shared" si="22"/>
        <v>1.6097180416670919E-6</v>
      </c>
      <c r="W179" s="2"/>
      <c r="X179" s="2">
        <f t="shared" si="23"/>
        <v>-7.16</v>
      </c>
      <c r="Y179" s="2"/>
      <c r="Z179" s="19">
        <f t="shared" si="24"/>
        <v>-0.59666666666666668</v>
      </c>
    </row>
    <row r="180" spans="1:26" s="24" customFormat="1" hidden="1" outlineLevel="1" x14ac:dyDescent="0.25">
      <c r="A180" s="44"/>
      <c r="B180" s="11" t="str">
        <f>CONCATENATE("          ", "5583", " - ", "FREIGHT-IN-COMPUTER EQUIPMENT")</f>
        <v xml:space="preserve">          5583 - FREIGHT-IN-COMPUTER EQUIPMENT</v>
      </c>
      <c r="C180" s="11"/>
      <c r="D180" s="2">
        <v>8.1199999999999992</v>
      </c>
      <c r="E180" s="2"/>
      <c r="F180" s="19">
        <f t="shared" si="17"/>
        <v>1.5364179977290914E-5</v>
      </c>
      <c r="G180" s="2"/>
      <c r="H180" s="2"/>
      <c r="I180" s="2"/>
      <c r="J180" s="19">
        <f t="shared" si="18"/>
        <v>0</v>
      </c>
      <c r="K180" s="2"/>
      <c r="L180" s="2">
        <f t="shared" si="19"/>
        <v>8.1199999999999992</v>
      </c>
      <c r="M180" s="2"/>
      <c r="N180" s="19">
        <f t="shared" si="20"/>
        <v>0</v>
      </c>
      <c r="O180" s="11"/>
      <c r="P180" s="2">
        <v>49.12</v>
      </c>
      <c r="Q180" s="2"/>
      <c r="R180" s="19">
        <f t="shared" si="21"/>
        <v>6.9197073769012639E-6</v>
      </c>
      <c r="S180" s="2"/>
      <c r="T180" s="2">
        <v>22.9</v>
      </c>
      <c r="U180" s="2"/>
      <c r="V180" s="19">
        <f t="shared" si="22"/>
        <v>3.0718785961813672E-6</v>
      </c>
      <c r="W180" s="2"/>
      <c r="X180" s="2">
        <f t="shared" si="23"/>
        <v>26.22</v>
      </c>
      <c r="Y180" s="2"/>
      <c r="Z180" s="19">
        <f t="shared" si="24"/>
        <v>1.1449781659388647</v>
      </c>
    </row>
    <row r="181" spans="1:26" s="24" customFormat="1" hidden="1" outlineLevel="1" x14ac:dyDescent="0.25">
      <c r="A181" s="44"/>
      <c r="B181" s="11" t="str">
        <f>CONCATENATE("          ", "5586", " - ", "FREIGHT-IN-COMPUTER SUPPLIES")</f>
        <v xml:space="preserve">          5586 - FREIGHT-IN-COMPUTER SUPPLIES</v>
      </c>
      <c r="C181" s="11"/>
      <c r="D181" s="2"/>
      <c r="E181" s="2"/>
      <c r="F181" s="19">
        <f t="shared" si="17"/>
        <v>0</v>
      </c>
      <c r="G181" s="2"/>
      <c r="H181" s="2"/>
      <c r="I181" s="2"/>
      <c r="J181" s="19">
        <f t="shared" si="18"/>
        <v>0</v>
      </c>
      <c r="K181" s="2"/>
      <c r="L181" s="2">
        <f t="shared" si="19"/>
        <v>0</v>
      </c>
      <c r="M181" s="2"/>
      <c r="N181" s="19">
        <f t="shared" si="20"/>
        <v>0</v>
      </c>
      <c r="O181" s="11"/>
      <c r="P181" s="2">
        <v>162.51</v>
      </c>
      <c r="Q181" s="2"/>
      <c r="R181" s="19">
        <f t="shared" si="21"/>
        <v>2.2893355981682092E-5</v>
      </c>
      <c r="S181" s="2"/>
      <c r="T181" s="2">
        <v>145.57</v>
      </c>
      <c r="U181" s="2"/>
      <c r="V181" s="19">
        <f t="shared" si="22"/>
        <v>1.9527221277123216E-5</v>
      </c>
      <c r="W181" s="2"/>
      <c r="X181" s="2">
        <f t="shared" si="23"/>
        <v>16.939999999999998</v>
      </c>
      <c r="Y181" s="2"/>
      <c r="Z181" s="19">
        <f t="shared" si="24"/>
        <v>0.11637013120835336</v>
      </c>
    </row>
    <row r="182" spans="1:26" s="24" customFormat="1" hidden="1" outlineLevel="1" x14ac:dyDescent="0.25">
      <c r="A182" s="44"/>
      <c r="B182" s="11" t="str">
        <f>CONCATENATE("          ", "5592", " - ", "FREIGHT-IN-GRAD MERCH")</f>
        <v xml:space="preserve">          5592 - FREIGHT-IN-GRAD MERCH</v>
      </c>
      <c r="C182" s="11"/>
      <c r="D182" s="2"/>
      <c r="E182" s="2"/>
      <c r="F182" s="19">
        <f t="shared" si="17"/>
        <v>0</v>
      </c>
      <c r="G182" s="2"/>
      <c r="H182" s="2"/>
      <c r="I182" s="2"/>
      <c r="J182" s="19">
        <f t="shared" si="18"/>
        <v>0</v>
      </c>
      <c r="K182" s="2"/>
      <c r="L182" s="2">
        <f t="shared" si="19"/>
        <v>0</v>
      </c>
      <c r="M182" s="2"/>
      <c r="N182" s="19">
        <f t="shared" si="20"/>
        <v>0</v>
      </c>
      <c r="O182" s="11"/>
      <c r="P182" s="2">
        <v>105.78</v>
      </c>
      <c r="Q182" s="2"/>
      <c r="R182" s="19">
        <f t="shared" si="21"/>
        <v>1.4901601106038595E-5</v>
      </c>
      <c r="S182" s="2"/>
      <c r="T182" s="2">
        <v>114.3</v>
      </c>
      <c r="U182" s="2"/>
      <c r="V182" s="19">
        <f t="shared" si="22"/>
        <v>1.5332564346879051E-5</v>
      </c>
      <c r="W182" s="2"/>
      <c r="X182" s="2">
        <f t="shared" si="23"/>
        <v>-8.519999999999996</v>
      </c>
      <c r="Y182" s="2"/>
      <c r="Z182" s="19">
        <f t="shared" si="24"/>
        <v>-7.4540682414698134E-2</v>
      </c>
    </row>
    <row r="183" spans="1:26" x14ac:dyDescent="0.25">
      <c r="A183" s="9"/>
      <c r="B183" s="10"/>
      <c r="C183" s="10"/>
      <c r="D183" s="3"/>
      <c r="E183" s="3"/>
      <c r="F183" s="8"/>
      <c r="G183" s="3"/>
      <c r="H183" s="3"/>
      <c r="I183" s="3"/>
      <c r="J183" s="8"/>
      <c r="K183" s="3"/>
      <c r="L183" s="3"/>
      <c r="M183" s="3"/>
      <c r="N183" s="8"/>
      <c r="O183" s="10"/>
      <c r="P183" s="3"/>
      <c r="Q183" s="3"/>
      <c r="R183" s="8"/>
      <c r="S183" s="3"/>
      <c r="T183" s="3"/>
      <c r="U183" s="3"/>
      <c r="V183" s="8"/>
      <c r="W183" s="3"/>
      <c r="X183" s="3"/>
      <c r="Y183" s="3"/>
      <c r="Z183" s="8"/>
    </row>
    <row r="184" spans="1:26" s="23" customFormat="1" x14ac:dyDescent="0.25">
      <c r="A184" s="10"/>
      <c r="B184" s="29" t="s">
        <v>6</v>
      </c>
      <c r="C184" s="29"/>
      <c r="D184" s="20">
        <f>D12-D125</f>
        <v>263793.15999999968</v>
      </c>
      <c r="E184" s="14"/>
      <c r="F184" s="21">
        <f>IF(D$12=0,0,D184/D$12)</f>
        <v>0.49913369298254856</v>
      </c>
      <c r="G184" s="14"/>
      <c r="H184" s="20">
        <f>H12-H125</f>
        <v>332946.29000000044</v>
      </c>
      <c r="I184" s="14"/>
      <c r="J184" s="21">
        <f>IF(H$12=0,0,H184/H$12)</f>
        <v>0.46209375423957921</v>
      </c>
      <c r="K184" s="15"/>
      <c r="L184" s="20">
        <f>+D184-H184</f>
        <v>-69153.130000000761</v>
      </c>
      <c r="M184" s="15"/>
      <c r="N184" s="21">
        <f>IF(H184=0,0,L184/H184)</f>
        <v>-0.20770055734815568</v>
      </c>
      <c r="O184" s="28"/>
      <c r="P184" s="20">
        <f>P12-P125</f>
        <v>2471092.2599999998</v>
      </c>
      <c r="Q184" s="14"/>
      <c r="R184" s="21">
        <f>IF(P$12=0,0,P184/P$12)</f>
        <v>0.34811146865890913</v>
      </c>
      <c r="S184" s="14"/>
      <c r="T184" s="20">
        <f>T12-T125</f>
        <v>2585925.7600000026</v>
      </c>
      <c r="U184" s="14"/>
      <c r="V184" s="21">
        <f>IF(T$12=0,0,T184/T$12)</f>
        <v>0.34688427919030757</v>
      </c>
      <c r="W184" s="15"/>
      <c r="X184" s="20">
        <f>+P184-T184</f>
        <v>-114833.50000000279</v>
      </c>
      <c r="Y184" s="15"/>
      <c r="Z184" s="21">
        <f>IF(T184=0,0,X184/T184)</f>
        <v>-4.4407113992322299E-2</v>
      </c>
    </row>
    <row r="185" spans="1:26" x14ac:dyDescent="0.25">
      <c r="A185" s="9"/>
      <c r="B185" s="10"/>
      <c r="C185" s="9"/>
      <c r="D185" s="1"/>
      <c r="E185" s="1"/>
      <c r="F185" s="5"/>
      <c r="G185" s="1"/>
      <c r="H185" s="1"/>
      <c r="I185" s="1"/>
      <c r="J185" s="5"/>
      <c r="K185" s="1"/>
      <c r="L185" s="1"/>
      <c r="M185" s="1"/>
      <c r="N185" s="5"/>
      <c r="O185" s="37"/>
      <c r="P185" s="1"/>
      <c r="Q185" s="1"/>
      <c r="R185" s="5"/>
      <c r="S185" s="1"/>
      <c r="T185" s="1"/>
      <c r="U185" s="1"/>
      <c r="V185" s="5"/>
      <c r="W185" s="1"/>
      <c r="X185" s="1"/>
      <c r="Y185" s="1"/>
      <c r="Z185" s="5"/>
    </row>
    <row r="186" spans="1:26" s="23" customFormat="1" x14ac:dyDescent="0.25">
      <c r="A186" s="10"/>
      <c r="B186" s="28" t="s">
        <v>9</v>
      </c>
      <c r="C186" s="10"/>
      <c r="D186" s="22">
        <f>SUM(OSRRefD22x_0)</f>
        <v>357391</v>
      </c>
      <c r="E186" s="22"/>
      <c r="F186" s="33">
        <f t="shared" ref="F186:F196" si="25">IF(D$12=0,0,D186/D$12)</f>
        <v>0.67623394658423375</v>
      </c>
      <c r="G186" s="22"/>
      <c r="H186" s="22">
        <f>SUM(OSRRefH22x_0)</f>
        <v>372910.07000000007</v>
      </c>
      <c r="I186" s="22"/>
      <c r="J186" s="33">
        <f t="shared" ref="J186:J196" si="26">IF(H$12=0,0,H186/H$12)</f>
        <v>0.51755919622965041</v>
      </c>
      <c r="K186" s="4"/>
      <c r="L186" s="22">
        <f t="shared" ref="L186:L196" si="27">+D186-H186</f>
        <v>-15519.070000000065</v>
      </c>
      <c r="M186" s="4"/>
      <c r="N186" s="33">
        <f t="shared" ref="N186:N196" si="28">IF(H186=0,0,L186/H186)</f>
        <v>-4.1616119403801735E-2</v>
      </c>
      <c r="O186" s="10"/>
      <c r="P186" s="22">
        <f>SUM(OSRRefP22x_0)</f>
        <v>2368520.3199999998</v>
      </c>
      <c r="Q186" s="22"/>
      <c r="R186" s="33">
        <f t="shared" ref="R186:R196" si="29">IF(P$12=0,0,P186/P$12)</f>
        <v>0.33366179826230746</v>
      </c>
      <c r="S186" s="22"/>
      <c r="T186" s="22">
        <f>SUM(OSRRefT22x_0)</f>
        <v>2509235.439999999</v>
      </c>
      <c r="U186" s="22"/>
      <c r="V186" s="33">
        <f t="shared" ref="V186:V196" si="30">IF(T$12=0,0,T186/T$12)</f>
        <v>0.33659679654653851</v>
      </c>
      <c r="W186" s="4"/>
      <c r="X186" s="22">
        <f t="shared" ref="X186:X196" si="31">+P186-T186</f>
        <v>-140715.11999999918</v>
      </c>
      <c r="Y186" s="4"/>
      <c r="Z186" s="33">
        <f t="shared" ref="Z186:Z196" si="32">IF(T186=0,0,X186/T186)</f>
        <v>-5.6078882737284799E-2</v>
      </c>
    </row>
    <row r="187" spans="1:26" s="27" customFormat="1" outlineLevel="1" collapsed="1" x14ac:dyDescent="0.25">
      <c r="A187" s="25"/>
      <c r="B187" s="13" t="str">
        <f>CONCATENATE("     ","*Benefits                                         ")</f>
        <v xml:space="preserve">     *Benefits                                         </v>
      </c>
      <c r="C187" s="13"/>
      <c r="D187" s="1">
        <f>SUM(OSRRefD22_0x_0)</f>
        <v>44608.34</v>
      </c>
      <c r="E187" s="1"/>
      <c r="F187" s="5">
        <f t="shared" si="25"/>
        <v>8.4405241902485884E-2</v>
      </c>
      <c r="G187" s="1"/>
      <c r="H187" s="1">
        <f>SUM(OSRRefH22_0x_0)</f>
        <v>50108.460000000006</v>
      </c>
      <c r="I187" s="1"/>
      <c r="J187" s="5">
        <f t="shared" si="26"/>
        <v>6.9545170185148358E-2</v>
      </c>
      <c r="K187" s="1"/>
      <c r="L187" s="1">
        <f t="shared" si="27"/>
        <v>-5500.1200000000099</v>
      </c>
      <c r="M187" s="1"/>
      <c r="N187" s="5">
        <f t="shared" si="28"/>
        <v>-0.10976429928199767</v>
      </c>
      <c r="O187" s="13"/>
      <c r="P187" s="1">
        <f>SUM(OSRRefP22_0x_0)</f>
        <v>319967.57999999996</v>
      </c>
      <c r="Q187" s="1"/>
      <c r="R187" s="5">
        <f t="shared" si="29"/>
        <v>4.5074959765782678E-2</v>
      </c>
      <c r="S187" s="1"/>
      <c r="T187" s="1">
        <f>SUM(OSRRefT22_0x_0)</f>
        <v>327369.90000000002</v>
      </c>
      <c r="U187" s="1"/>
      <c r="V187" s="5">
        <f t="shared" si="30"/>
        <v>4.3914436194062649E-2</v>
      </c>
      <c r="W187" s="1"/>
      <c r="X187" s="1">
        <f t="shared" si="31"/>
        <v>-7402.3200000000652</v>
      </c>
      <c r="Y187" s="1"/>
      <c r="Z187" s="5">
        <f t="shared" si="32"/>
        <v>-2.261148627286768E-2</v>
      </c>
    </row>
    <row r="188" spans="1:26" s="24" customFormat="1" hidden="1" outlineLevel="2" x14ac:dyDescent="0.25">
      <c r="A188" s="26"/>
      <c r="B188" s="11" t="str">
        <f>CONCATENATE("          ", "6111", " - ", "F.I.C.A.")</f>
        <v xml:space="preserve">          6111 - F.I.C.A.</v>
      </c>
      <c r="C188" s="11"/>
      <c r="D188" s="6">
        <v>6771.27</v>
      </c>
      <c r="E188" s="2"/>
      <c r="F188" s="7">
        <f t="shared" si="25"/>
        <v>1.2812193467343679E-2</v>
      </c>
      <c r="G188" s="2"/>
      <c r="H188" s="6">
        <v>6904.66</v>
      </c>
      <c r="I188" s="2"/>
      <c r="J188" s="7">
        <f t="shared" si="26"/>
        <v>9.5829278084097243E-3</v>
      </c>
      <c r="K188" s="2"/>
      <c r="L188" s="6">
        <f t="shared" si="27"/>
        <v>-133.38999999999942</v>
      </c>
      <c r="M188" s="2"/>
      <c r="N188" s="7">
        <f t="shared" si="28"/>
        <v>-1.9318836843522987E-2</v>
      </c>
      <c r="O188" s="11"/>
      <c r="P188" s="6">
        <v>64787.939999999995</v>
      </c>
      <c r="Q188" s="2"/>
      <c r="R188" s="7">
        <f t="shared" si="29"/>
        <v>9.1269052596139339E-3</v>
      </c>
      <c r="S188" s="2"/>
      <c r="T188" s="6">
        <v>64733.859999999993</v>
      </c>
      <c r="U188" s="2"/>
      <c r="V188" s="7">
        <f t="shared" si="30"/>
        <v>8.6836051957293083E-3</v>
      </c>
      <c r="W188" s="2"/>
      <c r="X188" s="6">
        <f t="shared" si="31"/>
        <v>54.080000000001746</v>
      </c>
      <c r="Y188" s="2"/>
      <c r="Z188" s="7">
        <f t="shared" si="32"/>
        <v>8.3542059750494951E-4</v>
      </c>
    </row>
    <row r="189" spans="1:26" s="24" customFormat="1" hidden="1" outlineLevel="2" x14ac:dyDescent="0.25">
      <c r="A189" s="26"/>
      <c r="B189" s="11" t="str">
        <f>CONCATENATE("          ", "6112", " - ", "COMPENSATION INSURANCE")</f>
        <v xml:space="preserve">          6112 - COMPENSATION INSURANCE</v>
      </c>
      <c r="C189" s="11"/>
      <c r="D189" s="6">
        <v>3300.44</v>
      </c>
      <c r="E189" s="2"/>
      <c r="F189" s="7">
        <f t="shared" si="25"/>
        <v>6.244895833035718E-3</v>
      </c>
      <c r="G189" s="2"/>
      <c r="H189" s="6">
        <v>2004.05</v>
      </c>
      <c r="I189" s="2"/>
      <c r="J189" s="7">
        <f t="shared" si="26"/>
        <v>2.7814065391262581E-3</v>
      </c>
      <c r="K189" s="2"/>
      <c r="L189" s="6">
        <f t="shared" si="27"/>
        <v>1296.3900000000001</v>
      </c>
      <c r="M189" s="2"/>
      <c r="N189" s="7">
        <f t="shared" si="28"/>
        <v>0.64688505775804006</v>
      </c>
      <c r="O189" s="11"/>
      <c r="P189" s="6">
        <v>14410.41</v>
      </c>
      <c r="Q189" s="2"/>
      <c r="R189" s="7">
        <f t="shared" si="29"/>
        <v>2.0300452031997507E-3</v>
      </c>
      <c r="S189" s="2"/>
      <c r="T189" s="6">
        <v>11442.16</v>
      </c>
      <c r="U189" s="2"/>
      <c r="V189" s="7">
        <f t="shared" si="30"/>
        <v>1.5348876156367946E-3</v>
      </c>
      <c r="W189" s="2"/>
      <c r="X189" s="6">
        <f t="shared" si="31"/>
        <v>2968.25</v>
      </c>
      <c r="Y189" s="2"/>
      <c r="Z189" s="7">
        <f t="shared" si="32"/>
        <v>0.25941343242884213</v>
      </c>
    </row>
    <row r="190" spans="1:26" s="24" customFormat="1" hidden="1" outlineLevel="2" x14ac:dyDescent="0.25">
      <c r="A190" s="26"/>
      <c r="B190" s="11" t="str">
        <f>CONCATENATE("          ", "6113", " - ", "GROUP INSURANCE")</f>
        <v xml:space="preserve">          6113 - GROUP INSURANCE</v>
      </c>
      <c r="C190" s="11"/>
      <c r="D190" s="6">
        <v>17955.25</v>
      </c>
      <c r="E190" s="2"/>
      <c r="F190" s="7">
        <f t="shared" si="25"/>
        <v>3.3973853760745409E-2</v>
      </c>
      <c r="G190" s="2"/>
      <c r="H190" s="6">
        <v>23737.350000000002</v>
      </c>
      <c r="I190" s="2"/>
      <c r="J190" s="7">
        <f t="shared" si="26"/>
        <v>3.2944896839664027E-2</v>
      </c>
      <c r="K190" s="2"/>
      <c r="L190" s="6">
        <f t="shared" si="27"/>
        <v>-5782.1000000000022</v>
      </c>
      <c r="M190" s="2"/>
      <c r="N190" s="7">
        <f t="shared" si="28"/>
        <v>-0.243586584012116</v>
      </c>
      <c r="O190" s="11"/>
      <c r="P190" s="6">
        <v>117354.75</v>
      </c>
      <c r="Q190" s="2"/>
      <c r="R190" s="7">
        <f t="shared" si="29"/>
        <v>1.6532176899214244E-2</v>
      </c>
      <c r="S190" s="2"/>
      <c r="T190" s="6">
        <v>120702.33</v>
      </c>
      <c r="U190" s="2"/>
      <c r="V190" s="7">
        <f t="shared" si="30"/>
        <v>1.6191393189354593E-2</v>
      </c>
      <c r="W190" s="2"/>
      <c r="X190" s="6">
        <f t="shared" si="31"/>
        <v>-3347.5800000000017</v>
      </c>
      <c r="Y190" s="2"/>
      <c r="Z190" s="7">
        <f t="shared" si="32"/>
        <v>-2.7734178785115429E-2</v>
      </c>
    </row>
    <row r="191" spans="1:26" s="24" customFormat="1" hidden="1" outlineLevel="2" x14ac:dyDescent="0.25">
      <c r="A191" s="26"/>
      <c r="B191" s="11" t="str">
        <f>CONCATENATE("          ", "6114", " - ", "STATE UNEMPLOYMENT INSURANCE")</f>
        <v xml:space="preserve">          6114 - STATE UNEMPLOYMENT INSURANCE</v>
      </c>
      <c r="C191" s="11"/>
      <c r="D191" s="6">
        <v>593.22</v>
      </c>
      <c r="E191" s="2"/>
      <c r="F191" s="7">
        <f t="shared" si="25"/>
        <v>1.1224555229222312E-3</v>
      </c>
      <c r="G191" s="2"/>
      <c r="H191" s="6">
        <v>562.82000000000005</v>
      </c>
      <c r="I191" s="2"/>
      <c r="J191" s="7">
        <f t="shared" si="26"/>
        <v>7.8113381819367822E-4</v>
      </c>
      <c r="K191" s="2"/>
      <c r="L191" s="6">
        <f t="shared" si="27"/>
        <v>30.399999999999977</v>
      </c>
      <c r="M191" s="2"/>
      <c r="N191" s="7">
        <f t="shared" si="28"/>
        <v>5.4013716641199624E-2</v>
      </c>
      <c r="O191" s="11"/>
      <c r="P191" s="6">
        <v>3117.07</v>
      </c>
      <c r="Q191" s="2"/>
      <c r="R191" s="7">
        <f t="shared" si="29"/>
        <v>4.3911262771412105E-4</v>
      </c>
      <c r="S191" s="2"/>
      <c r="T191" s="6">
        <v>3188.85</v>
      </c>
      <c r="U191" s="2"/>
      <c r="V191" s="7">
        <f t="shared" si="30"/>
        <v>4.2776244809750885E-4</v>
      </c>
      <c r="W191" s="2"/>
      <c r="X191" s="6">
        <f t="shared" si="31"/>
        <v>-71.779999999999745</v>
      </c>
      <c r="Y191" s="2"/>
      <c r="Z191" s="7">
        <f t="shared" si="32"/>
        <v>-2.250968217382434E-2</v>
      </c>
    </row>
    <row r="192" spans="1:26" s="24" customFormat="1" hidden="1" outlineLevel="2" x14ac:dyDescent="0.25">
      <c r="A192" s="26"/>
      <c r="B192" s="11" t="str">
        <f>CONCATENATE("          ", "6115", " - ", "P.E.R.S.")</f>
        <v xml:space="preserve">          6115 - P.E.R.S.</v>
      </c>
      <c r="C192" s="11"/>
      <c r="D192" s="6">
        <v>6207.89</v>
      </c>
      <c r="E192" s="2"/>
      <c r="F192" s="7">
        <f t="shared" si="25"/>
        <v>1.1746199413697599E-2</v>
      </c>
      <c r="G192" s="2"/>
      <c r="H192" s="6">
        <v>5786.26</v>
      </c>
      <c r="I192" s="2"/>
      <c r="J192" s="7">
        <f t="shared" si="26"/>
        <v>8.0307085157978603E-3</v>
      </c>
      <c r="K192" s="2"/>
      <c r="L192" s="6">
        <f t="shared" si="27"/>
        <v>421.63000000000011</v>
      </c>
      <c r="M192" s="2"/>
      <c r="N192" s="7">
        <f t="shared" si="28"/>
        <v>7.2867448057985659E-2</v>
      </c>
      <c r="O192" s="11"/>
      <c r="P192" s="6">
        <v>43052.959999999999</v>
      </c>
      <c r="Q192" s="2"/>
      <c r="R192" s="7">
        <f t="shared" si="29"/>
        <v>6.0650220869184661E-3</v>
      </c>
      <c r="S192" s="2"/>
      <c r="T192" s="6">
        <v>41979.39</v>
      </c>
      <c r="U192" s="2"/>
      <c r="V192" s="7">
        <f t="shared" si="30"/>
        <v>5.6312484550982587E-3</v>
      </c>
      <c r="W192" s="2"/>
      <c r="X192" s="6">
        <f t="shared" si="31"/>
        <v>1073.5699999999997</v>
      </c>
      <c r="Y192" s="2"/>
      <c r="Z192" s="7">
        <f t="shared" si="32"/>
        <v>2.5573739875686612E-2</v>
      </c>
    </row>
    <row r="193" spans="1:26" s="24" customFormat="1" hidden="1" outlineLevel="2" x14ac:dyDescent="0.25">
      <c r="A193" s="26"/>
      <c r="B193" s="11" t="str">
        <f>CONCATENATE("          ", "6117", " - ", "RETIREMENT STAFF HOURLY")</f>
        <v xml:space="preserve">          6117 - RETIREMENT STAFF HOURLY</v>
      </c>
      <c r="C193" s="11"/>
      <c r="D193" s="6">
        <v>252.09</v>
      </c>
      <c r="E193" s="2"/>
      <c r="F193" s="7">
        <f t="shared" si="25"/>
        <v>4.7698967124079644E-4</v>
      </c>
      <c r="G193" s="2"/>
      <c r="H193" s="6">
        <v>119.31</v>
      </c>
      <c r="I193" s="2"/>
      <c r="J193" s="7">
        <f t="shared" si="26"/>
        <v>1.6558948837761228E-4</v>
      </c>
      <c r="K193" s="2"/>
      <c r="L193" s="6">
        <f t="shared" si="27"/>
        <v>132.78</v>
      </c>
      <c r="M193" s="2"/>
      <c r="N193" s="7">
        <f t="shared" si="28"/>
        <v>1.1128991702288156</v>
      </c>
      <c r="O193" s="11"/>
      <c r="P193" s="6">
        <v>1770.97</v>
      </c>
      <c r="Q193" s="2"/>
      <c r="R193" s="7">
        <f t="shared" si="29"/>
        <v>2.4948278040046483E-4</v>
      </c>
      <c r="S193" s="2"/>
      <c r="T193" s="6">
        <v>2554.89</v>
      </c>
      <c r="U193" s="2"/>
      <c r="V193" s="7">
        <f t="shared" si="30"/>
        <v>3.4272104395623637E-4</v>
      </c>
      <c r="W193" s="2"/>
      <c r="X193" s="6">
        <f t="shared" si="31"/>
        <v>-783.91999999999985</v>
      </c>
      <c r="Y193" s="2"/>
      <c r="Z193" s="7">
        <f t="shared" si="32"/>
        <v>-0.30683121386830742</v>
      </c>
    </row>
    <row r="194" spans="1:26" s="24" customFormat="1" hidden="1" outlineLevel="2" x14ac:dyDescent="0.25">
      <c r="A194" s="26"/>
      <c r="B194" s="11" t="str">
        <f>CONCATENATE("          ", "6118", " - ", "VACATION")</f>
        <v xml:space="preserve">          6118 - VACATION</v>
      </c>
      <c r="C194" s="11"/>
      <c r="D194" s="6">
        <v>4257.45</v>
      </c>
      <c r="E194" s="2"/>
      <c r="F194" s="7">
        <f t="shared" si="25"/>
        <v>8.0556931089060604E-3</v>
      </c>
      <c r="G194" s="2"/>
      <c r="H194" s="6">
        <v>5463.22</v>
      </c>
      <c r="I194" s="2"/>
      <c r="J194" s="7">
        <f t="shared" si="26"/>
        <v>7.5823636299919448E-3</v>
      </c>
      <c r="K194" s="2"/>
      <c r="L194" s="6">
        <f t="shared" si="27"/>
        <v>-1205.7700000000004</v>
      </c>
      <c r="M194" s="2"/>
      <c r="N194" s="7">
        <f t="shared" si="28"/>
        <v>-0.22070683589531456</v>
      </c>
      <c r="O194" s="11"/>
      <c r="P194" s="6">
        <v>35172.39</v>
      </c>
      <c r="Q194" s="2"/>
      <c r="R194" s="7">
        <f t="shared" si="29"/>
        <v>4.9548584394594518E-3</v>
      </c>
      <c r="S194" s="2"/>
      <c r="T194" s="6">
        <v>39295.5</v>
      </c>
      <c r="U194" s="2"/>
      <c r="V194" s="7">
        <f t="shared" si="30"/>
        <v>5.2712229421941013E-3</v>
      </c>
      <c r="W194" s="2"/>
      <c r="X194" s="6">
        <f t="shared" si="31"/>
        <v>-4123.1100000000006</v>
      </c>
      <c r="Y194" s="2"/>
      <c r="Z194" s="7">
        <f t="shared" si="32"/>
        <v>-0.10492575485742643</v>
      </c>
    </row>
    <row r="195" spans="1:26" s="24" customFormat="1" hidden="1" outlineLevel="2" x14ac:dyDescent="0.25">
      <c r="A195" s="26"/>
      <c r="B195" s="11" t="str">
        <f>CONCATENATE("          ", "6119", " - ", "SICK LEAVE")</f>
        <v xml:space="preserve">          6119 - SICK LEAVE</v>
      </c>
      <c r="C195" s="11"/>
      <c r="D195" s="6">
        <v>3308.61</v>
      </c>
      <c r="E195" s="2"/>
      <c r="F195" s="7">
        <f t="shared" si="25"/>
        <v>6.260354620032574E-3</v>
      </c>
      <c r="G195" s="2"/>
      <c r="H195" s="6">
        <v>3394.8</v>
      </c>
      <c r="I195" s="2"/>
      <c r="J195" s="7">
        <f t="shared" si="26"/>
        <v>4.7116184321877308E-3</v>
      </c>
      <c r="K195" s="2"/>
      <c r="L195" s="6">
        <f t="shared" si="27"/>
        <v>-86.190000000000055</v>
      </c>
      <c r="M195" s="2"/>
      <c r="N195" s="7">
        <f t="shared" si="28"/>
        <v>-2.5388829975256291E-2</v>
      </c>
      <c r="O195" s="11"/>
      <c r="P195" s="6">
        <v>27817.37</v>
      </c>
      <c r="Q195" s="2"/>
      <c r="R195" s="7">
        <f t="shared" si="29"/>
        <v>3.9187308712335485E-3</v>
      </c>
      <c r="S195" s="2"/>
      <c r="T195" s="6">
        <v>30190.28</v>
      </c>
      <c r="U195" s="2"/>
      <c r="V195" s="7">
        <f t="shared" si="30"/>
        <v>4.0498198665817643E-3</v>
      </c>
      <c r="W195" s="2"/>
      <c r="X195" s="6">
        <f t="shared" si="31"/>
        <v>-2372.91</v>
      </c>
      <c r="Y195" s="2"/>
      <c r="Z195" s="7">
        <f t="shared" si="32"/>
        <v>-7.8598476065806611E-2</v>
      </c>
    </row>
    <row r="196" spans="1:26" s="24" customFormat="1" hidden="1" outlineLevel="2" x14ac:dyDescent="0.25">
      <c r="A196" s="26"/>
      <c r="B196" s="11" t="str">
        <f>CONCATENATE("          ", "6156", " - ", "EMPLOYEE MEALS")</f>
        <v xml:space="preserve">          6156 - EMPLOYEE MEALS</v>
      </c>
      <c r="C196" s="11"/>
      <c r="D196" s="6">
        <v>1962.12</v>
      </c>
      <c r="E196" s="2"/>
      <c r="F196" s="7">
        <f t="shared" si="25"/>
        <v>3.7126065045618288E-3</v>
      </c>
      <c r="G196" s="2"/>
      <c r="H196" s="6">
        <v>2135.9899999999998</v>
      </c>
      <c r="I196" s="2"/>
      <c r="J196" s="7">
        <f t="shared" si="26"/>
        <v>2.9645251133995137E-3</v>
      </c>
      <c r="K196" s="2"/>
      <c r="L196" s="6">
        <f t="shared" si="27"/>
        <v>-173.86999999999989</v>
      </c>
      <c r="M196" s="2"/>
      <c r="N196" s="7">
        <f t="shared" si="28"/>
        <v>-8.1400193821132075E-2</v>
      </c>
      <c r="O196" s="11"/>
      <c r="P196" s="6">
        <v>12483.72</v>
      </c>
      <c r="Q196" s="2"/>
      <c r="R196" s="7">
        <f t="shared" si="29"/>
        <v>1.7586255980287021E-3</v>
      </c>
      <c r="S196" s="2"/>
      <c r="T196" s="6">
        <v>13282.64</v>
      </c>
      <c r="U196" s="2"/>
      <c r="V196" s="7">
        <f t="shared" si="30"/>
        <v>1.7817754374140819E-3</v>
      </c>
      <c r="W196" s="2"/>
      <c r="X196" s="6">
        <f t="shared" si="31"/>
        <v>-798.92000000000007</v>
      </c>
      <c r="Y196" s="2"/>
      <c r="Z196" s="7">
        <f t="shared" si="32"/>
        <v>-6.0147681485006002E-2</v>
      </c>
    </row>
    <row r="197" spans="1:26" s="27" customFormat="1" outlineLevel="1" collapsed="1" x14ac:dyDescent="0.25">
      <c r="A197" s="25"/>
      <c r="B197" s="13" t="str">
        <f>CONCATENATE("     ","*Payroll                                          ")</f>
        <v xml:space="preserve">     *Payroll                                          </v>
      </c>
      <c r="C197" s="13"/>
      <c r="D197" s="1">
        <f>SUM(OSRRefD22_1x_0)</f>
        <v>152402.65</v>
      </c>
      <c r="E197" s="1"/>
      <c r="F197" s="5">
        <f t="shared" ref="F197:F204" si="33">IF(D$12=0,0,D197/D$12)</f>
        <v>0.28836720980493541</v>
      </c>
      <c r="G197" s="1"/>
      <c r="H197" s="1">
        <f>SUM(OSRRefH22_1x_0)</f>
        <v>148860.59</v>
      </c>
      <c r="I197" s="1"/>
      <c r="J197" s="5">
        <f t="shared" ref="J197:J204" si="34">IF(H$12=0,0,H197/H$12)</f>
        <v>0.2066025390804585</v>
      </c>
      <c r="K197" s="1"/>
      <c r="L197" s="1">
        <f t="shared" ref="L197:L204" si="35">+D197-H197</f>
        <v>3542.0599999999977</v>
      </c>
      <c r="M197" s="1"/>
      <c r="N197" s="5">
        <f t="shared" ref="N197:N204" si="36">IF(H197=0,0,L197/H197)</f>
        <v>2.3794477772793979E-2</v>
      </c>
      <c r="O197" s="13"/>
      <c r="P197" s="1">
        <f>SUM(OSRRefP22_1x_0)</f>
        <v>1092059.6500000001</v>
      </c>
      <c r="Q197" s="1"/>
      <c r="R197" s="5">
        <f t="shared" ref="R197:R204" si="37">IF(P$12=0,0,P197/P$12)</f>
        <v>0.15384228860181623</v>
      </c>
      <c r="S197" s="1"/>
      <c r="T197" s="1">
        <f>SUM(OSRRefT22_1x_0)</f>
        <v>1044706.1299999999</v>
      </c>
      <c r="U197" s="1"/>
      <c r="V197" s="5">
        <f t="shared" ref="V197:V204" si="38">IF(T$12=0,0,T197/T$12)</f>
        <v>0.14014019214176718</v>
      </c>
      <c r="W197" s="1"/>
      <c r="X197" s="1">
        <f t="shared" ref="X197:X204" si="39">+P197-T197</f>
        <v>47353.520000000251</v>
      </c>
      <c r="Y197" s="1"/>
      <c r="Z197" s="5">
        <f t="shared" ref="Z197:Z204" si="40">IF(T197=0,0,X197/T197)</f>
        <v>4.5327119885857525E-2</v>
      </c>
    </row>
    <row r="198" spans="1:26" s="24" customFormat="1" hidden="1" outlineLevel="2" x14ac:dyDescent="0.25">
      <c r="A198" s="26"/>
      <c r="B198" s="11" t="str">
        <f>CONCATENATE("          ", "6001", " - ", "ADMINISTRATIVE SALARIES")</f>
        <v xml:space="preserve">          6001 - ADMINISTRATIVE SALARIES</v>
      </c>
      <c r="C198" s="11"/>
      <c r="D198" s="6">
        <v>10181.280000000001</v>
      </c>
      <c r="E198" s="2"/>
      <c r="F198" s="7">
        <f t="shared" si="33"/>
        <v>1.9264411123053261E-2</v>
      </c>
      <c r="G198" s="2"/>
      <c r="H198" s="6">
        <v>10405</v>
      </c>
      <c r="I198" s="2"/>
      <c r="J198" s="7">
        <f t="shared" si="34"/>
        <v>1.444102444530262E-2</v>
      </c>
      <c r="K198" s="2"/>
      <c r="L198" s="6">
        <f t="shared" si="35"/>
        <v>-223.71999999999935</v>
      </c>
      <c r="M198" s="2"/>
      <c r="N198" s="7">
        <f t="shared" si="36"/>
        <v>-2.1501201345506905E-2</v>
      </c>
      <c r="O198" s="11"/>
      <c r="P198" s="6">
        <v>66982.11</v>
      </c>
      <c r="Q198" s="2"/>
      <c r="R198" s="7">
        <f t="shared" si="37"/>
        <v>9.4360057143202756E-3</v>
      </c>
      <c r="S198" s="2"/>
      <c r="T198" s="6">
        <v>67112.25</v>
      </c>
      <c r="U198" s="2"/>
      <c r="V198" s="7">
        <f t="shared" si="38"/>
        <v>9.0026499701560247E-3</v>
      </c>
      <c r="W198" s="2"/>
      <c r="X198" s="6">
        <f t="shared" si="39"/>
        <v>-130.13999999999942</v>
      </c>
      <c r="Y198" s="2"/>
      <c r="Z198" s="7">
        <f t="shared" si="40"/>
        <v>-1.9391392778516502E-3</v>
      </c>
    </row>
    <row r="199" spans="1:26" s="24" customFormat="1" hidden="1" outlineLevel="2" x14ac:dyDescent="0.25">
      <c r="A199" s="26"/>
      <c r="B199" s="11" t="str">
        <f>CONCATENATE("          ", "6002", " - ", "STAFF SALARIES")</f>
        <v xml:space="preserve">          6002 - STAFF SALARIES</v>
      </c>
      <c r="C199" s="11"/>
      <c r="D199" s="6">
        <v>55590.5</v>
      </c>
      <c r="E199" s="2"/>
      <c r="F199" s="7">
        <f t="shared" si="33"/>
        <v>0.10518503042211708</v>
      </c>
      <c r="G199" s="2"/>
      <c r="H199" s="6">
        <v>56949.78</v>
      </c>
      <c r="I199" s="2"/>
      <c r="J199" s="7">
        <f t="shared" si="34"/>
        <v>7.9040188864450384E-2</v>
      </c>
      <c r="K199" s="2"/>
      <c r="L199" s="6">
        <f t="shared" si="35"/>
        <v>-1359.2799999999988</v>
      </c>
      <c r="M199" s="2"/>
      <c r="N199" s="7">
        <f t="shared" si="36"/>
        <v>-2.3868046549082346E-2</v>
      </c>
      <c r="O199" s="11"/>
      <c r="P199" s="6">
        <v>368261.46</v>
      </c>
      <c r="Q199" s="2"/>
      <c r="R199" s="7">
        <f t="shared" si="37"/>
        <v>5.187828870908856E-2</v>
      </c>
      <c r="S199" s="2"/>
      <c r="T199" s="6">
        <v>344263.61</v>
      </c>
      <c r="U199" s="2"/>
      <c r="V199" s="7">
        <f t="shared" si="38"/>
        <v>4.6180612008870289E-2</v>
      </c>
      <c r="W199" s="2"/>
      <c r="X199" s="6">
        <f t="shared" si="39"/>
        <v>23997.850000000035</v>
      </c>
      <c r="Y199" s="2"/>
      <c r="Z199" s="7">
        <f t="shared" si="40"/>
        <v>6.9707774225687219E-2</v>
      </c>
    </row>
    <row r="200" spans="1:26" s="24" customFormat="1" hidden="1" outlineLevel="2" x14ac:dyDescent="0.25">
      <c r="A200" s="26"/>
      <c r="B200" s="11" t="str">
        <f>CONCATENATE("          ", "6004", " - ", "STAFF HOURLY")</f>
        <v xml:space="preserve">          6004 - STAFF HOURLY</v>
      </c>
      <c r="C200" s="11"/>
      <c r="D200" s="6">
        <v>3238.83</v>
      </c>
      <c r="E200" s="2"/>
      <c r="F200" s="7">
        <f t="shared" si="33"/>
        <v>6.1283210635282191E-3</v>
      </c>
      <c r="G200" s="2"/>
      <c r="H200" s="6">
        <v>4771.4799999999996</v>
      </c>
      <c r="I200" s="2"/>
      <c r="J200" s="7">
        <f t="shared" si="34"/>
        <v>6.6223026737407533E-3</v>
      </c>
      <c r="K200" s="2"/>
      <c r="L200" s="6">
        <f t="shared" si="35"/>
        <v>-1532.6499999999996</v>
      </c>
      <c r="M200" s="2"/>
      <c r="N200" s="7">
        <f t="shared" si="36"/>
        <v>-0.32121060970600313</v>
      </c>
      <c r="O200" s="11"/>
      <c r="P200" s="6">
        <v>15944.24</v>
      </c>
      <c r="Q200" s="2"/>
      <c r="R200" s="7">
        <f t="shared" si="37"/>
        <v>2.2461212367077404E-3</v>
      </c>
      <c r="S200" s="2"/>
      <c r="T200" s="6">
        <v>35868.800000000003</v>
      </c>
      <c r="U200" s="2"/>
      <c r="V200" s="7">
        <f t="shared" si="38"/>
        <v>4.8115545410790496E-3</v>
      </c>
      <c r="W200" s="2"/>
      <c r="X200" s="6">
        <f t="shared" si="39"/>
        <v>-19924.560000000005</v>
      </c>
      <c r="Y200" s="2"/>
      <c r="Z200" s="7">
        <f t="shared" si="40"/>
        <v>-0.55548443215273446</v>
      </c>
    </row>
    <row r="201" spans="1:26" s="24" customFormat="1" hidden="1" outlineLevel="2" x14ac:dyDescent="0.25">
      <c r="A201" s="26"/>
      <c r="B201" s="11" t="str">
        <f>CONCATENATE("          ", "6005", " - ", "TEMPORARY WAGES-HOURLY")</f>
        <v xml:space="preserve">          6005 - TEMPORARY WAGES-HOURLY</v>
      </c>
      <c r="C201" s="11"/>
      <c r="D201" s="6">
        <v>19664.38</v>
      </c>
      <c r="E201" s="2"/>
      <c r="F201" s="7">
        <f t="shared" si="33"/>
        <v>3.7207767667714282E-2</v>
      </c>
      <c r="G201" s="2"/>
      <c r="H201" s="6">
        <v>19399.400000000001</v>
      </c>
      <c r="I201" s="2"/>
      <c r="J201" s="7">
        <f t="shared" si="34"/>
        <v>2.6924287325728369E-2</v>
      </c>
      <c r="K201" s="2"/>
      <c r="L201" s="6">
        <f t="shared" si="35"/>
        <v>264.97999999999956</v>
      </c>
      <c r="M201" s="2"/>
      <c r="N201" s="7">
        <f t="shared" si="36"/>
        <v>1.3659185335628913E-2</v>
      </c>
      <c r="O201" s="11"/>
      <c r="P201" s="6">
        <v>127864.01000000001</v>
      </c>
      <c r="Q201" s="2"/>
      <c r="R201" s="7">
        <f t="shared" si="37"/>
        <v>1.8012653363949045E-2</v>
      </c>
      <c r="S201" s="2"/>
      <c r="T201" s="6">
        <v>128299.4</v>
      </c>
      <c r="U201" s="2"/>
      <c r="V201" s="7">
        <f t="shared" si="38"/>
        <v>1.7210488242921908E-2</v>
      </c>
      <c r="W201" s="2"/>
      <c r="X201" s="6">
        <f t="shared" si="39"/>
        <v>-435.38999999998487</v>
      </c>
      <c r="Y201" s="2"/>
      <c r="Z201" s="7">
        <f t="shared" si="40"/>
        <v>-3.3935466572718571E-3</v>
      </c>
    </row>
    <row r="202" spans="1:26" s="24" customFormat="1" hidden="1" outlineLevel="2" x14ac:dyDescent="0.25">
      <c r="A202" s="26"/>
      <c r="B202" s="11" t="str">
        <f>CONCATENATE("          ", "6006", " - ", "TEMPORARY PART TIME")</f>
        <v xml:space="preserve">          6006 - TEMPORARY PART TIME</v>
      </c>
      <c r="C202" s="11"/>
      <c r="D202" s="6">
        <v>1313</v>
      </c>
      <c r="E202" s="2"/>
      <c r="F202" s="7">
        <f t="shared" si="33"/>
        <v>2.4843803337663761E-3</v>
      </c>
      <c r="G202" s="2"/>
      <c r="H202" s="6">
        <v>492.25</v>
      </c>
      <c r="I202" s="2"/>
      <c r="J202" s="7">
        <f t="shared" si="34"/>
        <v>6.8319022423836754E-4</v>
      </c>
      <c r="K202" s="2"/>
      <c r="L202" s="6">
        <f t="shared" si="35"/>
        <v>820.75</v>
      </c>
      <c r="M202" s="2"/>
      <c r="N202" s="7">
        <f t="shared" si="36"/>
        <v>1.6673438293550025</v>
      </c>
      <c r="O202" s="11"/>
      <c r="P202" s="6">
        <v>28749.91</v>
      </c>
      <c r="Q202" s="2"/>
      <c r="R202" s="7">
        <f t="shared" si="37"/>
        <v>4.0501010649887509E-3</v>
      </c>
      <c r="S202" s="2"/>
      <c r="T202" s="6">
        <v>40340.51</v>
      </c>
      <c r="U202" s="2"/>
      <c r="V202" s="7">
        <f t="shared" si="38"/>
        <v>5.4114038964209786E-3</v>
      </c>
      <c r="W202" s="2"/>
      <c r="X202" s="6">
        <f t="shared" si="39"/>
        <v>-11590.600000000002</v>
      </c>
      <c r="Y202" s="2"/>
      <c r="Z202" s="7">
        <f t="shared" si="40"/>
        <v>-0.28731912412609562</v>
      </c>
    </row>
    <row r="203" spans="1:26" s="24" customFormat="1" hidden="1" outlineLevel="2" x14ac:dyDescent="0.25">
      <c r="A203" s="26"/>
      <c r="B203" s="11" t="str">
        <f>CONCATENATE("          ", "6007", " - ", "STUDENT HOURLY")</f>
        <v xml:space="preserve">          6007 - STUDENT HOURLY</v>
      </c>
      <c r="C203" s="11"/>
      <c r="D203" s="6">
        <v>61254.409999999996</v>
      </c>
      <c r="E203" s="2"/>
      <c r="F203" s="7">
        <f t="shared" si="33"/>
        <v>0.11590194330575966</v>
      </c>
      <c r="G203" s="2"/>
      <c r="H203" s="6">
        <v>54565.93</v>
      </c>
      <c r="I203" s="2"/>
      <c r="J203" s="7">
        <f t="shared" si="34"/>
        <v>7.573166064494681E-2</v>
      </c>
      <c r="K203" s="2"/>
      <c r="L203" s="6">
        <f t="shared" si="35"/>
        <v>6688.4799999999959</v>
      </c>
      <c r="M203" s="2"/>
      <c r="N203" s="7">
        <f t="shared" si="36"/>
        <v>0.12257612030070771</v>
      </c>
      <c r="O203" s="11"/>
      <c r="P203" s="6">
        <v>477814.67</v>
      </c>
      <c r="Q203" s="2"/>
      <c r="R203" s="7">
        <f t="shared" si="37"/>
        <v>6.731143519524925E-2</v>
      </c>
      <c r="S203" s="2"/>
      <c r="T203" s="6">
        <v>415440.31</v>
      </c>
      <c r="U203" s="2"/>
      <c r="V203" s="7">
        <f t="shared" si="38"/>
        <v>5.5728480186897467E-2</v>
      </c>
      <c r="W203" s="2"/>
      <c r="X203" s="6">
        <f t="shared" si="39"/>
        <v>62374.359999999986</v>
      </c>
      <c r="Y203" s="2"/>
      <c r="Z203" s="7">
        <f t="shared" si="40"/>
        <v>0.15014036553169333</v>
      </c>
    </row>
    <row r="204" spans="1:26" s="24" customFormat="1" hidden="1" outlineLevel="2" x14ac:dyDescent="0.25">
      <c r="A204" s="26"/>
      <c r="B204" s="11" t="str">
        <f>CONCATENATE("          ", "6008", " - ", "STUDENT HOURLY-FICA EXEMPT")</f>
        <v xml:space="preserve">          6008 - STUDENT HOURLY-FICA EXEMPT</v>
      </c>
      <c r="C204" s="11"/>
      <c r="D204" s="6">
        <v>1160.25</v>
      </c>
      <c r="E204" s="2"/>
      <c r="F204" s="7">
        <f t="shared" si="33"/>
        <v>2.1953558889965252E-3</v>
      </c>
      <c r="G204" s="2"/>
      <c r="H204" s="6">
        <v>2276.75</v>
      </c>
      <c r="I204" s="2"/>
      <c r="J204" s="7">
        <f t="shared" si="34"/>
        <v>3.1598849020512006E-3</v>
      </c>
      <c r="K204" s="2"/>
      <c r="L204" s="6">
        <f t="shared" si="35"/>
        <v>-1116.5</v>
      </c>
      <c r="M204" s="2"/>
      <c r="N204" s="7">
        <f t="shared" si="36"/>
        <v>-0.49039200614911604</v>
      </c>
      <c r="O204" s="11"/>
      <c r="P204" s="6">
        <v>6443.25</v>
      </c>
      <c r="Q204" s="2"/>
      <c r="R204" s="7">
        <f t="shared" si="37"/>
        <v>9.0768331751260329E-4</v>
      </c>
      <c r="S204" s="2"/>
      <c r="T204" s="6">
        <v>13381.25</v>
      </c>
      <c r="U204" s="2"/>
      <c r="V204" s="7">
        <f t="shared" si="38"/>
        <v>1.7950032954214812E-3</v>
      </c>
      <c r="W204" s="2"/>
      <c r="X204" s="6">
        <f t="shared" si="39"/>
        <v>-6938</v>
      </c>
      <c r="Y204" s="2"/>
      <c r="Z204" s="7">
        <f t="shared" si="40"/>
        <v>-0.5184866884633349</v>
      </c>
    </row>
    <row r="205" spans="1:26" s="27" customFormat="1" outlineLevel="1" collapsed="1" x14ac:dyDescent="0.25">
      <c r="A205" s="25"/>
      <c r="B205" s="13" t="str">
        <f>CONCATENATE("     ","Advertising/Promo                                 ")</f>
        <v xml:space="preserve">     Advertising/Promo                                 </v>
      </c>
      <c r="C205" s="13"/>
      <c r="D205" s="1">
        <f>SUM(OSRRefD22_2x_0)</f>
        <v>4759.8500000000004</v>
      </c>
      <c r="E205" s="1"/>
      <c r="F205" s="5">
        <f t="shared" ref="F205:F209" si="41">IF(D$12=0,0,D205/D$12)</f>
        <v>9.0063044414911541E-3</v>
      </c>
      <c r="G205" s="1"/>
      <c r="H205" s="1">
        <f>SUM(OSRRefH22_2x_0)</f>
        <v>3184.41</v>
      </c>
      <c r="I205" s="1"/>
      <c r="J205" s="5">
        <f t="shared" ref="J205:J209" si="42">IF(H$12=0,0,H205/H$12)</f>
        <v>4.4196196688002032E-3</v>
      </c>
      <c r="K205" s="1"/>
      <c r="L205" s="1">
        <f t="shared" ref="L205:L209" si="43">+D205-H205</f>
        <v>1575.4400000000005</v>
      </c>
      <c r="M205" s="1"/>
      <c r="N205" s="5">
        <f t="shared" ref="N205:N209" si="44">IF(H205=0,0,L205/H205)</f>
        <v>0.49473528848358111</v>
      </c>
      <c r="O205" s="13"/>
      <c r="P205" s="1">
        <f>SUM(OSRRefP22_2x_0)</f>
        <v>38809.910000000003</v>
      </c>
      <c r="Q205" s="1"/>
      <c r="R205" s="5">
        <f t="shared" ref="R205:R209" si="45">IF(P$12=0,0,P205/P$12)</f>
        <v>5.4672886914469499E-3</v>
      </c>
      <c r="S205" s="1"/>
      <c r="T205" s="1">
        <f>SUM(OSRRefT22_2x_0)</f>
        <v>43400.44</v>
      </c>
      <c r="U205" s="1"/>
      <c r="V205" s="5">
        <f t="shared" ref="V205:V209" si="46">IF(T$12=0,0,T205/T$12)</f>
        <v>5.821872607024178E-3</v>
      </c>
      <c r="W205" s="1"/>
      <c r="X205" s="1">
        <f t="shared" ref="X205:X209" si="47">+P205-T205</f>
        <v>-4590.5299999999988</v>
      </c>
      <c r="Y205" s="1"/>
      <c r="Z205" s="5">
        <f t="shared" ref="Z205:Z209" si="48">IF(T205=0,0,X205/T205)</f>
        <v>-0.10577150830728901</v>
      </c>
    </row>
    <row r="206" spans="1:26" s="24" customFormat="1" hidden="1" outlineLevel="2" x14ac:dyDescent="0.25">
      <c r="A206" s="26"/>
      <c r="B206" s="11" t="str">
        <f>CONCATENATE("          ", "6362", " - ", "ADVERTISING EXPENSE")</f>
        <v xml:space="preserve">          6362 - ADVERTISING EXPENSE</v>
      </c>
      <c r="C206" s="11"/>
      <c r="D206" s="6">
        <v>4759.8500000000004</v>
      </c>
      <c r="E206" s="2"/>
      <c r="F206" s="7">
        <f t="shared" si="41"/>
        <v>9.0063044414911541E-3</v>
      </c>
      <c r="G206" s="2"/>
      <c r="H206" s="6">
        <v>3184.41</v>
      </c>
      <c r="I206" s="2"/>
      <c r="J206" s="7">
        <f t="shared" si="42"/>
        <v>4.4196196688002032E-3</v>
      </c>
      <c r="K206" s="2"/>
      <c r="L206" s="6">
        <f t="shared" si="43"/>
        <v>1575.4400000000005</v>
      </c>
      <c r="M206" s="2"/>
      <c r="N206" s="7">
        <f t="shared" si="44"/>
        <v>0.49473528848358111</v>
      </c>
      <c r="O206" s="11"/>
      <c r="P206" s="6">
        <v>38809.910000000003</v>
      </c>
      <c r="Q206" s="2"/>
      <c r="R206" s="7">
        <f t="shared" si="45"/>
        <v>5.4672886914469499E-3</v>
      </c>
      <c r="S206" s="2"/>
      <c r="T206" s="6">
        <v>43400.44</v>
      </c>
      <c r="U206" s="2"/>
      <c r="V206" s="7">
        <f t="shared" si="46"/>
        <v>5.821872607024178E-3</v>
      </c>
      <c r="W206" s="2"/>
      <c r="X206" s="6">
        <f t="shared" si="47"/>
        <v>-4590.5299999999988</v>
      </c>
      <c r="Y206" s="2"/>
      <c r="Z206" s="7">
        <f t="shared" si="48"/>
        <v>-0.10577150830728901</v>
      </c>
    </row>
    <row r="207" spans="1:26" s="27" customFormat="1" outlineLevel="1" collapsed="1" x14ac:dyDescent="0.25">
      <c r="A207" s="25"/>
      <c r="B207" s="13" t="str">
        <f>CONCATENATE("     ","Bad Debts/Over/Short                              ")</f>
        <v xml:space="preserve">     Bad Debts/Over/Short                              </v>
      </c>
      <c r="C207" s="13"/>
      <c r="D207" s="1">
        <f>SUM(OSRRefD22_3x_0)</f>
        <v>77.56</v>
      </c>
      <c r="E207" s="1"/>
      <c r="F207" s="5">
        <f t="shared" si="41"/>
        <v>1.4675440874860633E-4</v>
      </c>
      <c r="G207" s="1"/>
      <c r="H207" s="1">
        <f>SUM(OSRRefH22_3x_0)</f>
        <v>-67.14</v>
      </c>
      <c r="I207" s="1"/>
      <c r="J207" s="5">
        <f t="shared" si="42"/>
        <v>-9.3183121697032001E-5</v>
      </c>
      <c r="K207" s="1"/>
      <c r="L207" s="1">
        <f t="shared" si="43"/>
        <v>144.69999999999999</v>
      </c>
      <c r="M207" s="1"/>
      <c r="N207" s="5">
        <f t="shared" si="44"/>
        <v>-2.155198093535895</v>
      </c>
      <c r="O207" s="13"/>
      <c r="P207" s="1">
        <f>SUM(OSRRefP22_3x_0)</f>
        <v>150.01999999999998</v>
      </c>
      <c r="Q207" s="1"/>
      <c r="R207" s="5">
        <f t="shared" si="45"/>
        <v>2.1133845697938266E-5</v>
      </c>
      <c r="S207" s="1"/>
      <c r="T207" s="1">
        <f>SUM(OSRRefT22_3x_0)</f>
        <v>1050.8399999999999</v>
      </c>
      <c r="U207" s="1"/>
      <c r="V207" s="5">
        <f t="shared" si="46"/>
        <v>1.4096300890878723E-4</v>
      </c>
      <c r="W207" s="1"/>
      <c r="X207" s="1">
        <f t="shared" si="47"/>
        <v>-900.81999999999994</v>
      </c>
      <c r="Y207" s="1"/>
      <c r="Z207" s="5">
        <f t="shared" si="48"/>
        <v>-0.85723801910852271</v>
      </c>
    </row>
    <row r="208" spans="1:26" s="24" customFormat="1" hidden="1" outlineLevel="2" x14ac:dyDescent="0.25">
      <c r="A208" s="26"/>
      <c r="B208" s="11" t="str">
        <f>CONCATENATE("          ", "6272", " - ", "CASH (OVER/SHORT)")</f>
        <v xml:space="preserve">          6272 - CASH (OVER/SHORT)</v>
      </c>
      <c r="C208" s="11"/>
      <c r="D208" s="6">
        <v>77.56</v>
      </c>
      <c r="E208" s="2"/>
      <c r="F208" s="7">
        <f t="shared" si="41"/>
        <v>1.4675440874860633E-4</v>
      </c>
      <c r="G208" s="2"/>
      <c r="H208" s="6">
        <v>-67.14</v>
      </c>
      <c r="I208" s="2"/>
      <c r="J208" s="7">
        <f t="shared" si="42"/>
        <v>-9.3183121697032001E-5</v>
      </c>
      <c r="K208" s="2"/>
      <c r="L208" s="6">
        <f t="shared" si="43"/>
        <v>144.69999999999999</v>
      </c>
      <c r="M208" s="2"/>
      <c r="N208" s="7">
        <f t="shared" si="44"/>
        <v>-2.155198093535895</v>
      </c>
      <c r="O208" s="11"/>
      <c r="P208" s="6">
        <v>105.22</v>
      </c>
      <c r="Q208" s="2"/>
      <c r="R208" s="7">
        <f t="shared" si="45"/>
        <v>1.4822711933989231E-5</v>
      </c>
      <c r="S208" s="2"/>
      <c r="T208" s="6">
        <v>1050.8399999999999</v>
      </c>
      <c r="U208" s="2"/>
      <c r="V208" s="7">
        <f t="shared" si="46"/>
        <v>1.4096300890878723E-4</v>
      </c>
      <c r="W208" s="2"/>
      <c r="X208" s="6">
        <f t="shared" si="47"/>
        <v>-945.61999999999989</v>
      </c>
      <c r="Y208" s="2"/>
      <c r="Z208" s="7">
        <f t="shared" si="48"/>
        <v>-0.89987057972669482</v>
      </c>
    </row>
    <row r="209" spans="1:26" s="24" customFormat="1" hidden="1" outlineLevel="2" x14ac:dyDescent="0.25">
      <c r="A209" s="26"/>
      <c r="B209" s="11" t="str">
        <f>CONCATENATE("          ", "6342", " - ", "BAD DEBT")</f>
        <v xml:space="preserve">          6342 - BAD DEBT</v>
      </c>
      <c r="C209" s="11"/>
      <c r="D209" s="6"/>
      <c r="E209" s="2"/>
      <c r="F209" s="7">
        <f t="shared" si="41"/>
        <v>0</v>
      </c>
      <c r="G209" s="2"/>
      <c r="H209" s="6"/>
      <c r="I209" s="2"/>
      <c r="J209" s="7">
        <f t="shared" si="42"/>
        <v>0</v>
      </c>
      <c r="K209" s="2"/>
      <c r="L209" s="6">
        <f t="shared" si="43"/>
        <v>0</v>
      </c>
      <c r="M209" s="2"/>
      <c r="N209" s="7">
        <f t="shared" si="44"/>
        <v>0</v>
      </c>
      <c r="O209" s="11"/>
      <c r="P209" s="6">
        <v>44.8</v>
      </c>
      <c r="Q209" s="2"/>
      <c r="R209" s="7">
        <f t="shared" si="45"/>
        <v>6.3111337639490354E-6</v>
      </c>
      <c r="S209" s="2"/>
      <c r="T209" s="6"/>
      <c r="U209" s="2"/>
      <c r="V209" s="7">
        <f t="shared" si="46"/>
        <v>0</v>
      </c>
      <c r="W209" s="2"/>
      <c r="X209" s="6">
        <f t="shared" si="47"/>
        <v>44.8</v>
      </c>
      <c r="Y209" s="2"/>
      <c r="Z209" s="7">
        <f t="shared" si="48"/>
        <v>0</v>
      </c>
    </row>
    <row r="210" spans="1:26" s="27" customFormat="1" outlineLevel="1" collapsed="1" x14ac:dyDescent="0.25">
      <c r="A210" s="25"/>
      <c r="B210" s="13" t="str">
        <f>CONCATENATE("     ","Bank/card Fees                                    ")</f>
        <v xml:space="preserve">     Bank/card Fees                                    </v>
      </c>
      <c r="C210" s="13"/>
      <c r="D210" s="1">
        <f>SUM(OSRRefD22_4x_0)</f>
        <v>9604.4500000000007</v>
      </c>
      <c r="E210" s="1"/>
      <c r="F210" s="5">
        <f t="shared" ref="F210:F214" si="49">IF(D$12=0,0,D210/D$12)</f>
        <v>1.8172967781144304E-2</v>
      </c>
      <c r="G210" s="1"/>
      <c r="H210" s="1">
        <f>SUM(OSRRefH22_4x_0)</f>
        <v>9195.09</v>
      </c>
      <c r="I210" s="1"/>
      <c r="J210" s="5">
        <f t="shared" ref="J210:J214" si="50">IF(H$12=0,0,H210/H$12)</f>
        <v>1.2761799083782574E-2</v>
      </c>
      <c r="K210" s="1"/>
      <c r="L210" s="1">
        <f t="shared" ref="L210:L214" si="51">+D210-H210</f>
        <v>409.36000000000058</v>
      </c>
      <c r="M210" s="1"/>
      <c r="N210" s="5">
        <f t="shared" ref="N210:N214" si="52">IF(H210=0,0,L210/H210)</f>
        <v>4.4519411990529792E-2</v>
      </c>
      <c r="O210" s="13"/>
      <c r="P210" s="1">
        <f>SUM(OSRRefP22_4x_0)</f>
        <v>91668.18</v>
      </c>
      <c r="Q210" s="1"/>
      <c r="R210" s="5">
        <f t="shared" ref="R210:R214" si="53">IF(P$12=0,0,P210/P$12)</f>
        <v>1.2913619327628519E-2</v>
      </c>
      <c r="S210" s="1"/>
      <c r="T210" s="1">
        <f>SUM(OSRRefT22_4x_0)</f>
        <v>89724.14</v>
      </c>
      <c r="U210" s="1"/>
      <c r="V210" s="5">
        <f t="shared" ref="V210:V214" si="54">IF(T$12=0,0,T210/T$12)</f>
        <v>1.2035880577588667E-2</v>
      </c>
      <c r="W210" s="1"/>
      <c r="X210" s="1">
        <f t="shared" ref="X210:X214" si="55">+P210-T210</f>
        <v>1944.0399999999936</v>
      </c>
      <c r="Y210" s="1"/>
      <c r="Z210" s="5">
        <f t="shared" ref="Z210:Z214" si="56">IF(T210=0,0,X210/T210)</f>
        <v>2.1666855764791878E-2</v>
      </c>
    </row>
    <row r="211" spans="1:26" s="24" customFormat="1" hidden="1" outlineLevel="2" x14ac:dyDescent="0.25">
      <c r="A211" s="26"/>
      <c r="B211" s="11" t="str">
        <f>CONCATENATE("          ", "6381", " - ", "BANK/CREDIT CARD FEES")</f>
        <v xml:space="preserve">          6381 - BANK/CREDIT CARD FEES</v>
      </c>
      <c r="C211" s="11"/>
      <c r="D211" s="6">
        <v>9604.4500000000007</v>
      </c>
      <c r="E211" s="2"/>
      <c r="F211" s="7">
        <f t="shared" si="49"/>
        <v>1.8172967781144304E-2</v>
      </c>
      <c r="G211" s="2"/>
      <c r="H211" s="6">
        <v>9195.09</v>
      </c>
      <c r="I211" s="2"/>
      <c r="J211" s="7">
        <f t="shared" si="50"/>
        <v>1.2761799083782574E-2</v>
      </c>
      <c r="K211" s="2"/>
      <c r="L211" s="6">
        <f t="shared" si="51"/>
        <v>409.36000000000058</v>
      </c>
      <c r="M211" s="2"/>
      <c r="N211" s="7">
        <f t="shared" si="52"/>
        <v>4.4519411990529792E-2</v>
      </c>
      <c r="O211" s="11"/>
      <c r="P211" s="6">
        <v>91668.18</v>
      </c>
      <c r="Q211" s="2"/>
      <c r="R211" s="7">
        <f t="shared" si="53"/>
        <v>1.2913619327628519E-2</v>
      </c>
      <c r="S211" s="2"/>
      <c r="T211" s="6">
        <v>89724.14</v>
      </c>
      <c r="U211" s="2"/>
      <c r="V211" s="7">
        <f t="shared" si="54"/>
        <v>1.2035880577588667E-2</v>
      </c>
      <c r="W211" s="2"/>
      <c r="X211" s="6">
        <f t="shared" si="55"/>
        <v>1944.0399999999936</v>
      </c>
      <c r="Y211" s="2"/>
      <c r="Z211" s="7">
        <f t="shared" si="56"/>
        <v>2.1666855764791878E-2</v>
      </c>
    </row>
    <row r="212" spans="1:26" s="27" customFormat="1" outlineLevel="1" collapsed="1" x14ac:dyDescent="0.25">
      <c r="A212" s="25"/>
      <c r="B212" s="13" t="str">
        <f>CONCATENATE("     ","Depreciation                                      ")</f>
        <v xml:space="preserve">     Depreciation                                      </v>
      </c>
      <c r="C212" s="13"/>
      <c r="D212" s="1">
        <f>SUM(OSRRefD22_5x_0)</f>
        <v>30057.75</v>
      </c>
      <c r="E212" s="1"/>
      <c r="F212" s="5">
        <f t="shared" si="49"/>
        <v>5.6873482846356654E-2</v>
      </c>
      <c r="G212" s="1"/>
      <c r="H212" s="1">
        <f>SUM(OSRRefH22_5x_0)</f>
        <v>29610.510000000002</v>
      </c>
      <c r="I212" s="1"/>
      <c r="J212" s="5">
        <f t="shared" si="50"/>
        <v>4.1096213238623516E-2</v>
      </c>
      <c r="K212" s="1"/>
      <c r="L212" s="1">
        <f t="shared" si="51"/>
        <v>447.23999999999796</v>
      </c>
      <c r="M212" s="1"/>
      <c r="N212" s="5">
        <f t="shared" si="52"/>
        <v>1.5104096484660275E-2</v>
      </c>
      <c r="O212" s="13"/>
      <c r="P212" s="1">
        <f>SUM(OSRRefP22_5x_0)</f>
        <v>179497.1</v>
      </c>
      <c r="Q212" s="1"/>
      <c r="R212" s="5">
        <f t="shared" si="53"/>
        <v>2.5286388579038761E-2</v>
      </c>
      <c r="S212" s="1"/>
      <c r="T212" s="1">
        <f>SUM(OSRRefT22_5x_0)</f>
        <v>177663.06</v>
      </c>
      <c r="U212" s="1"/>
      <c r="V212" s="5">
        <f t="shared" si="54"/>
        <v>2.3832286084981922E-2</v>
      </c>
      <c r="W212" s="1"/>
      <c r="X212" s="1">
        <f t="shared" si="55"/>
        <v>1834.0400000000081</v>
      </c>
      <c r="Y212" s="1"/>
      <c r="Z212" s="5">
        <f t="shared" si="56"/>
        <v>1.0323136390873872E-2</v>
      </c>
    </row>
    <row r="213" spans="1:26" s="24" customFormat="1" hidden="1" outlineLevel="2" x14ac:dyDescent="0.25">
      <c r="A213" s="26"/>
      <c r="B213" s="11" t="str">
        <f>CONCATENATE("          ", "6321", " - ", "BUILDING DEPRECIATION")</f>
        <v xml:space="preserve">          6321 - BUILDING DEPRECIATION</v>
      </c>
      <c r="C213" s="11"/>
      <c r="D213" s="6">
        <v>16396.52</v>
      </c>
      <c r="E213" s="2"/>
      <c r="F213" s="7">
        <f t="shared" si="49"/>
        <v>3.1024517768626855E-2</v>
      </c>
      <c r="G213" s="2"/>
      <c r="H213" s="6">
        <v>16453.38</v>
      </c>
      <c r="I213" s="2"/>
      <c r="J213" s="7">
        <f t="shared" si="50"/>
        <v>2.2835527418342456E-2</v>
      </c>
      <c r="K213" s="2"/>
      <c r="L213" s="6">
        <f t="shared" si="51"/>
        <v>-56.860000000000582</v>
      </c>
      <c r="M213" s="2"/>
      <c r="N213" s="7">
        <f t="shared" si="52"/>
        <v>-3.4558248821822978E-3</v>
      </c>
      <c r="O213" s="11"/>
      <c r="P213" s="6">
        <v>98379.12</v>
      </c>
      <c r="Q213" s="2"/>
      <c r="R213" s="7">
        <f t="shared" si="53"/>
        <v>1.3859013078115934E-2</v>
      </c>
      <c r="S213" s="2"/>
      <c r="T213" s="6">
        <v>98720.280000000013</v>
      </c>
      <c r="U213" s="2"/>
      <c r="V213" s="7">
        <f t="shared" si="54"/>
        <v>1.3242651316202251E-2</v>
      </c>
      <c r="W213" s="2"/>
      <c r="X213" s="6">
        <f t="shared" si="55"/>
        <v>-341.16000000001804</v>
      </c>
      <c r="Y213" s="2"/>
      <c r="Z213" s="7">
        <f t="shared" si="56"/>
        <v>-3.4558248821824453E-3</v>
      </c>
    </row>
    <row r="214" spans="1:26" s="24" customFormat="1" hidden="1" outlineLevel="2" x14ac:dyDescent="0.25">
      <c r="A214" s="26"/>
      <c r="B214" s="11" t="str">
        <f>CONCATENATE("          ", "6322", " - ", "EQUIPMENT DEPRECIATION EXPENSE")</f>
        <v xml:space="preserve">          6322 - EQUIPMENT DEPRECIATION EXPENSE</v>
      </c>
      <c r="C214" s="11"/>
      <c r="D214" s="6">
        <v>13661.23</v>
      </c>
      <c r="E214" s="2"/>
      <c r="F214" s="7">
        <f t="shared" si="49"/>
        <v>2.58489650777298E-2</v>
      </c>
      <c r="G214" s="2"/>
      <c r="H214" s="6">
        <v>13157.13</v>
      </c>
      <c r="I214" s="2"/>
      <c r="J214" s="7">
        <f t="shared" si="50"/>
        <v>1.8260685820281061E-2</v>
      </c>
      <c r="K214" s="2"/>
      <c r="L214" s="6">
        <f t="shared" si="51"/>
        <v>504.10000000000036</v>
      </c>
      <c r="M214" s="2"/>
      <c r="N214" s="7">
        <f t="shared" si="52"/>
        <v>3.8313826799613621E-2</v>
      </c>
      <c r="O214" s="11"/>
      <c r="P214" s="6">
        <v>81117.98000000001</v>
      </c>
      <c r="Q214" s="2"/>
      <c r="R214" s="7">
        <f t="shared" si="53"/>
        <v>1.1427375500922828E-2</v>
      </c>
      <c r="S214" s="2"/>
      <c r="T214" s="6">
        <v>78942.78</v>
      </c>
      <c r="U214" s="2"/>
      <c r="V214" s="7">
        <f t="shared" si="54"/>
        <v>1.0589634768779672E-2</v>
      </c>
      <c r="W214" s="2"/>
      <c r="X214" s="6">
        <f t="shared" si="55"/>
        <v>2175.2000000000116</v>
      </c>
      <c r="Y214" s="2"/>
      <c r="Z214" s="7">
        <f t="shared" si="56"/>
        <v>2.7554134779646876E-2</v>
      </c>
    </row>
    <row r="215" spans="1:26" s="27" customFormat="1" outlineLevel="1" collapsed="1" x14ac:dyDescent="0.25">
      <c r="A215" s="25"/>
      <c r="B215" s="13" t="str">
        <f>CONCATENATE("     ","Discounts and Markdowns                           ")</f>
        <v xml:space="preserve">     Discounts and Markdowns                           </v>
      </c>
      <c r="C215" s="13"/>
      <c r="D215" s="1">
        <f>SUM(OSRRefD22_6x_0)</f>
        <v>41752.9</v>
      </c>
      <c r="E215" s="1"/>
      <c r="F215" s="5">
        <f t="shared" ref="F215:F217" si="57">IF(D$12=0,0,D215/D$12)</f>
        <v>7.9002348543575115E-2</v>
      </c>
      <c r="G215" s="1"/>
      <c r="H215" s="1">
        <f>SUM(OSRRefH22_6x_0)</f>
        <v>55235.950000000004</v>
      </c>
      <c r="I215" s="1"/>
      <c r="J215" s="5">
        <f t="shared" ref="J215:J217" si="58">IF(H$12=0,0,H215/H$12)</f>
        <v>7.6661576569871534E-2</v>
      </c>
      <c r="K215" s="1"/>
      <c r="L215" s="1">
        <f t="shared" ref="L215:L217" si="59">+D215-H215</f>
        <v>-13483.050000000003</v>
      </c>
      <c r="M215" s="1"/>
      <c r="N215" s="5">
        <f t="shared" ref="N215:N217" si="60">IF(H215=0,0,L215/H215)</f>
        <v>-0.24409917816204849</v>
      </c>
      <c r="O215" s="13"/>
      <c r="P215" s="1">
        <f>SUM(OSRRefP22_6x_0)</f>
        <v>236975.00000000003</v>
      </c>
      <c r="Q215" s="1"/>
      <c r="R215" s="5">
        <f t="shared" ref="R215:R217" si="61">IF(P$12=0,0,P215/P$12)</f>
        <v>3.338350276142462E-2</v>
      </c>
      <c r="S215" s="1"/>
      <c r="T215" s="1">
        <f>SUM(OSRRefT22_6x_0)</f>
        <v>256505.93999999997</v>
      </c>
      <c r="U215" s="1"/>
      <c r="V215" s="5">
        <f t="shared" ref="V215:V217" si="62">IF(T$12=0,0,T215/T$12)</f>
        <v>3.4408519951064712E-2</v>
      </c>
      <c r="W215" s="1"/>
      <c r="X215" s="1">
        <f t="shared" ref="X215:X217" si="63">+P215-T215</f>
        <v>-19530.939999999944</v>
      </c>
      <c r="Y215" s="1"/>
      <c r="Z215" s="5">
        <f t="shared" ref="Z215:Z217" si="64">IF(T215=0,0,X215/T215)</f>
        <v>-7.6142252300277907E-2</v>
      </c>
    </row>
    <row r="216" spans="1:26" s="24" customFormat="1" hidden="1" outlineLevel="2" x14ac:dyDescent="0.25">
      <c r="A216" s="26"/>
      <c r="B216" s="11" t="str">
        <f>CONCATENATE("          ", "6382", " - ", "DISCOUNTS/MARK DOWNS")</f>
        <v xml:space="preserve">          6382 - DISCOUNTS/MARK DOWNS</v>
      </c>
      <c r="C216" s="11"/>
      <c r="D216" s="6">
        <v>41874.15</v>
      </c>
      <c r="E216" s="2"/>
      <c r="F216" s="7">
        <f t="shared" si="57"/>
        <v>7.9231770566019266E-2</v>
      </c>
      <c r="G216" s="2"/>
      <c r="H216" s="6">
        <v>55383.65</v>
      </c>
      <c r="I216" s="2"/>
      <c r="J216" s="7">
        <f t="shared" si="58"/>
        <v>7.6866568334462704E-2</v>
      </c>
      <c r="K216" s="2"/>
      <c r="L216" s="6">
        <f t="shared" si="59"/>
        <v>-13509.5</v>
      </c>
      <c r="M216" s="2"/>
      <c r="N216" s="7">
        <f t="shared" si="60"/>
        <v>-0.24392577953962946</v>
      </c>
      <c r="O216" s="11"/>
      <c r="P216" s="6">
        <v>239461.50000000003</v>
      </c>
      <c r="Q216" s="2"/>
      <c r="R216" s="7">
        <f t="shared" si="61"/>
        <v>3.373378477267594E-2</v>
      </c>
      <c r="S216" s="2"/>
      <c r="T216" s="6">
        <v>259332.62999999998</v>
      </c>
      <c r="U216" s="2"/>
      <c r="V216" s="7">
        <f t="shared" si="62"/>
        <v>3.4787701108664713E-2</v>
      </c>
      <c r="W216" s="2"/>
      <c r="X216" s="6">
        <f t="shared" si="63"/>
        <v>-19871.129999999946</v>
      </c>
      <c r="Y216" s="2"/>
      <c r="Z216" s="7">
        <f t="shared" si="64"/>
        <v>-7.662410241241123E-2</v>
      </c>
    </row>
    <row r="217" spans="1:26" s="24" customFormat="1" hidden="1" outlineLevel="2" x14ac:dyDescent="0.25">
      <c r="A217" s="26"/>
      <c r="B217" s="11" t="str">
        <f>CONCATENATE("          ", "9175", " - ", "EARNED DISCOUNTS")</f>
        <v xml:space="preserve">          9175 - EARNED DISCOUNTS</v>
      </c>
      <c r="C217" s="11"/>
      <c r="D217" s="6">
        <v>-121.25</v>
      </c>
      <c r="E217" s="2"/>
      <c r="F217" s="7">
        <f t="shared" si="57"/>
        <v>-2.2942202244415316E-4</v>
      </c>
      <c r="G217" s="2"/>
      <c r="H217" s="6">
        <v>-147.69999999999999</v>
      </c>
      <c r="I217" s="2"/>
      <c r="J217" s="7">
        <f t="shared" si="58"/>
        <v>-2.0499176459117701E-4</v>
      </c>
      <c r="K217" s="2"/>
      <c r="L217" s="6">
        <f t="shared" si="59"/>
        <v>26.449999999999989</v>
      </c>
      <c r="M217" s="2"/>
      <c r="N217" s="7">
        <f t="shared" si="60"/>
        <v>-0.17907921462423826</v>
      </c>
      <c r="O217" s="11"/>
      <c r="P217" s="6">
        <v>-2486.5</v>
      </c>
      <c r="Q217" s="2"/>
      <c r="R217" s="7">
        <f t="shared" si="61"/>
        <v>-3.5028201125132316E-4</v>
      </c>
      <c r="S217" s="2"/>
      <c r="T217" s="6">
        <v>-2826.69</v>
      </c>
      <c r="U217" s="2"/>
      <c r="V217" s="7">
        <f t="shared" si="62"/>
        <v>-3.7918115759999602E-4</v>
      </c>
      <c r="W217" s="2"/>
      <c r="X217" s="6">
        <f t="shared" si="63"/>
        <v>340.19000000000005</v>
      </c>
      <c r="Y217" s="2"/>
      <c r="Z217" s="7">
        <f t="shared" si="64"/>
        <v>-0.12034924240012171</v>
      </c>
    </row>
    <row r="218" spans="1:26" s="27" customFormat="1" outlineLevel="1" collapsed="1" x14ac:dyDescent="0.25">
      <c r="A218" s="25"/>
      <c r="B218" s="13" t="str">
        <f>CONCATENATE("     ","Donations                                         ")</f>
        <v xml:space="preserve">     Donations                                         </v>
      </c>
      <c r="C218" s="13"/>
      <c r="D218" s="1">
        <f>SUM(OSRRefD22_7x_0)</f>
        <v>150.84</v>
      </c>
      <c r="E218" s="1"/>
      <c r="F218" s="5">
        <f t="shared" ref="F218:F226" si="65">IF(D$12=0,0,D218/D$12)</f>
        <v>2.8541045662248298E-4</v>
      </c>
      <c r="G218" s="1"/>
      <c r="H218" s="1">
        <f>SUM(OSRRefH22_7x_0)</f>
        <v>413.22</v>
      </c>
      <c r="I218" s="1"/>
      <c r="J218" s="5">
        <f t="shared" ref="J218:J226" si="66">IF(H$12=0,0,H218/H$12)</f>
        <v>5.7350505730782784E-4</v>
      </c>
      <c r="K218" s="1"/>
      <c r="L218" s="1">
        <f t="shared" ref="L218:L226" si="67">+D218-H218</f>
        <v>-262.38</v>
      </c>
      <c r="M218" s="1"/>
      <c r="N218" s="5">
        <f t="shared" ref="N218:N226" si="68">IF(H218=0,0,L218/H218)</f>
        <v>-0.63496442572963552</v>
      </c>
      <c r="O218" s="13"/>
      <c r="P218" s="1">
        <f>SUM(OSRRefP22_7x_0)</f>
        <v>9798.2199999999993</v>
      </c>
      <c r="Q218" s="1"/>
      <c r="R218" s="5">
        <f t="shared" ref="R218:R226" si="69">IF(P$12=0,0,P218/P$12)</f>
        <v>1.3803097559955517E-3</v>
      </c>
      <c r="S218" s="1"/>
      <c r="T218" s="1">
        <f>SUM(OSRRefT22_7x_0)</f>
        <v>5400.7</v>
      </c>
      <c r="U218" s="1"/>
      <c r="V218" s="5">
        <f t="shared" ref="V218:V226" si="70">IF(T$12=0,0,T218/T$12)</f>
        <v>7.2446701896928861E-4</v>
      </c>
      <c r="W218" s="1"/>
      <c r="X218" s="1">
        <f t="shared" ref="X218:X226" si="71">+P218-T218</f>
        <v>4397.5199999999995</v>
      </c>
      <c r="Y218" s="1"/>
      <c r="Z218" s="5">
        <f t="shared" ref="Z218:Z226" si="72">IF(T218=0,0,X218/T218)</f>
        <v>0.81425000462902952</v>
      </c>
    </row>
    <row r="219" spans="1:26" s="24" customFormat="1" hidden="1" outlineLevel="2" x14ac:dyDescent="0.25">
      <c r="A219" s="26"/>
      <c r="B219" s="11" t="str">
        <f>CONCATENATE("          ", "6399", " - ", "DONATION-ON CAMPUS")</f>
        <v xml:space="preserve">          6399 - DONATION-ON CAMPUS</v>
      </c>
      <c r="C219" s="11"/>
      <c r="D219" s="6">
        <v>150.84</v>
      </c>
      <c r="E219" s="2"/>
      <c r="F219" s="7">
        <f t="shared" si="65"/>
        <v>2.8541045662248298E-4</v>
      </c>
      <c r="G219" s="2"/>
      <c r="H219" s="6">
        <v>413.22</v>
      </c>
      <c r="I219" s="2"/>
      <c r="J219" s="7">
        <f t="shared" si="66"/>
        <v>5.7350505730782784E-4</v>
      </c>
      <c r="K219" s="2"/>
      <c r="L219" s="6">
        <f t="shared" si="67"/>
        <v>-262.38</v>
      </c>
      <c r="M219" s="2"/>
      <c r="N219" s="7">
        <f t="shared" si="68"/>
        <v>-0.63496442572963552</v>
      </c>
      <c r="O219" s="11"/>
      <c r="P219" s="6">
        <v>9798.2199999999993</v>
      </c>
      <c r="Q219" s="2"/>
      <c r="R219" s="7">
        <f t="shared" si="69"/>
        <v>1.3803097559955517E-3</v>
      </c>
      <c r="S219" s="2"/>
      <c r="T219" s="6">
        <v>5400.7</v>
      </c>
      <c r="U219" s="2"/>
      <c r="V219" s="7">
        <f t="shared" si="70"/>
        <v>7.2446701896928861E-4</v>
      </c>
      <c r="W219" s="2"/>
      <c r="X219" s="6">
        <f t="shared" si="71"/>
        <v>4397.5199999999995</v>
      </c>
      <c r="Y219" s="2"/>
      <c r="Z219" s="7">
        <f t="shared" si="72"/>
        <v>0.81425000462902952</v>
      </c>
    </row>
    <row r="220" spans="1:26" s="27" customFormat="1" outlineLevel="1" collapsed="1" x14ac:dyDescent="0.25">
      <c r="A220" s="25"/>
      <c r="B220" s="13" t="str">
        <f>CONCATENATE("     ","Employees' Appreciation                           ")</f>
        <v xml:space="preserve">     Employees' Appreciation                           </v>
      </c>
      <c r="C220" s="13"/>
      <c r="D220" s="1">
        <f>SUM(OSRRefD22_8x_0)</f>
        <v>152.4</v>
      </c>
      <c r="E220" s="1"/>
      <c r="F220" s="5">
        <f t="shared" si="65"/>
        <v>2.8836219563289846E-4</v>
      </c>
      <c r="G220" s="1"/>
      <c r="H220" s="1">
        <f>SUM(OSRRefH22_8x_0)</f>
        <v>-14.91</v>
      </c>
      <c r="I220" s="1"/>
      <c r="J220" s="5">
        <f t="shared" si="66"/>
        <v>-2.0693481449251519E-5</v>
      </c>
      <c r="K220" s="1"/>
      <c r="L220" s="1">
        <f t="shared" si="67"/>
        <v>167.31</v>
      </c>
      <c r="M220" s="1"/>
      <c r="N220" s="5">
        <f t="shared" si="68"/>
        <v>-11.221327967806841</v>
      </c>
      <c r="O220" s="13"/>
      <c r="P220" s="1">
        <f>SUM(OSRRefP22_8x_0)</f>
        <v>1194.04</v>
      </c>
      <c r="Q220" s="1"/>
      <c r="R220" s="5">
        <f t="shared" si="69"/>
        <v>1.6820861963182381E-4</v>
      </c>
      <c r="S220" s="1"/>
      <c r="T220" s="1">
        <f>SUM(OSRRefT22_8x_0)</f>
        <v>2805.45</v>
      </c>
      <c r="U220" s="1"/>
      <c r="V220" s="5">
        <f t="shared" si="70"/>
        <v>3.7633195666624523E-4</v>
      </c>
      <c r="W220" s="1"/>
      <c r="X220" s="1">
        <f t="shared" si="71"/>
        <v>-1611.4099999999999</v>
      </c>
      <c r="Y220" s="1"/>
      <c r="Z220" s="5">
        <f t="shared" si="72"/>
        <v>-0.57438557094227305</v>
      </c>
    </row>
    <row r="221" spans="1:26" s="24" customFormat="1" hidden="1" outlineLevel="2" x14ac:dyDescent="0.25">
      <c r="A221" s="26"/>
      <c r="B221" s="11" t="str">
        <f>CONCATENATE("          ", "6277", " - ", "EMPLOYEE APPRECIATION")</f>
        <v xml:space="preserve">          6277 - EMPLOYEE APPRECIATION</v>
      </c>
      <c r="C221" s="11"/>
      <c r="D221" s="6">
        <v>152.4</v>
      </c>
      <c r="E221" s="2"/>
      <c r="F221" s="7">
        <f t="shared" si="65"/>
        <v>2.8836219563289846E-4</v>
      </c>
      <c r="G221" s="2"/>
      <c r="H221" s="6">
        <v>-14.91</v>
      </c>
      <c r="I221" s="2"/>
      <c r="J221" s="7">
        <f t="shared" si="66"/>
        <v>-2.0693481449251519E-5</v>
      </c>
      <c r="K221" s="2"/>
      <c r="L221" s="6">
        <f t="shared" si="67"/>
        <v>167.31</v>
      </c>
      <c r="M221" s="2"/>
      <c r="N221" s="7">
        <f t="shared" si="68"/>
        <v>-11.221327967806841</v>
      </c>
      <c r="O221" s="11"/>
      <c r="P221" s="6">
        <v>1194.04</v>
      </c>
      <c r="Q221" s="2"/>
      <c r="R221" s="7">
        <f t="shared" si="69"/>
        <v>1.6820861963182381E-4</v>
      </c>
      <c r="S221" s="2"/>
      <c r="T221" s="6">
        <v>2805.45</v>
      </c>
      <c r="U221" s="2"/>
      <c r="V221" s="7">
        <f t="shared" si="70"/>
        <v>3.7633195666624523E-4</v>
      </c>
      <c r="W221" s="2"/>
      <c r="X221" s="6">
        <f t="shared" si="71"/>
        <v>-1611.4099999999999</v>
      </c>
      <c r="Y221" s="2"/>
      <c r="Z221" s="7">
        <f t="shared" si="72"/>
        <v>-0.57438557094227305</v>
      </c>
    </row>
    <row r="222" spans="1:26" s="27" customFormat="1" outlineLevel="1" collapsed="1" x14ac:dyDescent="0.25">
      <c r="A222" s="25"/>
      <c r="B222" s="13" t="str">
        <f>CONCATENATE("     ","Equipment Rental                                  ")</f>
        <v xml:space="preserve">     Equipment Rental                                  </v>
      </c>
      <c r="C222" s="13"/>
      <c r="D222" s="1">
        <f>SUM(OSRRefD22_9x_0)</f>
        <v>0</v>
      </c>
      <c r="E222" s="1"/>
      <c r="F222" s="5">
        <f t="shared" si="65"/>
        <v>0</v>
      </c>
      <c r="G222" s="1"/>
      <c r="H222" s="1">
        <f>SUM(OSRRefH22_9x_0)</f>
        <v>3400.41</v>
      </c>
      <c r="I222" s="1"/>
      <c r="J222" s="5">
        <f t="shared" si="66"/>
        <v>4.7194045107209499E-3</v>
      </c>
      <c r="K222" s="1"/>
      <c r="L222" s="1">
        <f t="shared" si="67"/>
        <v>-3400.41</v>
      </c>
      <c r="M222" s="1"/>
      <c r="N222" s="5">
        <f t="shared" si="68"/>
        <v>-1</v>
      </c>
      <c r="O222" s="13"/>
      <c r="P222" s="1">
        <f>SUM(OSRRefP22_9x_0)</f>
        <v>11090.14</v>
      </c>
      <c r="Q222" s="1"/>
      <c r="R222" s="5">
        <f t="shared" si="69"/>
        <v>1.5623070759134322E-3</v>
      </c>
      <c r="S222" s="1"/>
      <c r="T222" s="1">
        <f>SUM(OSRRefT22_9x_0)</f>
        <v>20403.740000000002</v>
      </c>
      <c r="U222" s="1"/>
      <c r="V222" s="5">
        <f t="shared" si="70"/>
        <v>2.7370223662903765E-3</v>
      </c>
      <c r="W222" s="1"/>
      <c r="X222" s="1">
        <f t="shared" si="71"/>
        <v>-9313.6000000000022</v>
      </c>
      <c r="Y222" s="1"/>
      <c r="Z222" s="5">
        <f t="shared" si="72"/>
        <v>-0.4564653342965555</v>
      </c>
    </row>
    <row r="223" spans="1:26" s="24" customFormat="1" hidden="1" outlineLevel="2" x14ac:dyDescent="0.25">
      <c r="A223" s="26"/>
      <c r="B223" s="11" t="str">
        <f>CONCATENATE("          ", "6351", " - ", "EQUIPMENT RENTAL")</f>
        <v xml:space="preserve">          6351 - EQUIPMENT RENTAL</v>
      </c>
      <c r="C223" s="11"/>
      <c r="D223" s="6"/>
      <c r="E223" s="2"/>
      <c r="F223" s="7">
        <f t="shared" si="65"/>
        <v>0</v>
      </c>
      <c r="G223" s="2"/>
      <c r="H223" s="6">
        <v>3400.41</v>
      </c>
      <c r="I223" s="2"/>
      <c r="J223" s="7">
        <f t="shared" si="66"/>
        <v>4.7194045107209499E-3</v>
      </c>
      <c r="K223" s="2"/>
      <c r="L223" s="6">
        <f t="shared" si="67"/>
        <v>-3400.41</v>
      </c>
      <c r="M223" s="2"/>
      <c r="N223" s="7">
        <f t="shared" si="68"/>
        <v>-1</v>
      </c>
      <c r="O223" s="11"/>
      <c r="P223" s="6">
        <v>11090.14</v>
      </c>
      <c r="Q223" s="2"/>
      <c r="R223" s="7">
        <f t="shared" si="69"/>
        <v>1.5623070759134322E-3</v>
      </c>
      <c r="S223" s="2"/>
      <c r="T223" s="6">
        <v>20403.740000000002</v>
      </c>
      <c r="U223" s="2"/>
      <c r="V223" s="7">
        <f t="shared" si="70"/>
        <v>2.7370223662903765E-3</v>
      </c>
      <c r="W223" s="2"/>
      <c r="X223" s="6">
        <f t="shared" si="71"/>
        <v>-9313.6000000000022</v>
      </c>
      <c r="Y223" s="2"/>
      <c r="Z223" s="7">
        <f t="shared" si="72"/>
        <v>-0.4564653342965555</v>
      </c>
    </row>
    <row r="224" spans="1:26" s="27" customFormat="1" outlineLevel="1" collapsed="1" x14ac:dyDescent="0.25">
      <c r="A224" s="25"/>
      <c r="B224" s="13" t="str">
        <f>CONCATENATE("     ","Freight out/Postage                               ")</f>
        <v xml:space="preserve">     Freight out/Postage                               </v>
      </c>
      <c r="C224" s="13"/>
      <c r="D224" s="1">
        <f>SUM(OSRRefD22_10x_0)</f>
        <v>1883.96</v>
      </c>
      <c r="E224" s="1"/>
      <c r="F224" s="5">
        <f t="shared" si="65"/>
        <v>3.5647168115784476E-3</v>
      </c>
      <c r="G224" s="1"/>
      <c r="H224" s="1">
        <f>SUM(OSRRefH22_10x_0)</f>
        <v>1063.8100000000002</v>
      </c>
      <c r="I224" s="1"/>
      <c r="J224" s="5">
        <f t="shared" si="66"/>
        <v>1.4764542253875427E-3</v>
      </c>
      <c r="K224" s="1"/>
      <c r="L224" s="1">
        <f t="shared" si="67"/>
        <v>820.14999999999986</v>
      </c>
      <c r="M224" s="1"/>
      <c r="N224" s="5">
        <f t="shared" si="68"/>
        <v>0.7709553397693194</v>
      </c>
      <c r="O224" s="13"/>
      <c r="P224" s="1">
        <f>SUM(OSRRefP22_10x_0)</f>
        <v>6599.8899999999958</v>
      </c>
      <c r="Q224" s="1"/>
      <c r="R224" s="5">
        <f t="shared" si="69"/>
        <v>9.2974974592298159E-4</v>
      </c>
      <c r="S224" s="1"/>
      <c r="T224" s="1">
        <f>SUM(OSRRefT22_10x_0)</f>
        <v>11069.510000000006</v>
      </c>
      <c r="U224" s="1"/>
      <c r="V224" s="5">
        <f t="shared" si="70"/>
        <v>1.484899163284525E-3</v>
      </c>
      <c r="W224" s="1"/>
      <c r="X224" s="1">
        <f t="shared" si="71"/>
        <v>-4469.6200000000099</v>
      </c>
      <c r="Y224" s="1"/>
      <c r="Z224" s="5">
        <f t="shared" si="72"/>
        <v>-0.40377758365094818</v>
      </c>
    </row>
    <row r="225" spans="1:26" s="24" customFormat="1" hidden="1" outlineLevel="2" x14ac:dyDescent="0.25">
      <c r="A225" s="26"/>
      <c r="B225" s="11" t="str">
        <f>CONCATENATE("          ", "6305", " - ", "FREIGHT OUT")</f>
        <v xml:space="preserve">          6305 - FREIGHT OUT</v>
      </c>
      <c r="C225" s="11"/>
      <c r="D225" s="6">
        <v>5990.2</v>
      </c>
      <c r="E225" s="2"/>
      <c r="F225" s="7">
        <f t="shared" si="65"/>
        <v>1.1334299371917246E-2</v>
      </c>
      <c r="G225" s="2"/>
      <c r="H225" s="6">
        <v>2854.38</v>
      </c>
      <c r="I225" s="2"/>
      <c r="J225" s="7">
        <f t="shared" si="66"/>
        <v>3.9615734124154632E-3</v>
      </c>
      <c r="K225" s="2"/>
      <c r="L225" s="6">
        <f t="shared" si="67"/>
        <v>3135.8199999999997</v>
      </c>
      <c r="M225" s="2"/>
      <c r="N225" s="7">
        <f t="shared" si="68"/>
        <v>1.0985993455671632</v>
      </c>
      <c r="O225" s="11"/>
      <c r="P225" s="6">
        <v>34753.729999999996</v>
      </c>
      <c r="Q225" s="2"/>
      <c r="R225" s="7">
        <f t="shared" si="69"/>
        <v>4.8958803309412614E-3</v>
      </c>
      <c r="S225" s="2"/>
      <c r="T225" s="6">
        <v>36020.140000000007</v>
      </c>
      <c r="U225" s="2"/>
      <c r="V225" s="7">
        <f t="shared" si="70"/>
        <v>4.8318557684478751E-3</v>
      </c>
      <c r="W225" s="2"/>
      <c r="X225" s="6">
        <f t="shared" si="71"/>
        <v>-1266.4100000000108</v>
      </c>
      <c r="Y225" s="2"/>
      <c r="Z225" s="7">
        <f t="shared" si="72"/>
        <v>-3.5158386391613429E-2</v>
      </c>
    </row>
    <row r="226" spans="1:26" s="24" customFormat="1" hidden="1" outlineLevel="2" x14ac:dyDescent="0.25">
      <c r="A226" s="26"/>
      <c r="B226" s="11" t="str">
        <f>CONCATENATE("          ", "6307", " - ", "POSTAGE")</f>
        <v xml:space="preserve">          6307 - POSTAGE</v>
      </c>
      <c r="C226" s="11"/>
      <c r="D226" s="6">
        <v>-4106.24</v>
      </c>
      <c r="E226" s="2"/>
      <c r="F226" s="7">
        <f t="shared" si="65"/>
        <v>-7.7695825603387985E-3</v>
      </c>
      <c r="G226" s="2"/>
      <c r="H226" s="6">
        <v>-1790.57</v>
      </c>
      <c r="I226" s="2"/>
      <c r="J226" s="7">
        <f t="shared" si="66"/>
        <v>-2.4851191870279205E-3</v>
      </c>
      <c r="K226" s="2"/>
      <c r="L226" s="6">
        <f t="shared" si="67"/>
        <v>-2315.67</v>
      </c>
      <c r="M226" s="2"/>
      <c r="N226" s="7">
        <f t="shared" si="68"/>
        <v>1.2932585712929403</v>
      </c>
      <c r="O226" s="11"/>
      <c r="P226" s="6">
        <v>-28153.84</v>
      </c>
      <c r="Q226" s="2"/>
      <c r="R226" s="7">
        <f t="shared" si="69"/>
        <v>-3.9661305850182795E-3</v>
      </c>
      <c r="S226" s="2"/>
      <c r="T226" s="6">
        <v>-24950.63</v>
      </c>
      <c r="U226" s="2"/>
      <c r="V226" s="7">
        <f t="shared" si="70"/>
        <v>-3.3469566051633499E-3</v>
      </c>
      <c r="W226" s="2"/>
      <c r="X226" s="6">
        <f t="shared" si="71"/>
        <v>-3203.2099999999991</v>
      </c>
      <c r="Y226" s="2"/>
      <c r="Z226" s="7">
        <f t="shared" si="72"/>
        <v>0.12838192863266373</v>
      </c>
    </row>
    <row r="227" spans="1:26" s="27" customFormat="1" outlineLevel="1" collapsed="1" x14ac:dyDescent="0.25">
      <c r="A227" s="25"/>
      <c r="B227" s="13" t="str">
        <f>CONCATENATE("     ","General                                           ")</f>
        <v xml:space="preserve">     General                                           </v>
      </c>
      <c r="C227" s="13"/>
      <c r="D227" s="1">
        <f>SUM(OSRRefD22_11x_0)</f>
        <v>2105.2199999999998</v>
      </c>
      <c r="E227" s="1"/>
      <c r="F227" s="5">
        <f t="shared" ref="F227:F240" si="73">IF(D$12=0,0,D227/D$12)</f>
        <v>3.9833717945557115E-3</v>
      </c>
      <c r="G227" s="1"/>
      <c r="H227" s="1">
        <f>SUM(OSRRefH22_11x_0)</f>
        <v>-209.24</v>
      </c>
      <c r="I227" s="1"/>
      <c r="J227" s="5">
        <f t="shared" ref="J227:J240" si="74">IF(H$12=0,0,H227/H$12)</f>
        <v>-2.9040268668285634E-4</v>
      </c>
      <c r="K227" s="1"/>
      <c r="L227" s="1">
        <f t="shared" ref="L227:L240" si="75">+D227-H227</f>
        <v>2314.46</v>
      </c>
      <c r="M227" s="1"/>
      <c r="N227" s="5">
        <f t="shared" ref="N227:N240" si="76">IF(H227=0,0,L227/H227)</f>
        <v>-11.061269355763717</v>
      </c>
      <c r="O227" s="13"/>
      <c r="P227" s="1">
        <f>SUM(OSRRefP22_11x_0)</f>
        <v>-1347.75</v>
      </c>
      <c r="Q227" s="1"/>
      <c r="R227" s="5">
        <f t="shared" ref="R227:R240" si="77">IF(P$12=0,0,P227/P$12)</f>
        <v>-1.8986228862415879E-4</v>
      </c>
      <c r="S227" s="1"/>
      <c r="T227" s="1">
        <f>SUM(OSRRefT22_11x_0)</f>
        <v>14020.51</v>
      </c>
      <c r="U227" s="1"/>
      <c r="V227" s="5">
        <f t="shared" ref="V227:V240" si="78">IF(T$12=0,0,T227/T$12)</f>
        <v>1.8807556583644901E-3</v>
      </c>
      <c r="W227" s="1"/>
      <c r="X227" s="1">
        <f t="shared" ref="X227:X240" si="79">+P227-T227</f>
        <v>-15368.26</v>
      </c>
      <c r="Y227" s="1"/>
      <c r="Z227" s="5">
        <f t="shared" ref="Z227:Z240" si="80">IF(T227=0,0,X227/T227)</f>
        <v>-1.0961270310423801</v>
      </c>
    </row>
    <row r="228" spans="1:26" s="24" customFormat="1" hidden="1" outlineLevel="2" x14ac:dyDescent="0.25">
      <c r="A228" s="26"/>
      <c r="B228" s="11" t="str">
        <f>CONCATENATE("          ", "6279", " - ", "GENERAL EXPENSE")</f>
        <v xml:space="preserve">          6279 - GENERAL EXPENSE</v>
      </c>
      <c r="C228" s="11"/>
      <c r="D228" s="6">
        <v>2105.2199999999998</v>
      </c>
      <c r="E228" s="2"/>
      <c r="F228" s="7">
        <f t="shared" si="73"/>
        <v>3.9833717945557115E-3</v>
      </c>
      <c r="G228" s="2"/>
      <c r="H228" s="6">
        <v>-209.24</v>
      </c>
      <c r="I228" s="2"/>
      <c r="J228" s="7">
        <f t="shared" si="74"/>
        <v>-2.9040268668285634E-4</v>
      </c>
      <c r="K228" s="2"/>
      <c r="L228" s="6">
        <f t="shared" si="75"/>
        <v>2314.46</v>
      </c>
      <c r="M228" s="2"/>
      <c r="N228" s="7">
        <f t="shared" si="76"/>
        <v>-11.061269355763717</v>
      </c>
      <c r="O228" s="11"/>
      <c r="P228" s="6">
        <v>-1347.75</v>
      </c>
      <c r="Q228" s="2"/>
      <c r="R228" s="7">
        <f t="shared" si="77"/>
        <v>-1.8986228862415879E-4</v>
      </c>
      <c r="S228" s="2"/>
      <c r="T228" s="6">
        <v>14020.51</v>
      </c>
      <c r="U228" s="2"/>
      <c r="V228" s="7">
        <f t="shared" si="78"/>
        <v>1.8807556583644901E-3</v>
      </c>
      <c r="W228" s="2"/>
      <c r="X228" s="6">
        <f t="shared" si="79"/>
        <v>-15368.26</v>
      </c>
      <c r="Y228" s="2"/>
      <c r="Z228" s="7">
        <f t="shared" si="80"/>
        <v>-1.0961270310423801</v>
      </c>
    </row>
    <row r="229" spans="1:26" s="27" customFormat="1" outlineLevel="1" collapsed="1" x14ac:dyDescent="0.25">
      <c r="A229" s="25"/>
      <c r="B229" s="13" t="str">
        <f>CONCATENATE("     ","Insurance                                         ")</f>
        <v xml:space="preserve">     Insurance                                         </v>
      </c>
      <c r="C229" s="13"/>
      <c r="D229" s="1">
        <f>SUM(OSRRefD22_12x_0)</f>
        <v>4044.74</v>
      </c>
      <c r="E229" s="1"/>
      <c r="F229" s="5">
        <f t="shared" si="73"/>
        <v>7.6532159262743416E-3</v>
      </c>
      <c r="G229" s="1"/>
      <c r="H229" s="1">
        <f>SUM(OSRRefH22_12x_0)</f>
        <v>3809.97</v>
      </c>
      <c r="I229" s="1"/>
      <c r="J229" s="5">
        <f t="shared" si="74"/>
        <v>5.2878298804295643E-3</v>
      </c>
      <c r="K229" s="1"/>
      <c r="L229" s="1">
        <f t="shared" si="75"/>
        <v>234.76999999999998</v>
      </c>
      <c r="M229" s="1"/>
      <c r="N229" s="5">
        <f t="shared" si="76"/>
        <v>6.1619907768302638E-2</v>
      </c>
      <c r="O229" s="13"/>
      <c r="P229" s="1">
        <f>SUM(OSRRefP22_12x_0)</f>
        <v>24268.44</v>
      </c>
      <c r="Q229" s="1"/>
      <c r="R229" s="5">
        <f t="shared" si="77"/>
        <v>3.4187806045172173E-3</v>
      </c>
      <c r="S229" s="1"/>
      <c r="T229" s="1">
        <f>SUM(OSRRefT22_12x_0)</f>
        <v>22859.82</v>
      </c>
      <c r="U229" s="1"/>
      <c r="V229" s="5">
        <f t="shared" si="78"/>
        <v>3.0664887236051853E-3</v>
      </c>
      <c r="W229" s="1"/>
      <c r="X229" s="1">
        <f t="shared" si="79"/>
        <v>1408.619999999999</v>
      </c>
      <c r="Y229" s="1"/>
      <c r="Z229" s="5">
        <f t="shared" si="80"/>
        <v>6.1619907768302597E-2</v>
      </c>
    </row>
    <row r="230" spans="1:26" s="24" customFormat="1" hidden="1" outlineLevel="2" x14ac:dyDescent="0.25">
      <c r="A230" s="26"/>
      <c r="B230" s="11" t="str">
        <f>CONCATENATE("          ", "6314", " - ", "LIABILITY INSURANCE")</f>
        <v xml:space="preserve">          6314 - LIABILITY INSURANCE</v>
      </c>
      <c r="C230" s="11"/>
      <c r="D230" s="6">
        <v>4044.74</v>
      </c>
      <c r="E230" s="2"/>
      <c r="F230" s="7">
        <f t="shared" si="73"/>
        <v>7.6532159262743416E-3</v>
      </c>
      <c r="G230" s="2"/>
      <c r="H230" s="6">
        <v>3809.97</v>
      </c>
      <c r="I230" s="2"/>
      <c r="J230" s="7">
        <f t="shared" si="74"/>
        <v>5.2878298804295643E-3</v>
      </c>
      <c r="K230" s="2"/>
      <c r="L230" s="6">
        <f t="shared" si="75"/>
        <v>234.76999999999998</v>
      </c>
      <c r="M230" s="2"/>
      <c r="N230" s="7">
        <f t="shared" si="76"/>
        <v>6.1619907768302638E-2</v>
      </c>
      <c r="O230" s="11"/>
      <c r="P230" s="6">
        <v>24268.44</v>
      </c>
      <c r="Q230" s="2"/>
      <c r="R230" s="7">
        <f t="shared" si="77"/>
        <v>3.4187806045172173E-3</v>
      </c>
      <c r="S230" s="2"/>
      <c r="T230" s="6">
        <v>22859.82</v>
      </c>
      <c r="U230" s="2"/>
      <c r="V230" s="7">
        <f t="shared" si="78"/>
        <v>3.0664887236051853E-3</v>
      </c>
      <c r="W230" s="2"/>
      <c r="X230" s="6">
        <f t="shared" si="79"/>
        <v>1408.619999999999</v>
      </c>
      <c r="Y230" s="2"/>
      <c r="Z230" s="7">
        <f t="shared" si="80"/>
        <v>6.1619907768302597E-2</v>
      </c>
    </row>
    <row r="231" spans="1:26" s="27" customFormat="1" outlineLevel="1" collapsed="1" x14ac:dyDescent="0.25">
      <c r="A231" s="25"/>
      <c r="B231" s="13" t="str">
        <f>CONCATENATE("     ","Inventory Adjustment                              ")</f>
        <v xml:space="preserve">     Inventory Adjustment                              </v>
      </c>
      <c r="C231" s="13"/>
      <c r="D231" s="1">
        <f>SUM(OSRRefD22_13x_0)</f>
        <v>10050</v>
      </c>
      <c r="E231" s="1"/>
      <c r="F231" s="5">
        <f t="shared" si="73"/>
        <v>1.9016010932484447E-2</v>
      </c>
      <c r="G231" s="1"/>
      <c r="H231" s="1">
        <f>SUM(OSRRefH22_13x_0)</f>
        <v>10000</v>
      </c>
      <c r="I231" s="1"/>
      <c r="J231" s="5">
        <f t="shared" si="74"/>
        <v>1.387892786670122E-2</v>
      </c>
      <c r="K231" s="1"/>
      <c r="L231" s="1">
        <f t="shared" si="75"/>
        <v>50</v>
      </c>
      <c r="M231" s="1"/>
      <c r="N231" s="5">
        <f t="shared" si="76"/>
        <v>5.0000000000000001E-3</v>
      </c>
      <c r="O231" s="13"/>
      <c r="P231" s="1">
        <f>SUM(OSRRefP22_13x_0)</f>
        <v>31200</v>
      </c>
      <c r="Q231" s="1"/>
      <c r="R231" s="5">
        <f t="shared" si="77"/>
        <v>4.3952538713216503E-3</v>
      </c>
      <c r="S231" s="1"/>
      <c r="T231" s="1">
        <f>SUM(OSRRefT22_13x_0)</f>
        <v>60000</v>
      </c>
      <c r="U231" s="1"/>
      <c r="V231" s="5">
        <f t="shared" si="78"/>
        <v>8.0485902083354596E-3</v>
      </c>
      <c r="W231" s="1"/>
      <c r="X231" s="1">
        <f t="shared" si="79"/>
        <v>-28800</v>
      </c>
      <c r="Y231" s="1"/>
      <c r="Z231" s="5">
        <f t="shared" si="80"/>
        <v>-0.48</v>
      </c>
    </row>
    <row r="232" spans="1:26" s="24" customFormat="1" hidden="1" outlineLevel="2" x14ac:dyDescent="0.25">
      <c r="A232" s="26"/>
      <c r="B232" s="11" t="str">
        <f>CONCATENATE("          ", "6408", " - ", "INVENTORY ADJUSTMENT")</f>
        <v xml:space="preserve">          6408 - INVENTORY ADJUSTMENT</v>
      </c>
      <c r="C232" s="11"/>
      <c r="D232" s="6">
        <v>10050</v>
      </c>
      <c r="E232" s="2"/>
      <c r="F232" s="7">
        <f t="shared" si="73"/>
        <v>1.9016010932484447E-2</v>
      </c>
      <c r="G232" s="2"/>
      <c r="H232" s="6">
        <v>10000</v>
      </c>
      <c r="I232" s="2"/>
      <c r="J232" s="7">
        <f t="shared" si="74"/>
        <v>1.387892786670122E-2</v>
      </c>
      <c r="K232" s="2"/>
      <c r="L232" s="6">
        <f t="shared" si="75"/>
        <v>50</v>
      </c>
      <c r="M232" s="2"/>
      <c r="N232" s="7">
        <f t="shared" si="76"/>
        <v>5.0000000000000001E-3</v>
      </c>
      <c r="O232" s="11"/>
      <c r="P232" s="6">
        <v>31200</v>
      </c>
      <c r="Q232" s="2"/>
      <c r="R232" s="7">
        <f t="shared" si="77"/>
        <v>4.3952538713216503E-3</v>
      </c>
      <c r="S232" s="2"/>
      <c r="T232" s="6">
        <v>60000</v>
      </c>
      <c r="U232" s="2"/>
      <c r="V232" s="7">
        <f t="shared" si="78"/>
        <v>8.0485902083354596E-3</v>
      </c>
      <c r="W232" s="2"/>
      <c r="X232" s="6">
        <f t="shared" si="79"/>
        <v>-28800</v>
      </c>
      <c r="Y232" s="2"/>
      <c r="Z232" s="7">
        <f t="shared" si="80"/>
        <v>-0.48</v>
      </c>
    </row>
    <row r="233" spans="1:26" s="27" customFormat="1" outlineLevel="1" collapsed="1" x14ac:dyDescent="0.25">
      <c r="A233" s="25"/>
      <c r="B233" s="13" t="str">
        <f>CONCATENATE("     ","Professional Services                             ")</f>
        <v xml:space="preserve">     Professional Services                             </v>
      </c>
      <c r="C233" s="13"/>
      <c r="D233" s="1">
        <f>SUM(OSRRefD22_14x_0)</f>
        <v>41.15</v>
      </c>
      <c r="E233" s="1"/>
      <c r="F233" s="5">
        <f t="shared" si="73"/>
        <v>7.7861577101665167E-5</v>
      </c>
      <c r="G233" s="1"/>
      <c r="H233" s="1">
        <f>SUM(OSRRefH22_14x_0)</f>
        <v>0</v>
      </c>
      <c r="I233" s="1"/>
      <c r="J233" s="5">
        <f t="shared" si="74"/>
        <v>0</v>
      </c>
      <c r="K233" s="1"/>
      <c r="L233" s="1">
        <f t="shared" si="75"/>
        <v>41.15</v>
      </c>
      <c r="M233" s="1"/>
      <c r="N233" s="5">
        <f t="shared" si="76"/>
        <v>0</v>
      </c>
      <c r="O233" s="13"/>
      <c r="P233" s="1">
        <f>SUM(OSRRefP22_14x_0)</f>
        <v>6199.56</v>
      </c>
      <c r="Q233" s="1"/>
      <c r="R233" s="5">
        <f t="shared" si="77"/>
        <v>8.7335384905419392E-4</v>
      </c>
      <c r="S233" s="1"/>
      <c r="T233" s="1">
        <f>SUM(OSRRefT22_14x_0)</f>
        <v>8276.43</v>
      </c>
      <c r="U233" s="1"/>
      <c r="V233" s="5">
        <f t="shared" si="78"/>
        <v>1.1102265576328975E-3</v>
      </c>
      <c r="W233" s="1"/>
      <c r="X233" s="1">
        <f t="shared" si="79"/>
        <v>-2076.87</v>
      </c>
      <c r="Y233" s="1"/>
      <c r="Z233" s="5">
        <f t="shared" si="80"/>
        <v>-0.25093790438631147</v>
      </c>
    </row>
    <row r="234" spans="1:26" s="24" customFormat="1" hidden="1" outlineLevel="2" x14ac:dyDescent="0.25">
      <c r="A234" s="26"/>
      <c r="B234" s="11" t="str">
        <f>CONCATENATE("          ", "6336", " - ", "PROFESSIONAL SERVICES")</f>
        <v xml:space="preserve">          6336 - PROFESSIONAL SERVICES</v>
      </c>
      <c r="C234" s="11"/>
      <c r="D234" s="6">
        <v>41.15</v>
      </c>
      <c r="E234" s="2"/>
      <c r="F234" s="7">
        <f t="shared" si="73"/>
        <v>7.7861577101665167E-5</v>
      </c>
      <c r="G234" s="2"/>
      <c r="H234" s="6"/>
      <c r="I234" s="2"/>
      <c r="J234" s="7">
        <f t="shared" si="74"/>
        <v>0</v>
      </c>
      <c r="K234" s="2"/>
      <c r="L234" s="6">
        <f t="shared" si="75"/>
        <v>41.15</v>
      </c>
      <c r="M234" s="2"/>
      <c r="N234" s="7">
        <f t="shared" si="76"/>
        <v>0</v>
      </c>
      <c r="O234" s="11"/>
      <c r="P234" s="6">
        <v>6199.56</v>
      </c>
      <c r="Q234" s="2"/>
      <c r="R234" s="7">
        <f t="shared" si="77"/>
        <v>8.7335384905419392E-4</v>
      </c>
      <c r="S234" s="2"/>
      <c r="T234" s="6">
        <v>8276.43</v>
      </c>
      <c r="U234" s="2"/>
      <c r="V234" s="7">
        <f t="shared" si="78"/>
        <v>1.1102265576328975E-3</v>
      </c>
      <c r="W234" s="2"/>
      <c r="X234" s="6">
        <f t="shared" si="79"/>
        <v>-2076.87</v>
      </c>
      <c r="Y234" s="2"/>
      <c r="Z234" s="7">
        <f t="shared" si="80"/>
        <v>-0.25093790438631147</v>
      </c>
    </row>
    <row r="235" spans="1:26" s="27" customFormat="1" outlineLevel="1" collapsed="1" x14ac:dyDescent="0.25">
      <c r="A235" s="25"/>
      <c r="B235" s="13" t="str">
        <f>CONCATENATE("     ","Rent                                              ")</f>
        <v xml:space="preserve">     Rent                                              </v>
      </c>
      <c r="C235" s="13"/>
      <c r="D235" s="1">
        <f>SUM(OSRRefD22_15x_0)</f>
        <v>6100</v>
      </c>
      <c r="E235" s="1"/>
      <c r="F235" s="5">
        <f t="shared" si="73"/>
        <v>1.1542056386881107E-2</v>
      </c>
      <c r="G235" s="1"/>
      <c r="H235" s="1">
        <f>SUM(OSRRefH22_15x_0)</f>
        <v>6100</v>
      </c>
      <c r="I235" s="1"/>
      <c r="J235" s="5">
        <f t="shared" si="74"/>
        <v>8.4661459986877449E-3</v>
      </c>
      <c r="K235" s="1"/>
      <c r="L235" s="1">
        <f t="shared" si="75"/>
        <v>0</v>
      </c>
      <c r="M235" s="1"/>
      <c r="N235" s="5">
        <f t="shared" si="76"/>
        <v>0</v>
      </c>
      <c r="O235" s="13"/>
      <c r="P235" s="1">
        <f>SUM(OSRRefP22_15x_0)</f>
        <v>36600</v>
      </c>
      <c r="Q235" s="1"/>
      <c r="R235" s="5">
        <f t="shared" si="77"/>
        <v>5.1559708875119356E-3</v>
      </c>
      <c r="S235" s="1"/>
      <c r="T235" s="1">
        <f>SUM(OSRRefT22_15x_0)</f>
        <v>37500.85</v>
      </c>
      <c r="U235" s="1"/>
      <c r="V235" s="5">
        <f t="shared" si="78"/>
        <v>5.0304829019042806E-3</v>
      </c>
      <c r="W235" s="1"/>
      <c r="X235" s="1">
        <f t="shared" si="79"/>
        <v>-900.84999999999854</v>
      </c>
      <c r="Y235" s="1"/>
      <c r="Z235" s="5">
        <f t="shared" si="80"/>
        <v>-2.4022122165230884E-2</v>
      </c>
    </row>
    <row r="236" spans="1:26" s="24" customFormat="1" hidden="1" outlineLevel="2" x14ac:dyDescent="0.25">
      <c r="A236" s="26"/>
      <c r="B236" s="11" t="str">
        <f>CONCATENATE("          ", "6273", " - ", "RENT")</f>
        <v xml:space="preserve">          6273 - RENT</v>
      </c>
      <c r="C236" s="11"/>
      <c r="D236" s="6">
        <v>6100</v>
      </c>
      <c r="E236" s="2"/>
      <c r="F236" s="7">
        <f t="shared" si="73"/>
        <v>1.1542056386881107E-2</v>
      </c>
      <c r="G236" s="2"/>
      <c r="H236" s="6">
        <v>6100</v>
      </c>
      <c r="I236" s="2"/>
      <c r="J236" s="7">
        <f t="shared" si="74"/>
        <v>8.4661459986877449E-3</v>
      </c>
      <c r="K236" s="2"/>
      <c r="L236" s="6">
        <f t="shared" si="75"/>
        <v>0</v>
      </c>
      <c r="M236" s="2"/>
      <c r="N236" s="7">
        <f t="shared" si="76"/>
        <v>0</v>
      </c>
      <c r="O236" s="11"/>
      <c r="P236" s="6">
        <v>36600</v>
      </c>
      <c r="Q236" s="2"/>
      <c r="R236" s="7">
        <f t="shared" si="77"/>
        <v>5.1559708875119356E-3</v>
      </c>
      <c r="S236" s="2"/>
      <c r="T236" s="6">
        <v>37500.85</v>
      </c>
      <c r="U236" s="2"/>
      <c r="V236" s="7">
        <f t="shared" si="78"/>
        <v>5.0304829019042806E-3</v>
      </c>
      <c r="W236" s="2"/>
      <c r="X236" s="6">
        <f t="shared" si="79"/>
        <v>-900.84999999999854</v>
      </c>
      <c r="Y236" s="2"/>
      <c r="Z236" s="7">
        <f t="shared" si="80"/>
        <v>-2.4022122165230884E-2</v>
      </c>
    </row>
    <row r="237" spans="1:26" s="27" customFormat="1" outlineLevel="1" collapsed="1" x14ac:dyDescent="0.25">
      <c r="A237" s="25"/>
      <c r="B237" s="13" t="str">
        <f>CONCATENATE("     ","Repair and Maintenance                            ")</f>
        <v xml:space="preserve">     Repair and Maintenance                            </v>
      </c>
      <c r="C237" s="13"/>
      <c r="D237" s="1">
        <f>SUM(OSRRefD22_16x_0)</f>
        <v>12150.27</v>
      </c>
      <c r="E237" s="1"/>
      <c r="F237" s="5">
        <f t="shared" si="73"/>
        <v>2.2990016632103264E-2</v>
      </c>
      <c r="G237" s="1"/>
      <c r="H237" s="1">
        <f>SUM(OSRRefH22_16x_0)</f>
        <v>7496.76</v>
      </c>
      <c r="I237" s="1"/>
      <c r="J237" s="5">
        <f t="shared" si="74"/>
        <v>1.0404699127397105E-2</v>
      </c>
      <c r="K237" s="1"/>
      <c r="L237" s="1">
        <f t="shared" si="75"/>
        <v>4653.51</v>
      </c>
      <c r="M237" s="1"/>
      <c r="N237" s="5">
        <f t="shared" si="76"/>
        <v>0.62073615802026472</v>
      </c>
      <c r="O237" s="13"/>
      <c r="P237" s="1">
        <f>SUM(OSRRefP22_16x_0)</f>
        <v>82352.02</v>
      </c>
      <c r="Q237" s="1"/>
      <c r="R237" s="5">
        <f t="shared" si="77"/>
        <v>1.160121906141532E-2</v>
      </c>
      <c r="S237" s="1"/>
      <c r="T237" s="1">
        <f>SUM(OSRRefT22_16x_0)</f>
        <v>122408</v>
      </c>
      <c r="U237" s="1"/>
      <c r="V237" s="5">
        <f t="shared" si="78"/>
        <v>1.6420197170365452E-2</v>
      </c>
      <c r="W237" s="1"/>
      <c r="X237" s="1">
        <f t="shared" si="79"/>
        <v>-40055.979999999996</v>
      </c>
      <c r="Y237" s="1"/>
      <c r="Z237" s="5">
        <f t="shared" si="80"/>
        <v>-0.3272333507613881</v>
      </c>
    </row>
    <row r="238" spans="1:26" s="24" customFormat="1" hidden="1" outlineLevel="2" x14ac:dyDescent="0.25">
      <c r="A238" s="26"/>
      <c r="B238" s="11" t="str">
        <f>CONCATENATE("          ", "6371", " - ", "COMPUTER SOFTWARE MAINTENANCE")</f>
        <v xml:space="preserve">          6371 - COMPUTER SOFTWARE MAINTENANCE</v>
      </c>
      <c r="C238" s="11"/>
      <c r="D238" s="6">
        <v>601</v>
      </c>
      <c r="E238" s="2"/>
      <c r="F238" s="7">
        <f t="shared" si="73"/>
        <v>1.1371763751664829E-3</v>
      </c>
      <c r="G238" s="2"/>
      <c r="H238" s="6">
        <v>601</v>
      </c>
      <c r="I238" s="2"/>
      <c r="J238" s="7">
        <f t="shared" si="74"/>
        <v>8.3412356478874332E-4</v>
      </c>
      <c r="K238" s="2"/>
      <c r="L238" s="6">
        <f t="shared" si="75"/>
        <v>0</v>
      </c>
      <c r="M238" s="2"/>
      <c r="N238" s="7">
        <f t="shared" si="76"/>
        <v>0</v>
      </c>
      <c r="O238" s="11"/>
      <c r="P238" s="6">
        <v>13953.4</v>
      </c>
      <c r="Q238" s="2"/>
      <c r="R238" s="7">
        <f t="shared" si="77"/>
        <v>1.9656645951313945E-3</v>
      </c>
      <c r="S238" s="2"/>
      <c r="T238" s="6">
        <v>50037.83</v>
      </c>
      <c r="U238" s="2"/>
      <c r="V238" s="7">
        <f t="shared" si="78"/>
        <v>6.7122331430725726E-3</v>
      </c>
      <c r="W238" s="2"/>
      <c r="X238" s="6">
        <f t="shared" si="79"/>
        <v>-36084.43</v>
      </c>
      <c r="Y238" s="2"/>
      <c r="Z238" s="7">
        <f t="shared" si="80"/>
        <v>-0.72114298321889658</v>
      </c>
    </row>
    <row r="239" spans="1:26" s="24" customFormat="1" hidden="1" outlineLevel="2" x14ac:dyDescent="0.25">
      <c r="A239" s="26"/>
      <c r="B239" s="11" t="str">
        <f>CONCATENATE("          ", "6373", " - ", "MAINTENANCE CONTRACTS")</f>
        <v xml:space="preserve">          6373 - MAINTENANCE CONTRACTS</v>
      </c>
      <c r="C239" s="11"/>
      <c r="D239" s="6">
        <v>7860.47</v>
      </c>
      <c r="E239" s="2"/>
      <c r="F239" s="7">
        <f t="shared" si="73"/>
        <v>1.4873112781538907E-2</v>
      </c>
      <c r="G239" s="2"/>
      <c r="H239" s="6">
        <v>2495.77</v>
      </c>
      <c r="I239" s="2"/>
      <c r="J239" s="7">
        <f t="shared" si="74"/>
        <v>3.4638611801876907E-3</v>
      </c>
      <c r="K239" s="2"/>
      <c r="L239" s="6">
        <f t="shared" si="75"/>
        <v>5364.7000000000007</v>
      </c>
      <c r="M239" s="2"/>
      <c r="N239" s="7">
        <f t="shared" si="76"/>
        <v>2.1495169827347875</v>
      </c>
      <c r="O239" s="11"/>
      <c r="P239" s="6">
        <v>39698.39</v>
      </c>
      <c r="Q239" s="2"/>
      <c r="R239" s="7">
        <f t="shared" si="77"/>
        <v>5.5924519978441242E-3</v>
      </c>
      <c r="S239" s="2"/>
      <c r="T239" s="6">
        <v>51407.619999999995</v>
      </c>
      <c r="U239" s="2"/>
      <c r="V239" s="7">
        <f t="shared" si="78"/>
        <v>6.895981116097169E-3</v>
      </c>
      <c r="W239" s="2"/>
      <c r="X239" s="6">
        <f t="shared" si="79"/>
        <v>-11709.229999999996</v>
      </c>
      <c r="Y239" s="2"/>
      <c r="Z239" s="7">
        <f t="shared" si="80"/>
        <v>-0.22777226411181839</v>
      </c>
    </row>
    <row r="240" spans="1:26" s="24" customFormat="1" hidden="1" outlineLevel="2" x14ac:dyDescent="0.25">
      <c r="A240" s="26"/>
      <c r="B240" s="11" t="str">
        <f>CONCATENATE("          ", "6375", " - ", "OUTSIDE REPAIRS &amp; MAINTENANCE")</f>
        <v xml:space="preserve">          6375 - OUTSIDE REPAIRS &amp; MAINTENANCE</v>
      </c>
      <c r="C240" s="11"/>
      <c r="D240" s="6">
        <v>3688.8</v>
      </c>
      <c r="E240" s="2"/>
      <c r="F240" s="7">
        <f t="shared" si="73"/>
        <v>6.9797274753978737E-3</v>
      </c>
      <c r="G240" s="2"/>
      <c r="H240" s="6">
        <v>4399.99</v>
      </c>
      <c r="I240" s="2"/>
      <c r="J240" s="7">
        <f t="shared" si="74"/>
        <v>6.1067143824206698E-3</v>
      </c>
      <c r="K240" s="2"/>
      <c r="L240" s="6">
        <f t="shared" si="75"/>
        <v>-711.1899999999996</v>
      </c>
      <c r="M240" s="2"/>
      <c r="N240" s="7">
        <f t="shared" si="76"/>
        <v>-0.16163445826013231</v>
      </c>
      <c r="O240" s="11"/>
      <c r="P240" s="6">
        <v>28700.230000000003</v>
      </c>
      <c r="Q240" s="2"/>
      <c r="R240" s="7">
        <f t="shared" si="77"/>
        <v>4.0431024684398006E-3</v>
      </c>
      <c r="S240" s="2"/>
      <c r="T240" s="6">
        <v>20962.550000000003</v>
      </c>
      <c r="U240" s="2"/>
      <c r="V240" s="7">
        <f t="shared" si="78"/>
        <v>2.8119829111957089E-3</v>
      </c>
      <c r="W240" s="2"/>
      <c r="X240" s="6">
        <f t="shared" si="79"/>
        <v>7737.68</v>
      </c>
      <c r="Y240" s="2"/>
      <c r="Z240" s="7">
        <f t="shared" si="80"/>
        <v>0.36911921498100181</v>
      </c>
    </row>
    <row r="241" spans="1:26" s="27" customFormat="1" outlineLevel="1" collapsed="1" x14ac:dyDescent="0.25">
      <c r="A241" s="25"/>
      <c r="B241" s="13" t="str">
        <f>CONCATENATE("     ","Royalty &amp; Commissions                             ")</f>
        <v xml:space="preserve">     Royalty &amp; Commissions                             </v>
      </c>
      <c r="C241" s="13"/>
      <c r="D241" s="1">
        <f>SUM(OSRRefD22_17x_0)</f>
        <v>12955.019999999999</v>
      </c>
      <c r="E241" s="1"/>
      <c r="F241" s="5">
        <f t="shared" ref="F241:F244" si="81">IF(D$12=0,0,D241/D$12)</f>
        <v>2.4512716611995486E-2</v>
      </c>
      <c r="G241" s="1"/>
      <c r="H241" s="1">
        <f>SUM(OSRRefH22_17x_0)</f>
        <v>12726.050000000001</v>
      </c>
      <c r="I241" s="1"/>
      <c r="J241" s="5">
        <f t="shared" ref="J241:J244" si="82">IF(H$12=0,0,H241/H$12)</f>
        <v>1.7662392997803308E-2</v>
      </c>
      <c r="K241" s="1"/>
      <c r="L241" s="1">
        <f t="shared" ref="L241:L244" si="83">+D241-H241</f>
        <v>228.96999999999753</v>
      </c>
      <c r="M241" s="1"/>
      <c r="N241" s="5">
        <f t="shared" ref="N241:N244" si="84">IF(H241=0,0,L241/H241)</f>
        <v>1.799222853909874E-2</v>
      </c>
      <c r="O241" s="13"/>
      <c r="P241" s="1">
        <f>SUM(OSRRefP22_17x_0)</f>
        <v>63490.770000000004</v>
      </c>
      <c r="Q241" s="1"/>
      <c r="R241" s="5">
        <f t="shared" ref="R241:R244" si="85">IF(P$12=0,0,P241/P$12)</f>
        <v>8.9441683537080929E-3</v>
      </c>
      <c r="S241" s="1"/>
      <c r="T241" s="1">
        <f>SUM(OSRRefT22_17x_0)</f>
        <v>84399.96</v>
      </c>
      <c r="U241" s="1"/>
      <c r="V241" s="5">
        <f t="shared" ref="V241:V244" si="86">IF(T$12=0,0,T241/T$12)</f>
        <v>1.1321678193998409E-2</v>
      </c>
      <c r="W241" s="1"/>
      <c r="X241" s="1">
        <f t="shared" ref="X241:X244" si="87">+P241-T241</f>
        <v>-20909.190000000002</v>
      </c>
      <c r="Y241" s="1"/>
      <c r="Z241" s="5">
        <f t="shared" ref="Z241:Z244" si="88">IF(T241=0,0,X241/T241)</f>
        <v>-0.24773933542148599</v>
      </c>
    </row>
    <row r="242" spans="1:26" s="24" customFormat="1" hidden="1" outlineLevel="2" x14ac:dyDescent="0.25">
      <c r="A242" s="26"/>
      <c r="B242" s="11" t="str">
        <f>CONCATENATE("          ", "6253", " - ", "ROYALTY DUE ATHLETICS-LRG")</f>
        <v xml:space="preserve">          6253 - ROYALTY DUE ATHLETICS-LRG</v>
      </c>
      <c r="C242" s="11"/>
      <c r="D242" s="6"/>
      <c r="E242" s="2"/>
      <c r="F242" s="7">
        <f t="shared" si="81"/>
        <v>0</v>
      </c>
      <c r="G242" s="2"/>
      <c r="H242" s="6">
        <v>3178</v>
      </c>
      <c r="I242" s="2"/>
      <c r="J242" s="7">
        <f t="shared" si="82"/>
        <v>4.4107232760376477E-3</v>
      </c>
      <c r="K242" s="2"/>
      <c r="L242" s="6">
        <f t="shared" si="83"/>
        <v>-3178</v>
      </c>
      <c r="M242" s="2"/>
      <c r="N242" s="7">
        <f t="shared" si="84"/>
        <v>-1</v>
      </c>
      <c r="O242" s="11"/>
      <c r="P242" s="6">
        <v>4366.95</v>
      </c>
      <c r="Q242" s="2"/>
      <c r="R242" s="7">
        <f t="shared" si="85"/>
        <v>6.1518762478743837E-4</v>
      </c>
      <c r="S242" s="2"/>
      <c r="T242" s="6">
        <v>26172.42</v>
      </c>
      <c r="U242" s="2"/>
      <c r="V242" s="7">
        <f t="shared" si="86"/>
        <v>3.5108513890073859E-3</v>
      </c>
      <c r="W242" s="2"/>
      <c r="X242" s="6">
        <f t="shared" si="87"/>
        <v>-21805.469999999998</v>
      </c>
      <c r="Y242" s="2"/>
      <c r="Z242" s="7">
        <f t="shared" si="88"/>
        <v>-0.8331468775145745</v>
      </c>
    </row>
    <row r="243" spans="1:26" s="24" customFormat="1" hidden="1" outlineLevel="2" x14ac:dyDescent="0.25">
      <c r="A243" s="26"/>
      <c r="B243" s="11" t="str">
        <f>CONCATENATE("          ", "6254", " - ", "ROYALTY &amp; COMMISSIONS")</f>
        <v xml:space="preserve">          6254 - ROYALTY &amp; COMMISSIONS</v>
      </c>
      <c r="C243" s="11"/>
      <c r="D243" s="6">
        <v>262.72000000000003</v>
      </c>
      <c r="E243" s="2"/>
      <c r="F243" s="7">
        <f t="shared" si="81"/>
        <v>4.9710312360023024E-4</v>
      </c>
      <c r="G243" s="2"/>
      <c r="H243" s="6">
        <v>238.52</v>
      </c>
      <c r="I243" s="2"/>
      <c r="J243" s="7">
        <f t="shared" si="82"/>
        <v>3.3104018747655755E-4</v>
      </c>
      <c r="K243" s="2"/>
      <c r="L243" s="6">
        <f t="shared" si="83"/>
        <v>24.200000000000017</v>
      </c>
      <c r="M243" s="2"/>
      <c r="N243" s="7">
        <f t="shared" si="84"/>
        <v>0.1014589971490861</v>
      </c>
      <c r="O243" s="11"/>
      <c r="P243" s="6">
        <v>2563.84</v>
      </c>
      <c r="Q243" s="2"/>
      <c r="R243" s="7">
        <f t="shared" si="85"/>
        <v>3.6117716940542628E-4</v>
      </c>
      <c r="S243" s="2"/>
      <c r="T243" s="6">
        <v>2977.31</v>
      </c>
      <c r="U243" s="2"/>
      <c r="V243" s="7">
        <f t="shared" si="86"/>
        <v>3.9938580188632078E-4</v>
      </c>
      <c r="W243" s="2"/>
      <c r="X243" s="6">
        <f t="shared" si="87"/>
        <v>-413.4699999999998</v>
      </c>
      <c r="Y243" s="2"/>
      <c r="Z243" s="7">
        <f t="shared" si="88"/>
        <v>-0.13887368127605113</v>
      </c>
    </row>
    <row r="244" spans="1:26" s="24" customFormat="1" hidden="1" outlineLevel="2" x14ac:dyDescent="0.25">
      <c r="A244" s="26"/>
      <c r="B244" s="11" t="str">
        <f>CONCATENATE("          ", "6259", " - ", "ROYALTY &amp; COMMISSIONS")</f>
        <v xml:space="preserve">          6259 - ROYALTY &amp; COMMISSIONS</v>
      </c>
      <c r="C244" s="11"/>
      <c r="D244" s="6">
        <v>12692.3</v>
      </c>
      <c r="E244" s="2"/>
      <c r="F244" s="7">
        <f t="shared" si="81"/>
        <v>2.4015613488395256E-2</v>
      </c>
      <c r="G244" s="2"/>
      <c r="H244" s="6">
        <v>9309.5300000000007</v>
      </c>
      <c r="I244" s="2"/>
      <c r="J244" s="7">
        <f t="shared" si="82"/>
        <v>1.2920629534289102E-2</v>
      </c>
      <c r="K244" s="2"/>
      <c r="L244" s="6">
        <f t="shared" si="83"/>
        <v>3382.7699999999986</v>
      </c>
      <c r="M244" s="2"/>
      <c r="N244" s="7">
        <f t="shared" si="84"/>
        <v>0.36336635684078555</v>
      </c>
      <c r="O244" s="11"/>
      <c r="P244" s="6">
        <v>56559.98</v>
      </c>
      <c r="Q244" s="2"/>
      <c r="R244" s="7">
        <f t="shared" si="85"/>
        <v>7.9678035595152283E-3</v>
      </c>
      <c r="S244" s="2"/>
      <c r="T244" s="6">
        <v>55250.23</v>
      </c>
      <c r="U244" s="2"/>
      <c r="V244" s="7">
        <f t="shared" si="86"/>
        <v>7.4114410031047018E-3</v>
      </c>
      <c r="W244" s="2"/>
      <c r="X244" s="6">
        <f t="shared" si="87"/>
        <v>1309.75</v>
      </c>
      <c r="Y244" s="2"/>
      <c r="Z244" s="7">
        <f t="shared" si="88"/>
        <v>2.3705783668230881E-2</v>
      </c>
    </row>
    <row r="245" spans="1:26" s="27" customFormat="1" outlineLevel="1" collapsed="1" x14ac:dyDescent="0.25">
      <c r="A245" s="25"/>
      <c r="B245" s="13" t="str">
        <f>CONCATENATE("     ","Services                                          ")</f>
        <v xml:space="preserve">     Services                                          </v>
      </c>
      <c r="C245" s="13"/>
      <c r="D245" s="1">
        <f>SUM(OSRRefD22_18x_0)</f>
        <v>4525.41</v>
      </c>
      <c r="E245" s="1"/>
      <c r="F245" s="5">
        <f t="shared" ref="F245:F249" si="89">IF(D$12=0,0,D245/D$12)</f>
        <v>8.5627110481566598E-3</v>
      </c>
      <c r="G245" s="1"/>
      <c r="H245" s="1">
        <f>SUM(OSRRefH22_18x_0)</f>
        <v>8085.33</v>
      </c>
      <c r="I245" s="1"/>
      <c r="J245" s="5">
        <f t="shared" ref="J245:J249" si="90">IF(H$12=0,0,H245/H$12)</f>
        <v>1.1221571184847538E-2</v>
      </c>
      <c r="K245" s="1"/>
      <c r="L245" s="1">
        <f t="shared" ref="L245:L249" si="91">+D245-H245</f>
        <v>-3559.92</v>
      </c>
      <c r="M245" s="1"/>
      <c r="N245" s="5">
        <f t="shared" ref="N245:N249" si="92">IF(H245=0,0,L245/H245)</f>
        <v>-0.44029371713956017</v>
      </c>
      <c r="O245" s="13"/>
      <c r="P245" s="1">
        <f>SUM(OSRRefP22_18x_0)</f>
        <v>27391.88</v>
      </c>
      <c r="Q245" s="1"/>
      <c r="R245" s="5">
        <f t="shared" ref="R245:R249" si="93">IF(P$12=0,0,P245/P$12)</f>
        <v>3.8587905965634002E-3</v>
      </c>
      <c r="S245" s="1"/>
      <c r="T245" s="1">
        <f>SUM(OSRRefT22_18x_0)</f>
        <v>26173.93</v>
      </c>
      <c r="U245" s="1"/>
      <c r="V245" s="5">
        <f t="shared" ref="V245:V249" si="94">IF(T$12=0,0,T245/T$12)</f>
        <v>3.5110539451942958E-3</v>
      </c>
      <c r="W245" s="1"/>
      <c r="X245" s="1">
        <f t="shared" ref="X245:X249" si="95">+P245-T245</f>
        <v>1217.9500000000007</v>
      </c>
      <c r="Y245" s="1"/>
      <c r="Z245" s="5">
        <f t="shared" ref="Z245:Z249" si="96">IF(T245=0,0,X245/T245)</f>
        <v>4.653294327600023E-2</v>
      </c>
    </row>
    <row r="246" spans="1:26" s="24" customFormat="1" hidden="1" outlineLevel="2" x14ac:dyDescent="0.25">
      <c r="A246" s="26"/>
      <c r="B246" s="11" t="str">
        <f>CONCATENATE("          ", "6282", " - ", "JANITORIAL/EXTERMINATOR EXPENS")</f>
        <v xml:space="preserve">          6282 - JANITORIAL/EXTERMINATOR EXPENS</v>
      </c>
      <c r="C246" s="11"/>
      <c r="D246" s="6">
        <v>266.5</v>
      </c>
      <c r="E246" s="2"/>
      <c r="F246" s="7">
        <f t="shared" si="89"/>
        <v>5.0425541427931398E-4</v>
      </c>
      <c r="G246" s="2"/>
      <c r="H246" s="6">
        <v>210.5</v>
      </c>
      <c r="I246" s="2"/>
      <c r="J246" s="7">
        <f t="shared" si="90"/>
        <v>2.9215143159406072E-4</v>
      </c>
      <c r="K246" s="2"/>
      <c r="L246" s="6">
        <f t="shared" si="91"/>
        <v>56</v>
      </c>
      <c r="M246" s="2"/>
      <c r="N246" s="7">
        <f t="shared" si="92"/>
        <v>0.26603325415676959</v>
      </c>
      <c r="O246" s="11"/>
      <c r="P246" s="6">
        <v>1599</v>
      </c>
      <c r="Q246" s="2"/>
      <c r="R246" s="7">
        <f t="shared" si="93"/>
        <v>2.2525676090523456E-4</v>
      </c>
      <c r="S246" s="2"/>
      <c r="T246" s="6">
        <v>1357.29</v>
      </c>
      <c r="U246" s="2"/>
      <c r="V246" s="7">
        <f t="shared" si="94"/>
        <v>1.820711833978606E-4</v>
      </c>
      <c r="W246" s="2"/>
      <c r="X246" s="6">
        <f t="shared" si="95"/>
        <v>241.71000000000004</v>
      </c>
      <c r="Y246" s="2"/>
      <c r="Z246" s="7">
        <f t="shared" si="96"/>
        <v>0.17808279733881488</v>
      </c>
    </row>
    <row r="247" spans="1:26" s="24" customFormat="1" hidden="1" outlineLevel="2" x14ac:dyDescent="0.25">
      <c r="A247" s="26"/>
      <c r="B247" s="11" t="str">
        <f>CONCATENATE("          ", "6283", " - ", "PLANT SERVICE")</f>
        <v xml:space="preserve">          6283 - PLANT SERVICE</v>
      </c>
      <c r="C247" s="11"/>
      <c r="D247" s="6"/>
      <c r="E247" s="2"/>
      <c r="F247" s="7">
        <f t="shared" si="89"/>
        <v>0</v>
      </c>
      <c r="G247" s="2"/>
      <c r="H247" s="6">
        <v>173</v>
      </c>
      <c r="I247" s="2"/>
      <c r="J247" s="7">
        <f t="shared" si="90"/>
        <v>2.4010545209393112E-4</v>
      </c>
      <c r="K247" s="2"/>
      <c r="L247" s="6">
        <f t="shared" si="91"/>
        <v>-173</v>
      </c>
      <c r="M247" s="2"/>
      <c r="N247" s="7">
        <f t="shared" si="92"/>
        <v>-1</v>
      </c>
      <c r="O247" s="11"/>
      <c r="P247" s="6">
        <v>541.98</v>
      </c>
      <c r="Q247" s="2"/>
      <c r="R247" s="7">
        <f t="shared" si="93"/>
        <v>7.6350631191631662E-5</v>
      </c>
      <c r="S247" s="2"/>
      <c r="T247" s="6">
        <v>1160.5</v>
      </c>
      <c r="U247" s="2"/>
      <c r="V247" s="7">
        <f t="shared" si="94"/>
        <v>1.556731489462217E-4</v>
      </c>
      <c r="W247" s="2"/>
      <c r="X247" s="6">
        <f t="shared" si="95"/>
        <v>-618.52</v>
      </c>
      <c r="Y247" s="2"/>
      <c r="Z247" s="7">
        <f t="shared" si="96"/>
        <v>-0.53297716501507975</v>
      </c>
    </row>
    <row r="248" spans="1:26" s="24" customFormat="1" hidden="1" outlineLevel="2" x14ac:dyDescent="0.25">
      <c r="A248" s="26"/>
      <c r="B248" s="11" t="str">
        <f>CONCATENATE("          ", "6284", " - ", "TRASH REMOVAL EXPENSE")</f>
        <v xml:space="preserve">          6284 - TRASH REMOVAL EXPENSE</v>
      </c>
      <c r="C248" s="11"/>
      <c r="D248" s="6">
        <v>134.82</v>
      </c>
      <c r="E248" s="2"/>
      <c r="F248" s="7">
        <f t="shared" si="89"/>
        <v>2.5509836755398539E-4</v>
      </c>
      <c r="G248" s="2"/>
      <c r="H248" s="6">
        <v>121.46</v>
      </c>
      <c r="I248" s="2"/>
      <c r="J248" s="7">
        <f t="shared" si="90"/>
        <v>1.6857345786895303E-4</v>
      </c>
      <c r="K248" s="2"/>
      <c r="L248" s="6">
        <f t="shared" si="91"/>
        <v>13.36</v>
      </c>
      <c r="M248" s="2"/>
      <c r="N248" s="7">
        <f t="shared" si="92"/>
        <v>0.10999506010209123</v>
      </c>
      <c r="O248" s="11"/>
      <c r="P248" s="6">
        <v>808.92</v>
      </c>
      <c r="Q248" s="2"/>
      <c r="R248" s="7">
        <f t="shared" si="93"/>
        <v>1.1395540902530477E-4</v>
      </c>
      <c r="S248" s="2"/>
      <c r="T248" s="6">
        <v>728.76</v>
      </c>
      <c r="U248" s="2"/>
      <c r="V248" s="7">
        <f t="shared" si="94"/>
        <v>9.7758176670442498E-5</v>
      </c>
      <c r="W248" s="2"/>
      <c r="X248" s="6">
        <f t="shared" si="95"/>
        <v>80.159999999999968</v>
      </c>
      <c r="Y248" s="2"/>
      <c r="Z248" s="7">
        <f t="shared" si="96"/>
        <v>0.10999506010209117</v>
      </c>
    </row>
    <row r="249" spans="1:26" s="24" customFormat="1" hidden="1" outlineLevel="2" x14ac:dyDescent="0.25">
      <c r="A249" s="26"/>
      <c r="B249" s="11" t="str">
        <f>CONCATENATE("          ", "6285", " - ", "JANITORIAL SERVICES")</f>
        <v xml:space="preserve">          6285 - JANITORIAL SERVICES</v>
      </c>
      <c r="C249" s="11"/>
      <c r="D249" s="6">
        <v>4124.09</v>
      </c>
      <c r="E249" s="2"/>
      <c r="F249" s="7">
        <f t="shared" si="89"/>
        <v>7.8033572663233613E-3</v>
      </c>
      <c r="G249" s="2"/>
      <c r="H249" s="6">
        <v>7580.37</v>
      </c>
      <c r="I249" s="2"/>
      <c r="J249" s="7">
        <f t="shared" si="90"/>
        <v>1.0520740843290593E-2</v>
      </c>
      <c r="K249" s="2"/>
      <c r="L249" s="6">
        <f t="shared" si="91"/>
        <v>-3456.2799999999997</v>
      </c>
      <c r="M249" s="2"/>
      <c r="N249" s="7">
        <f t="shared" si="92"/>
        <v>-0.45595135857484526</v>
      </c>
      <c r="O249" s="11"/>
      <c r="P249" s="6">
        <v>24441.98</v>
      </c>
      <c r="Q249" s="2"/>
      <c r="R249" s="7">
        <f t="shared" si="93"/>
        <v>3.443227795441229E-3</v>
      </c>
      <c r="S249" s="2"/>
      <c r="T249" s="6">
        <v>22927.38</v>
      </c>
      <c r="U249" s="2"/>
      <c r="V249" s="7">
        <f t="shared" si="94"/>
        <v>3.0755514361797713E-3</v>
      </c>
      <c r="W249" s="2"/>
      <c r="X249" s="6">
        <f t="shared" si="95"/>
        <v>1514.5999999999985</v>
      </c>
      <c r="Y249" s="2"/>
      <c r="Z249" s="7">
        <f t="shared" si="96"/>
        <v>6.6060753561898417E-2</v>
      </c>
    </row>
    <row r="250" spans="1:26" s="27" customFormat="1" outlineLevel="1" collapsed="1" x14ac:dyDescent="0.25">
      <c r="A250" s="25"/>
      <c r="B250" s="13" t="str">
        <f>CONCATENATE("     ","Subscriptions &amp; Dues                              ")</f>
        <v xml:space="preserve">     Subscriptions &amp; Dues                              </v>
      </c>
      <c r="C250" s="13"/>
      <c r="D250" s="1">
        <f>SUM(OSRRefD22_19x_0)</f>
        <v>250</v>
      </c>
      <c r="E250" s="1"/>
      <c r="F250" s="5">
        <f t="shared" ref="F250:F252" si="97">IF(D$12=0,0,D250/D$12)</f>
        <v>4.7303509782299619E-4</v>
      </c>
      <c r="G250" s="1"/>
      <c r="H250" s="1">
        <f>SUM(OSRRefH22_19x_0)</f>
        <v>4105.67</v>
      </c>
      <c r="I250" s="1"/>
      <c r="J250" s="5">
        <f t="shared" ref="J250:J252" si="98">IF(H$12=0,0,H250/H$12)</f>
        <v>5.6982297774479202E-3</v>
      </c>
      <c r="K250" s="1"/>
      <c r="L250" s="1">
        <f t="shared" ref="L250:L252" si="99">+D250-H250</f>
        <v>-3855.67</v>
      </c>
      <c r="M250" s="1"/>
      <c r="N250" s="5">
        <f t="shared" ref="N250:N252" si="100">IF(H250=0,0,L250/H250)</f>
        <v>-0.93910859859657503</v>
      </c>
      <c r="O250" s="13"/>
      <c r="P250" s="1">
        <f>SUM(OSRRefP22_19x_0)</f>
        <v>-2532.2399999999998</v>
      </c>
      <c r="Q250" s="1"/>
      <c r="R250" s="5">
        <f t="shared" ref="R250:R252" si="101">IF(P$12=0,0,P250/P$12)</f>
        <v>-3.5672556612549789E-4</v>
      </c>
      <c r="S250" s="1"/>
      <c r="T250" s="1">
        <f>SUM(OSRRefT22_19x_0)</f>
        <v>11123.35</v>
      </c>
      <c r="U250" s="1"/>
      <c r="V250" s="5">
        <f t="shared" ref="V250:V252" si="102">IF(T$12=0,0,T250/T$12)</f>
        <v>1.492121431564804E-3</v>
      </c>
      <c r="W250" s="1"/>
      <c r="X250" s="1">
        <f t="shared" ref="X250:X252" si="103">+P250-T250</f>
        <v>-13655.59</v>
      </c>
      <c r="Y250" s="1"/>
      <c r="Z250" s="5">
        <f t="shared" ref="Z250:Z252" si="104">IF(T250=0,0,X250/T250)</f>
        <v>-1.2276508425968795</v>
      </c>
    </row>
    <row r="251" spans="1:26" s="24" customFormat="1" hidden="1" outlineLevel="2" x14ac:dyDescent="0.25">
      <c r="A251" s="26"/>
      <c r="B251" s="11" t="str">
        <f>CONCATENATE("          ", "6258", " - ", "MEMBERSHIP DUES")</f>
        <v xml:space="preserve">          6258 - MEMBERSHIP DUES</v>
      </c>
      <c r="C251" s="11"/>
      <c r="D251" s="6">
        <v>250</v>
      </c>
      <c r="E251" s="2"/>
      <c r="F251" s="7">
        <f t="shared" si="97"/>
        <v>4.7303509782299619E-4</v>
      </c>
      <c r="G251" s="2"/>
      <c r="H251" s="6">
        <v>255.71</v>
      </c>
      <c r="I251" s="2"/>
      <c r="J251" s="7">
        <f t="shared" si="98"/>
        <v>3.5489806447941695E-4</v>
      </c>
      <c r="K251" s="2"/>
      <c r="L251" s="6">
        <f t="shared" si="99"/>
        <v>-5.710000000000008</v>
      </c>
      <c r="M251" s="2"/>
      <c r="N251" s="7">
        <f t="shared" si="100"/>
        <v>-2.2329983184075742E-2</v>
      </c>
      <c r="O251" s="11"/>
      <c r="P251" s="6">
        <v>-3322.6</v>
      </c>
      <c r="Q251" s="2"/>
      <c r="R251" s="7">
        <f t="shared" si="101"/>
        <v>-4.6806636259145236E-4</v>
      </c>
      <c r="S251" s="2"/>
      <c r="T251" s="6">
        <v>5460.84</v>
      </c>
      <c r="U251" s="2"/>
      <c r="V251" s="7">
        <f t="shared" si="102"/>
        <v>7.3253438922144356E-4</v>
      </c>
      <c r="W251" s="2"/>
      <c r="X251" s="6">
        <f t="shared" si="103"/>
        <v>-8783.44</v>
      </c>
      <c r="Y251" s="2"/>
      <c r="Z251" s="7">
        <f t="shared" si="104"/>
        <v>-1.6084411921975375</v>
      </c>
    </row>
    <row r="252" spans="1:26" s="24" customFormat="1" hidden="1" outlineLevel="2" x14ac:dyDescent="0.25">
      <c r="A252" s="26"/>
      <c r="B252" s="11" t="str">
        <f>CONCATENATE("          ", "6275", " - ", "SUBSCRIPTIONS")</f>
        <v xml:space="preserve">          6275 - SUBSCRIPTIONS</v>
      </c>
      <c r="C252" s="11"/>
      <c r="D252" s="6"/>
      <c r="E252" s="2"/>
      <c r="F252" s="7">
        <f t="shared" si="97"/>
        <v>0</v>
      </c>
      <c r="G252" s="2"/>
      <c r="H252" s="6">
        <v>3849.96</v>
      </c>
      <c r="I252" s="2"/>
      <c r="J252" s="7">
        <f t="shared" si="98"/>
        <v>5.3433317129685035E-3</v>
      </c>
      <c r="K252" s="2"/>
      <c r="L252" s="6">
        <f t="shared" si="99"/>
        <v>-3849.96</v>
      </c>
      <c r="M252" s="2"/>
      <c r="N252" s="7">
        <f t="shared" si="100"/>
        <v>-1</v>
      </c>
      <c r="O252" s="11"/>
      <c r="P252" s="6">
        <v>790.36</v>
      </c>
      <c r="Q252" s="2"/>
      <c r="R252" s="7">
        <f t="shared" si="101"/>
        <v>1.1134079646595447E-4</v>
      </c>
      <c r="S252" s="2"/>
      <c r="T252" s="6">
        <v>5662.51</v>
      </c>
      <c r="U252" s="2"/>
      <c r="V252" s="7">
        <f t="shared" si="102"/>
        <v>7.5958704234336052E-4</v>
      </c>
      <c r="W252" s="2"/>
      <c r="X252" s="6">
        <f t="shared" si="103"/>
        <v>-4872.1500000000005</v>
      </c>
      <c r="Y252" s="2"/>
      <c r="Z252" s="7">
        <f t="shared" si="104"/>
        <v>-0.8604223215499841</v>
      </c>
    </row>
    <row r="253" spans="1:26" s="27" customFormat="1" outlineLevel="1" collapsed="1" x14ac:dyDescent="0.25">
      <c r="A253" s="25"/>
      <c r="B253" s="13" t="str">
        <f>CONCATENATE("     ","Supplies                                          ")</f>
        <v xml:space="preserve">     Supplies                                          </v>
      </c>
      <c r="C253" s="13"/>
      <c r="D253" s="1">
        <f>SUM(OSRRefD22_20x_0)</f>
        <v>7584.7900000000009</v>
      </c>
      <c r="E253" s="1"/>
      <c r="F253" s="5">
        <f t="shared" ref="F253:F260" si="105">IF(D$12=0,0,D253/D$12)</f>
        <v>1.4351487518467534E-2</v>
      </c>
      <c r="G253" s="1"/>
      <c r="H253" s="1">
        <f>SUM(OSRRefH22_20x_0)</f>
        <v>9844.0400000000009</v>
      </c>
      <c r="I253" s="1"/>
      <c r="J253" s="5">
        <f t="shared" ref="J253:J260" si="106">IF(H$12=0,0,H253/H$12)</f>
        <v>1.366247210769215E-2</v>
      </c>
      <c r="K253" s="1"/>
      <c r="L253" s="1">
        <f t="shared" ref="L253:L260" si="107">+D253-H253</f>
        <v>-2259.25</v>
      </c>
      <c r="M253" s="1"/>
      <c r="N253" s="5">
        <f t="shared" ref="N253:N260" si="108">IF(H253=0,0,L253/H253)</f>
        <v>-0.22950434984010629</v>
      </c>
      <c r="O253" s="13"/>
      <c r="P253" s="1">
        <f>SUM(OSRRefP22_20x_0)</f>
        <v>53470.34</v>
      </c>
      <c r="Q253" s="1"/>
      <c r="R253" s="5">
        <f t="shared" ref="R253:R260" si="109">IF(P$12=0,0,P253/P$12)</f>
        <v>7.5325550924963099E-3</v>
      </c>
      <c r="S253" s="1"/>
      <c r="T253" s="1">
        <f>SUM(OSRRefT22_20x_0)</f>
        <v>91429.459999999992</v>
      </c>
      <c r="U253" s="1"/>
      <c r="V253" s="5">
        <f t="shared" ref="V253:V260" si="110">IF(T$12=0,0,T253/T$12)</f>
        <v>1.2264637608489976E-2</v>
      </c>
      <c r="W253" s="1"/>
      <c r="X253" s="1">
        <f t="shared" ref="X253:X260" si="111">+P253-T253</f>
        <v>-37959.119999999995</v>
      </c>
      <c r="Y253" s="1"/>
      <c r="Z253" s="5">
        <f t="shared" ref="Z253:Z260" si="112">IF(T253=0,0,X253/T253)</f>
        <v>-0.41517384002924218</v>
      </c>
    </row>
    <row r="254" spans="1:26" s="24" customFormat="1" hidden="1" outlineLevel="2" x14ac:dyDescent="0.25">
      <c r="A254" s="26"/>
      <c r="B254" s="11" t="str">
        <f>CONCATENATE("          ", "6234", " - ", "EXPENDABLE SUPPLIES &amp; EQUIPMEN")</f>
        <v xml:space="preserve">          6234 - EXPENDABLE SUPPLIES &amp; EQUIPMEN</v>
      </c>
      <c r="C254" s="11"/>
      <c r="D254" s="6"/>
      <c r="E254" s="2"/>
      <c r="F254" s="7">
        <f t="shared" si="105"/>
        <v>0</v>
      </c>
      <c r="G254" s="2"/>
      <c r="H254" s="6">
        <v>16.46</v>
      </c>
      <c r="I254" s="2"/>
      <c r="J254" s="7">
        <f t="shared" si="106"/>
        <v>2.284471526859021E-5</v>
      </c>
      <c r="K254" s="2"/>
      <c r="L254" s="6">
        <f t="shared" si="107"/>
        <v>-16.46</v>
      </c>
      <c r="M254" s="2"/>
      <c r="N254" s="7">
        <f t="shared" si="108"/>
        <v>-1</v>
      </c>
      <c r="O254" s="11"/>
      <c r="P254" s="6">
        <v>1822.75</v>
      </c>
      <c r="Q254" s="2"/>
      <c r="R254" s="7">
        <f t="shared" si="109"/>
        <v>2.5677721134460054E-4</v>
      </c>
      <c r="S254" s="2"/>
      <c r="T254" s="6">
        <v>3475.8</v>
      </c>
      <c r="U254" s="2"/>
      <c r="V254" s="7">
        <f t="shared" si="110"/>
        <v>4.6625483076887322E-4</v>
      </c>
      <c r="W254" s="2"/>
      <c r="X254" s="6">
        <f t="shared" si="111"/>
        <v>-1653.0500000000002</v>
      </c>
      <c r="Y254" s="2"/>
      <c r="Z254" s="7">
        <f t="shared" si="112"/>
        <v>-0.47558835376028541</v>
      </c>
    </row>
    <row r="255" spans="1:26" s="24" customFormat="1" hidden="1" outlineLevel="2" x14ac:dyDescent="0.25">
      <c r="A255" s="26"/>
      <c r="B255" s="11" t="str">
        <f>CONCATENATE("          ", "6237", " - ", "JANITORIAL SUPPLIES")</f>
        <v xml:space="preserve">          6237 - JANITORIAL SUPPLIES</v>
      </c>
      <c r="C255" s="11"/>
      <c r="D255" s="6">
        <v>131.72999999999999</v>
      </c>
      <c r="E255" s="2"/>
      <c r="F255" s="7">
        <f t="shared" si="105"/>
        <v>2.492516537448931E-4</v>
      </c>
      <c r="G255" s="2"/>
      <c r="H255" s="6">
        <v>489.53</v>
      </c>
      <c r="I255" s="2"/>
      <c r="J255" s="7">
        <f t="shared" si="106"/>
        <v>6.7941515585862478E-4</v>
      </c>
      <c r="K255" s="2"/>
      <c r="L255" s="6">
        <f t="shared" si="107"/>
        <v>-357.79999999999995</v>
      </c>
      <c r="M255" s="2"/>
      <c r="N255" s="7">
        <f t="shared" si="108"/>
        <v>-0.7309051539231507</v>
      </c>
      <c r="O255" s="11"/>
      <c r="P255" s="6">
        <v>2989.48</v>
      </c>
      <c r="Q255" s="2"/>
      <c r="R255" s="7">
        <f t="shared" si="109"/>
        <v>4.2113857510380279E-4</v>
      </c>
      <c r="S255" s="2"/>
      <c r="T255" s="6">
        <v>3710.44</v>
      </c>
      <c r="U255" s="2"/>
      <c r="V255" s="7">
        <f t="shared" si="110"/>
        <v>4.9773018421027046E-4</v>
      </c>
      <c r="W255" s="2"/>
      <c r="X255" s="6">
        <f t="shared" si="111"/>
        <v>-720.96</v>
      </c>
      <c r="Y255" s="2"/>
      <c r="Z255" s="7">
        <f t="shared" si="112"/>
        <v>-0.19430579661711281</v>
      </c>
    </row>
    <row r="256" spans="1:26" s="24" customFormat="1" hidden="1" outlineLevel="2" x14ac:dyDescent="0.25">
      <c r="A256" s="26"/>
      <c r="B256" s="11" t="str">
        <f>CONCATENATE("          ", "6241", " - ", "OFFICE EXPENSE")</f>
        <v xml:space="preserve">          6241 - OFFICE EXPENSE</v>
      </c>
      <c r="C256" s="11"/>
      <c r="D256" s="6">
        <v>2931.36</v>
      </c>
      <c r="E256" s="2"/>
      <c r="F256" s="7">
        <f t="shared" si="105"/>
        <v>5.5465446574176729E-3</v>
      </c>
      <c r="G256" s="2"/>
      <c r="H256" s="6">
        <v>5024.34</v>
      </c>
      <c r="I256" s="2"/>
      <c r="J256" s="7">
        <f t="shared" si="106"/>
        <v>6.9732452437781612E-3</v>
      </c>
      <c r="K256" s="2"/>
      <c r="L256" s="6">
        <f t="shared" si="107"/>
        <v>-2092.98</v>
      </c>
      <c r="M256" s="2"/>
      <c r="N256" s="7">
        <f t="shared" si="108"/>
        <v>-0.41656814626398692</v>
      </c>
      <c r="O256" s="11"/>
      <c r="P256" s="6">
        <v>18187.48</v>
      </c>
      <c r="Q256" s="2"/>
      <c r="R256" s="7">
        <f t="shared" si="109"/>
        <v>2.5621343551149064E-3</v>
      </c>
      <c r="S256" s="2"/>
      <c r="T256" s="6">
        <v>16871.919999999998</v>
      </c>
      <c r="U256" s="2"/>
      <c r="V256" s="7">
        <f t="shared" si="110"/>
        <v>2.2632528351303203E-3</v>
      </c>
      <c r="W256" s="2"/>
      <c r="X256" s="6">
        <f t="shared" si="111"/>
        <v>1315.5600000000013</v>
      </c>
      <c r="Y256" s="2"/>
      <c r="Z256" s="7">
        <f t="shared" si="112"/>
        <v>7.7973342690102934E-2</v>
      </c>
    </row>
    <row r="257" spans="1:26" s="24" customFormat="1" hidden="1" outlineLevel="2" x14ac:dyDescent="0.25">
      <c r="A257" s="26"/>
      <c r="B257" s="11" t="str">
        <f>CONCATENATE("          ", "6243", " - ", "PAPER SUPPLIES")</f>
        <v xml:space="preserve">          6243 - PAPER SUPPLIES</v>
      </c>
      <c r="C257" s="11"/>
      <c r="D257" s="6">
        <v>3229.02</v>
      </c>
      <c r="E257" s="2"/>
      <c r="F257" s="7">
        <f t="shared" si="105"/>
        <v>6.1097591662896446E-3</v>
      </c>
      <c r="G257" s="2"/>
      <c r="H257" s="6">
        <v>886.72</v>
      </c>
      <c r="I257" s="2"/>
      <c r="J257" s="7">
        <f t="shared" si="106"/>
        <v>1.2306722917961306E-3</v>
      </c>
      <c r="K257" s="2"/>
      <c r="L257" s="6">
        <f t="shared" si="107"/>
        <v>2342.3000000000002</v>
      </c>
      <c r="M257" s="2"/>
      <c r="N257" s="7">
        <f t="shared" si="108"/>
        <v>2.641532840129917</v>
      </c>
      <c r="O257" s="11"/>
      <c r="P257" s="6">
        <v>9558.5</v>
      </c>
      <c r="Q257" s="2"/>
      <c r="R257" s="7">
        <f t="shared" si="109"/>
        <v>1.3465395554175638E-3</v>
      </c>
      <c r="S257" s="2"/>
      <c r="T257" s="6">
        <v>19158.75</v>
      </c>
      <c r="U257" s="2"/>
      <c r="V257" s="7">
        <f t="shared" si="110"/>
        <v>2.5700154608991168E-3</v>
      </c>
      <c r="W257" s="2"/>
      <c r="X257" s="6">
        <f t="shared" si="111"/>
        <v>-9600.25</v>
      </c>
      <c r="Y257" s="2"/>
      <c r="Z257" s="7">
        <f t="shared" si="112"/>
        <v>-0.5010895804788934</v>
      </c>
    </row>
    <row r="258" spans="1:26" s="24" customFormat="1" hidden="1" outlineLevel="2" x14ac:dyDescent="0.25">
      <c r="A258" s="26"/>
      <c r="B258" s="11" t="str">
        <f>CONCATENATE("          ", "6245", " - ", "PRINTING")</f>
        <v xml:space="preserve">          6245 - PRINTING</v>
      </c>
      <c r="C258" s="11"/>
      <c r="D258" s="6">
        <v>748.76</v>
      </c>
      <c r="E258" s="2"/>
      <c r="F258" s="7">
        <f t="shared" si="105"/>
        <v>1.4167590393837865E-3</v>
      </c>
      <c r="G258" s="2"/>
      <c r="H258" s="6">
        <v>2689.99</v>
      </c>
      <c r="I258" s="2"/>
      <c r="J258" s="7">
        <f t="shared" si="106"/>
        <v>3.7334177172147613E-3</v>
      </c>
      <c r="K258" s="2"/>
      <c r="L258" s="6">
        <f t="shared" si="107"/>
        <v>-1941.2299999999998</v>
      </c>
      <c r="M258" s="2"/>
      <c r="N258" s="7">
        <f t="shared" si="108"/>
        <v>-0.72164952286067974</v>
      </c>
      <c r="O258" s="11"/>
      <c r="P258" s="6">
        <v>5593.81</v>
      </c>
      <c r="Q258" s="2"/>
      <c r="R258" s="7">
        <f t="shared" si="109"/>
        <v>7.8801971339544107E-4</v>
      </c>
      <c r="S258" s="2"/>
      <c r="T258" s="6">
        <v>9312.9500000000007</v>
      </c>
      <c r="U258" s="2"/>
      <c r="V258" s="7">
        <f t="shared" si="110"/>
        <v>1.2492686363452955E-3</v>
      </c>
      <c r="W258" s="2"/>
      <c r="X258" s="6">
        <f t="shared" si="111"/>
        <v>-3719.1400000000003</v>
      </c>
      <c r="Y258" s="2"/>
      <c r="Z258" s="7">
        <f t="shared" si="112"/>
        <v>-0.39935144073574969</v>
      </c>
    </row>
    <row r="259" spans="1:26" s="24" customFormat="1" hidden="1" outlineLevel="2" x14ac:dyDescent="0.25">
      <c r="A259" s="26"/>
      <c r="B259" s="11" t="str">
        <f>CONCATENATE("          ", "6247", " - ", "STORE SUPPLIES")</f>
        <v xml:space="preserve">          6247 - STORE SUPPLIES</v>
      </c>
      <c r="C259" s="11"/>
      <c r="D259" s="6">
        <v>543.91999999999996</v>
      </c>
      <c r="E259" s="2"/>
      <c r="F259" s="7">
        <f t="shared" si="105"/>
        <v>1.0291730016315362E-3</v>
      </c>
      <c r="G259" s="2"/>
      <c r="H259" s="6">
        <v>737</v>
      </c>
      <c r="I259" s="2"/>
      <c r="J259" s="7">
        <f t="shared" si="106"/>
        <v>1.02287698377588E-3</v>
      </c>
      <c r="K259" s="2"/>
      <c r="L259" s="6">
        <f t="shared" si="107"/>
        <v>-193.08000000000004</v>
      </c>
      <c r="M259" s="2"/>
      <c r="N259" s="7">
        <f t="shared" si="108"/>
        <v>-0.26198100407055636</v>
      </c>
      <c r="O259" s="11"/>
      <c r="P259" s="6">
        <v>15318.32</v>
      </c>
      <c r="Q259" s="2"/>
      <c r="R259" s="7">
        <f t="shared" si="109"/>
        <v>2.1579456821199956E-3</v>
      </c>
      <c r="S259" s="2"/>
      <c r="T259" s="6">
        <v>38800.6</v>
      </c>
      <c r="U259" s="2"/>
      <c r="V259" s="7">
        <f t="shared" si="110"/>
        <v>5.2048354872923476E-3</v>
      </c>
      <c r="W259" s="2"/>
      <c r="X259" s="6">
        <f t="shared" si="111"/>
        <v>-23482.28</v>
      </c>
      <c r="Y259" s="2"/>
      <c r="Z259" s="7">
        <f t="shared" si="112"/>
        <v>-0.60520404323644483</v>
      </c>
    </row>
    <row r="260" spans="1:26" s="24" customFormat="1" hidden="1" outlineLevel="2" x14ac:dyDescent="0.25">
      <c r="A260" s="26"/>
      <c r="B260" s="11" t="str">
        <f>CONCATENATE("          ", "6248", " - ", "UNIFORMS")</f>
        <v xml:space="preserve">          6248 - UNIFORMS</v>
      </c>
      <c r="C260" s="11"/>
      <c r="D260" s="6"/>
      <c r="E260" s="2"/>
      <c r="F260" s="7">
        <f t="shared" si="105"/>
        <v>0</v>
      </c>
      <c r="G260" s="2"/>
      <c r="H260" s="6"/>
      <c r="I260" s="2"/>
      <c r="J260" s="7">
        <f t="shared" si="106"/>
        <v>0</v>
      </c>
      <c r="K260" s="2"/>
      <c r="L260" s="6">
        <f t="shared" si="107"/>
        <v>0</v>
      </c>
      <c r="M260" s="2"/>
      <c r="N260" s="7">
        <f t="shared" si="108"/>
        <v>0</v>
      </c>
      <c r="O260" s="11"/>
      <c r="P260" s="6"/>
      <c r="Q260" s="2"/>
      <c r="R260" s="7">
        <f t="shared" si="109"/>
        <v>0</v>
      </c>
      <c r="S260" s="2"/>
      <c r="T260" s="6">
        <v>99</v>
      </c>
      <c r="U260" s="2"/>
      <c r="V260" s="7">
        <f t="shared" si="110"/>
        <v>1.328017384375351E-5</v>
      </c>
      <c r="W260" s="2"/>
      <c r="X260" s="6">
        <f t="shared" si="111"/>
        <v>-99</v>
      </c>
      <c r="Y260" s="2"/>
      <c r="Z260" s="7">
        <f t="shared" si="112"/>
        <v>-1</v>
      </c>
    </row>
    <row r="261" spans="1:26" s="27" customFormat="1" outlineLevel="1" collapsed="1" x14ac:dyDescent="0.25">
      <c r="A261" s="25"/>
      <c r="B261" s="13" t="str">
        <f>CONCATENATE("     ","Telephone/Data Lines                              ")</f>
        <v xml:space="preserve">     Telephone/Data Lines                              </v>
      </c>
      <c r="C261" s="13"/>
      <c r="D261" s="1">
        <f>SUM(OSRRefD22_21x_0)</f>
        <v>2857.59</v>
      </c>
      <c r="E261" s="1"/>
      <c r="F261" s="5">
        <f t="shared" ref="F261:F263" si="113">IF(D$12=0,0,D261/D$12)</f>
        <v>5.4069614607520633E-3</v>
      </c>
      <c r="G261" s="1"/>
      <c r="H261" s="1">
        <f>SUM(OSRRefH22_21x_0)</f>
        <v>2400.75</v>
      </c>
      <c r="I261" s="1"/>
      <c r="J261" s="5">
        <f t="shared" ref="J261:J263" si="114">IF(H$12=0,0,H261/H$12)</f>
        <v>3.3319836075982956E-3</v>
      </c>
      <c r="K261" s="1"/>
      <c r="L261" s="1">
        <f t="shared" ref="L261:L263" si="115">+D261-H261</f>
        <v>456.84000000000015</v>
      </c>
      <c r="M261" s="1"/>
      <c r="N261" s="5">
        <f t="shared" ref="N261:N263" si="116">IF(H261=0,0,L261/H261)</f>
        <v>0.19029053420806005</v>
      </c>
      <c r="O261" s="13"/>
      <c r="P261" s="1">
        <f>SUM(OSRRefP22_21x_0)</f>
        <v>17591.409999999996</v>
      </c>
      <c r="Q261" s="1"/>
      <c r="R261" s="5">
        <f t="shared" ref="R261:R263" si="117">IF(P$12=0,0,P261/P$12)</f>
        <v>2.478163875144435E-3</v>
      </c>
      <c r="S261" s="1"/>
      <c r="T261" s="1">
        <f>SUM(OSRRefT22_21x_0)</f>
        <v>17893.070000000003</v>
      </c>
      <c r="U261" s="1"/>
      <c r="V261" s="5">
        <f t="shared" ref="V261:V263" si="118">IF(T$12=0,0,T261/T$12)</f>
        <v>2.4002331333176832E-3</v>
      </c>
      <c r="W261" s="1"/>
      <c r="X261" s="1">
        <f t="shared" ref="X261:X263" si="119">+P261-T261</f>
        <v>-301.66000000000713</v>
      </c>
      <c r="Y261" s="1"/>
      <c r="Z261" s="5">
        <f t="shared" ref="Z261:Z263" si="120">IF(T261=0,0,X261/T261)</f>
        <v>-1.685904095831554E-2</v>
      </c>
    </row>
    <row r="262" spans="1:26" s="24" customFormat="1" hidden="1" outlineLevel="2" x14ac:dyDescent="0.25">
      <c r="A262" s="26"/>
      <c r="B262" s="11" t="str">
        <f>CONCATENATE("          ", "6303", " - ", "DATA PHONE LINES")</f>
        <v xml:space="preserve">          6303 - DATA PHONE LINES</v>
      </c>
      <c r="C262" s="11"/>
      <c r="D262" s="6">
        <v>295</v>
      </c>
      <c r="E262" s="2"/>
      <c r="F262" s="7">
        <f t="shared" si="113"/>
        <v>5.581814154311355E-4</v>
      </c>
      <c r="G262" s="2"/>
      <c r="H262" s="6"/>
      <c r="I262" s="2"/>
      <c r="J262" s="7">
        <f t="shared" si="114"/>
        <v>0</v>
      </c>
      <c r="K262" s="2"/>
      <c r="L262" s="6">
        <f t="shared" si="115"/>
        <v>295</v>
      </c>
      <c r="M262" s="2"/>
      <c r="N262" s="7">
        <f t="shared" si="116"/>
        <v>0</v>
      </c>
      <c r="O262" s="11"/>
      <c r="P262" s="6">
        <v>1770</v>
      </c>
      <c r="Q262" s="2"/>
      <c r="R262" s="7">
        <f t="shared" si="117"/>
        <v>2.4934613308459359E-4</v>
      </c>
      <c r="S262" s="2"/>
      <c r="T262" s="6">
        <v>885</v>
      </c>
      <c r="U262" s="2"/>
      <c r="V262" s="7">
        <f t="shared" si="118"/>
        <v>1.1871670557294804E-4</v>
      </c>
      <c r="W262" s="2"/>
      <c r="X262" s="6">
        <f t="shared" si="119"/>
        <v>885</v>
      </c>
      <c r="Y262" s="2"/>
      <c r="Z262" s="7">
        <f t="shared" si="120"/>
        <v>1</v>
      </c>
    </row>
    <row r="263" spans="1:26" s="24" customFormat="1" hidden="1" outlineLevel="2" x14ac:dyDescent="0.25">
      <c r="A263" s="26"/>
      <c r="B263" s="11" t="str">
        <f>CONCATENATE("          ", "6309", " - ", "TELEPHONE")</f>
        <v xml:space="preserve">          6309 - TELEPHONE</v>
      </c>
      <c r="C263" s="11"/>
      <c r="D263" s="6">
        <v>2562.59</v>
      </c>
      <c r="E263" s="2"/>
      <c r="F263" s="7">
        <f t="shared" si="113"/>
        <v>4.8487800453209271E-3</v>
      </c>
      <c r="G263" s="2"/>
      <c r="H263" s="6">
        <v>2400.75</v>
      </c>
      <c r="I263" s="2"/>
      <c r="J263" s="7">
        <f t="shared" si="114"/>
        <v>3.3319836075982956E-3</v>
      </c>
      <c r="K263" s="2"/>
      <c r="L263" s="6">
        <f t="shared" si="115"/>
        <v>161.84000000000015</v>
      </c>
      <c r="M263" s="2"/>
      <c r="N263" s="7">
        <f t="shared" si="116"/>
        <v>6.7412266999895928E-2</v>
      </c>
      <c r="O263" s="11"/>
      <c r="P263" s="6">
        <v>15821.409999999998</v>
      </c>
      <c r="Q263" s="2"/>
      <c r="R263" s="7">
        <f t="shared" si="117"/>
        <v>2.2288177420598417E-3</v>
      </c>
      <c r="S263" s="2"/>
      <c r="T263" s="6">
        <v>17008.070000000003</v>
      </c>
      <c r="U263" s="2"/>
      <c r="V263" s="7">
        <f t="shared" si="118"/>
        <v>2.2815164277447354E-3</v>
      </c>
      <c r="W263" s="2"/>
      <c r="X263" s="6">
        <f t="shared" si="119"/>
        <v>-1186.6600000000053</v>
      </c>
      <c r="Y263" s="2"/>
      <c r="Z263" s="7">
        <f t="shared" si="120"/>
        <v>-6.9770408988204136E-2</v>
      </c>
    </row>
    <row r="264" spans="1:26" s="27" customFormat="1" outlineLevel="1" collapsed="1" x14ac:dyDescent="0.25">
      <c r="A264" s="25"/>
      <c r="B264" s="13" t="str">
        <f>CONCATENATE("     ","Training                                          ")</f>
        <v xml:space="preserve">     Training                                          </v>
      </c>
      <c r="C264" s="13"/>
      <c r="D264" s="1">
        <f>SUM(OSRRefD22_22x_0)</f>
        <v>0</v>
      </c>
      <c r="E264" s="1"/>
      <c r="F264" s="5">
        <f t="shared" ref="F264:F269" si="121">IF(D$12=0,0,D264/D$12)</f>
        <v>0</v>
      </c>
      <c r="G264" s="1"/>
      <c r="H264" s="1">
        <f>SUM(OSRRefH22_22x_0)</f>
        <v>1751.17</v>
      </c>
      <c r="I264" s="1"/>
      <c r="J264" s="5">
        <f t="shared" ref="J264:J269" si="122">IF(H$12=0,0,H264/H$12)</f>
        <v>2.4304362112331176E-3</v>
      </c>
      <c r="K264" s="1"/>
      <c r="L264" s="1">
        <f t="shared" ref="L264:L269" si="123">+D264-H264</f>
        <v>-1751.17</v>
      </c>
      <c r="M264" s="1"/>
      <c r="N264" s="5">
        <f t="shared" ref="N264:N269" si="124">IF(H264=0,0,L264/H264)</f>
        <v>-1</v>
      </c>
      <c r="O264" s="13"/>
      <c r="P264" s="1">
        <f>SUM(OSRRefP22_22x_0)</f>
        <v>8727.44</v>
      </c>
      <c r="Q264" s="1"/>
      <c r="R264" s="5">
        <f t="shared" ref="R264:R269" si="125">IF(P$12=0,0,P264/P$12)</f>
        <v>1.2294652066258791E-3</v>
      </c>
      <c r="S264" s="1"/>
      <c r="T264" s="1">
        <f>SUM(OSRRefT22_22x_0)</f>
        <v>5021.88</v>
      </c>
      <c r="U264" s="1"/>
      <c r="V264" s="5">
        <f t="shared" ref="V264:V269" si="126">IF(T$12=0,0,T264/T$12)</f>
        <v>6.7365090325726133E-4</v>
      </c>
      <c r="W264" s="1"/>
      <c r="X264" s="1">
        <f t="shared" ref="X264:X269" si="127">+P264-T264</f>
        <v>3705.5600000000004</v>
      </c>
      <c r="Y264" s="1"/>
      <c r="Z264" s="5">
        <f t="shared" ref="Z264:Z269" si="128">IF(T264=0,0,X264/T264)</f>
        <v>0.73788302388746851</v>
      </c>
    </row>
    <row r="265" spans="1:26" s="24" customFormat="1" hidden="1" outlineLevel="2" x14ac:dyDescent="0.25">
      <c r="A265" s="26"/>
      <c r="B265" s="11" t="str">
        <f>CONCATENATE("          ", "6376", " - ", "TRAINING")</f>
        <v xml:space="preserve">          6376 - TRAINING</v>
      </c>
      <c r="C265" s="11"/>
      <c r="D265" s="6"/>
      <c r="E265" s="2"/>
      <c r="F265" s="7">
        <f t="shared" si="121"/>
        <v>0</v>
      </c>
      <c r="G265" s="2"/>
      <c r="H265" s="6">
        <v>1751.17</v>
      </c>
      <c r="I265" s="2"/>
      <c r="J265" s="7">
        <f t="shared" si="122"/>
        <v>2.4304362112331176E-3</v>
      </c>
      <c r="K265" s="2"/>
      <c r="L265" s="6">
        <f t="shared" si="123"/>
        <v>-1751.17</v>
      </c>
      <c r="M265" s="2"/>
      <c r="N265" s="7">
        <f t="shared" si="124"/>
        <v>-1</v>
      </c>
      <c r="O265" s="11"/>
      <c r="P265" s="6">
        <v>8727.44</v>
      </c>
      <c r="Q265" s="2"/>
      <c r="R265" s="7">
        <f t="shared" si="125"/>
        <v>1.2294652066258791E-3</v>
      </c>
      <c r="S265" s="2"/>
      <c r="T265" s="6">
        <v>5021.88</v>
      </c>
      <c r="U265" s="2"/>
      <c r="V265" s="7">
        <f t="shared" si="126"/>
        <v>6.7365090325726133E-4</v>
      </c>
      <c r="W265" s="2"/>
      <c r="X265" s="6">
        <f t="shared" si="127"/>
        <v>3705.5600000000004</v>
      </c>
      <c r="Y265" s="2"/>
      <c r="Z265" s="7">
        <f t="shared" si="128"/>
        <v>0.73788302388746851</v>
      </c>
    </row>
    <row r="266" spans="1:26" s="27" customFormat="1" outlineLevel="1" collapsed="1" x14ac:dyDescent="0.25">
      <c r="A266" s="25"/>
      <c r="B266" s="13" t="str">
        <f>CONCATENATE("     ","Travel                                            ")</f>
        <v xml:space="preserve">     Travel                                            </v>
      </c>
      <c r="C266" s="13"/>
      <c r="D266" s="1">
        <f>SUM(OSRRefD22_23x_0)</f>
        <v>-159.65</v>
      </c>
      <c r="E266" s="1"/>
      <c r="F266" s="5">
        <f t="shared" si="121"/>
        <v>-3.0208021346976539E-4</v>
      </c>
      <c r="G266" s="1"/>
      <c r="H266" s="1">
        <f>SUM(OSRRefH22_23x_0)</f>
        <v>162.68</v>
      </c>
      <c r="I266" s="1"/>
      <c r="J266" s="5">
        <f t="shared" si="122"/>
        <v>2.2578239853549546E-4</v>
      </c>
      <c r="K266" s="1"/>
      <c r="L266" s="1">
        <f t="shared" si="123"/>
        <v>-322.33000000000004</v>
      </c>
      <c r="M266" s="1"/>
      <c r="N266" s="5">
        <f t="shared" si="124"/>
        <v>-1.9813744775018443</v>
      </c>
      <c r="O266" s="13"/>
      <c r="P266" s="1">
        <f>SUM(OSRRefP22_23x_0)</f>
        <v>1264.04</v>
      </c>
      <c r="Q266" s="1"/>
      <c r="R266" s="5">
        <f t="shared" si="125"/>
        <v>1.7806976613799418E-4</v>
      </c>
      <c r="S266" s="1"/>
      <c r="T266" s="1">
        <f>SUM(OSRRefT22_23x_0)</f>
        <v>1459.6</v>
      </c>
      <c r="U266" s="1"/>
      <c r="V266" s="5">
        <f t="shared" si="126"/>
        <v>1.9579537113477395E-4</v>
      </c>
      <c r="W266" s="1"/>
      <c r="X266" s="1">
        <f t="shared" si="127"/>
        <v>-195.55999999999995</v>
      </c>
      <c r="Y266" s="1"/>
      <c r="Z266" s="5">
        <f t="shared" si="128"/>
        <v>-0.13398191285283637</v>
      </c>
    </row>
    <row r="267" spans="1:26" s="24" customFormat="1" hidden="1" outlineLevel="2" x14ac:dyDescent="0.25">
      <c r="A267" s="26"/>
      <c r="B267" s="11" t="str">
        <f>CONCATENATE("          ", "6292", " - ", "TRAVEL/CONFERENCE")</f>
        <v xml:space="preserve">          6292 - TRAVEL/CONFERENCE</v>
      </c>
      <c r="C267" s="11"/>
      <c r="D267" s="6">
        <v>-323.01</v>
      </c>
      <c r="E267" s="2"/>
      <c r="F267" s="7">
        <f t="shared" si="121"/>
        <v>-6.11180267791224E-4</v>
      </c>
      <c r="G267" s="2"/>
      <c r="H267" s="6">
        <v>62.4</v>
      </c>
      <c r="I267" s="2"/>
      <c r="J267" s="7">
        <f t="shared" si="122"/>
        <v>8.660450988821562E-5</v>
      </c>
      <c r="K267" s="2"/>
      <c r="L267" s="6">
        <f t="shared" si="123"/>
        <v>-385.40999999999997</v>
      </c>
      <c r="M267" s="2"/>
      <c r="N267" s="7">
        <f t="shared" si="124"/>
        <v>-6.176442307692307</v>
      </c>
      <c r="O267" s="11"/>
      <c r="P267" s="6">
        <v>187.54</v>
      </c>
      <c r="Q267" s="2"/>
      <c r="R267" s="7">
        <f t="shared" si="125"/>
        <v>2.6419420225245584E-5</v>
      </c>
      <c r="S267" s="2"/>
      <c r="T267" s="6">
        <v>804.54</v>
      </c>
      <c r="U267" s="2"/>
      <c r="V267" s="7">
        <f t="shared" si="126"/>
        <v>1.0792354610357018E-4</v>
      </c>
      <c r="W267" s="2"/>
      <c r="X267" s="6">
        <f t="shared" si="127"/>
        <v>-617</v>
      </c>
      <c r="Y267" s="2"/>
      <c r="Z267" s="7">
        <f t="shared" si="128"/>
        <v>-0.76689785467472105</v>
      </c>
    </row>
    <row r="268" spans="1:26" s="24" customFormat="1" hidden="1" outlineLevel="2" x14ac:dyDescent="0.25">
      <c r="A268" s="26"/>
      <c r="B268" s="11" t="str">
        <f>CONCATENATE("          ", "6294", " - ", "TRAVEL OPERATIONAL")</f>
        <v xml:space="preserve">          6294 - TRAVEL OPERATIONAL</v>
      </c>
      <c r="C268" s="11"/>
      <c r="D268" s="6">
        <v>125.14</v>
      </c>
      <c r="E268" s="2"/>
      <c r="F268" s="7">
        <f t="shared" si="121"/>
        <v>2.3678244856627898E-4</v>
      </c>
      <c r="G268" s="2"/>
      <c r="H268" s="6">
        <v>38.18</v>
      </c>
      <c r="I268" s="2"/>
      <c r="J268" s="7">
        <f t="shared" si="122"/>
        <v>5.2989746595065261E-5</v>
      </c>
      <c r="K268" s="2"/>
      <c r="L268" s="6">
        <f t="shared" si="123"/>
        <v>86.960000000000008</v>
      </c>
      <c r="M268" s="2"/>
      <c r="N268" s="7">
        <f t="shared" si="124"/>
        <v>2.2776322682032482</v>
      </c>
      <c r="O268" s="11"/>
      <c r="P268" s="6">
        <v>818.94</v>
      </c>
      <c r="Q268" s="2"/>
      <c r="R268" s="7">
        <f t="shared" si="125"/>
        <v>1.1536696171090231E-4</v>
      </c>
      <c r="S268" s="2"/>
      <c r="T268" s="6">
        <v>431.48</v>
      </c>
      <c r="U268" s="2"/>
      <c r="V268" s="7">
        <f t="shared" si="126"/>
        <v>5.7880095051543074E-5</v>
      </c>
      <c r="W268" s="2"/>
      <c r="X268" s="6">
        <f t="shared" si="127"/>
        <v>387.46000000000004</v>
      </c>
      <c r="Y268" s="2"/>
      <c r="Z268" s="7">
        <f t="shared" si="128"/>
        <v>0.89797904885510338</v>
      </c>
    </row>
    <row r="269" spans="1:26" s="24" customFormat="1" hidden="1" outlineLevel="2" x14ac:dyDescent="0.25">
      <c r="A269" s="26"/>
      <c r="B269" s="11" t="str">
        <f>CONCATENATE("          ", "6298", " - ", "VEHICLE MILEAGE")</f>
        <v xml:space="preserve">          6298 - VEHICLE MILEAGE</v>
      </c>
      <c r="C269" s="11"/>
      <c r="D269" s="6">
        <v>38.22</v>
      </c>
      <c r="E269" s="2"/>
      <c r="F269" s="7">
        <f t="shared" si="121"/>
        <v>7.2317605755179652E-5</v>
      </c>
      <c r="G269" s="2"/>
      <c r="H269" s="6">
        <v>62.1</v>
      </c>
      <c r="I269" s="2"/>
      <c r="J269" s="7">
        <f t="shared" si="122"/>
        <v>8.6188142052214578E-5</v>
      </c>
      <c r="K269" s="2"/>
      <c r="L269" s="6">
        <f t="shared" si="123"/>
        <v>-23.880000000000003</v>
      </c>
      <c r="M269" s="2"/>
      <c r="N269" s="7">
        <f t="shared" si="124"/>
        <v>-0.3845410628019324</v>
      </c>
      <c r="O269" s="11"/>
      <c r="P269" s="6">
        <v>257.56</v>
      </c>
      <c r="Q269" s="2"/>
      <c r="R269" s="7">
        <f t="shared" si="125"/>
        <v>3.6283384201846286E-5</v>
      </c>
      <c r="S269" s="2"/>
      <c r="T269" s="6">
        <v>223.58</v>
      </c>
      <c r="U269" s="2"/>
      <c r="V269" s="7">
        <f t="shared" si="126"/>
        <v>2.9991729979660704E-5</v>
      </c>
      <c r="W269" s="2"/>
      <c r="X269" s="6">
        <f t="shared" si="127"/>
        <v>33.97999999999999</v>
      </c>
      <c r="Y269" s="2"/>
      <c r="Z269" s="7">
        <f t="shared" si="128"/>
        <v>0.15198139368458713</v>
      </c>
    </row>
    <row r="270" spans="1:26" s="27" customFormat="1" outlineLevel="1" collapsed="1" x14ac:dyDescent="0.25">
      <c r="A270" s="25"/>
      <c r="B270" s="13" t="str">
        <f>CONCATENATE("     ","Utilities                                         ")</f>
        <v xml:space="preserve">     Utilities                                         </v>
      </c>
      <c r="C270" s="13"/>
      <c r="D270" s="1">
        <f>SUM(OSRRefD22_24x_0)</f>
        <v>9435.76</v>
      </c>
      <c r="E270" s="1"/>
      <c r="F270" s="5">
        <f t="shared" ref="F270:F271" si="129">IF(D$12=0,0,D270/D$12)</f>
        <v>1.7853782618537258E-2</v>
      </c>
      <c r="G270" s="1"/>
      <c r="H270" s="1">
        <f>SUM(OSRRefH22_24x_0)</f>
        <v>5646.49</v>
      </c>
      <c r="I270" s="1"/>
      <c r="J270" s="5">
        <f t="shared" ref="J270:J271" si="130">IF(H$12=0,0,H270/H$12)</f>
        <v>7.836722741004977E-3</v>
      </c>
      <c r="K270" s="1"/>
      <c r="L270" s="1">
        <f t="shared" ref="L270:L271" si="131">+D270-H270</f>
        <v>3789.2700000000004</v>
      </c>
      <c r="M270" s="1"/>
      <c r="N270" s="5">
        <f t="shared" ref="N270:N271" si="132">IF(H270=0,0,L270/H270)</f>
        <v>0.67108416024822515</v>
      </c>
      <c r="O270" s="13"/>
      <c r="P270" s="1">
        <f>SUM(OSRRefP22_24x_0)</f>
        <v>32034.68</v>
      </c>
      <c r="Q270" s="1"/>
      <c r="R270" s="5">
        <f t="shared" ref="R270:R271" si="133">IF(P$12=0,0,P270/P$12)</f>
        <v>4.5128381822612251E-3</v>
      </c>
      <c r="S270" s="1"/>
      <c r="T270" s="1">
        <f>SUM(OSRRefT22_24x_0)</f>
        <v>26568.73</v>
      </c>
      <c r="U270" s="1"/>
      <c r="V270" s="5">
        <f t="shared" ref="V270:V271" si="134">IF(T$12=0,0,T270/T$12)</f>
        <v>3.5640136687651431E-3</v>
      </c>
      <c r="W270" s="1"/>
      <c r="X270" s="1">
        <f t="shared" ref="X270:X271" si="135">+P270-T270</f>
        <v>5465.9500000000007</v>
      </c>
      <c r="Y270" s="1"/>
      <c r="Z270" s="5">
        <f t="shared" ref="Z270:Z271" si="136">IF(T270=0,0,X270/T270)</f>
        <v>0.20572868932764196</v>
      </c>
    </row>
    <row r="271" spans="1:26" s="24" customFormat="1" hidden="1" outlineLevel="2" x14ac:dyDescent="0.25">
      <c r="A271" s="26"/>
      <c r="B271" s="11" t="str">
        <f>CONCATENATE("          ", "6274", " - ", "UTILITIES")</f>
        <v xml:space="preserve">          6274 - UTILITIES</v>
      </c>
      <c r="C271" s="11"/>
      <c r="D271" s="6">
        <v>9435.76</v>
      </c>
      <c r="E271" s="2"/>
      <c r="F271" s="7">
        <f t="shared" si="129"/>
        <v>1.7853782618537258E-2</v>
      </c>
      <c r="G271" s="2"/>
      <c r="H271" s="6">
        <v>5646.49</v>
      </c>
      <c r="I271" s="2"/>
      <c r="J271" s="7">
        <f t="shared" si="130"/>
        <v>7.836722741004977E-3</v>
      </c>
      <c r="K271" s="2"/>
      <c r="L271" s="6">
        <f t="shared" si="131"/>
        <v>3789.2700000000004</v>
      </c>
      <c r="M271" s="2"/>
      <c r="N271" s="7">
        <f t="shared" si="132"/>
        <v>0.67108416024822515</v>
      </c>
      <c r="O271" s="11"/>
      <c r="P271" s="6">
        <v>32034.68</v>
      </c>
      <c r="Q271" s="2"/>
      <c r="R271" s="7">
        <f t="shared" si="133"/>
        <v>4.5128381822612251E-3</v>
      </c>
      <c r="S271" s="2"/>
      <c r="T271" s="6">
        <v>26568.73</v>
      </c>
      <c r="U271" s="2"/>
      <c r="V271" s="7">
        <f t="shared" si="134"/>
        <v>3.5640136687651431E-3</v>
      </c>
      <c r="W271" s="2"/>
      <c r="X271" s="6">
        <f t="shared" si="135"/>
        <v>5465.9500000000007</v>
      </c>
      <c r="Y271" s="2"/>
      <c r="Z271" s="7">
        <f t="shared" si="136"/>
        <v>0.20572868932764196</v>
      </c>
    </row>
    <row r="272" spans="1:26" s="61" customFormat="1" x14ac:dyDescent="0.25">
      <c r="A272" s="37"/>
      <c r="B272" s="37"/>
      <c r="C272" s="37"/>
      <c r="D272" s="1"/>
      <c r="E272" s="1"/>
      <c r="F272" s="5"/>
      <c r="G272" s="1"/>
      <c r="H272" s="1"/>
      <c r="I272" s="1"/>
      <c r="J272" s="5"/>
      <c r="K272" s="1"/>
      <c r="L272" s="1"/>
      <c r="M272" s="1"/>
      <c r="N272" s="5"/>
      <c r="O272" s="37"/>
      <c r="P272" s="1"/>
      <c r="Q272" s="1"/>
      <c r="R272" s="5"/>
      <c r="S272" s="1"/>
      <c r="T272" s="1"/>
      <c r="U272" s="1"/>
      <c r="V272" s="5"/>
      <c r="W272" s="1"/>
      <c r="X272" s="1"/>
      <c r="Y272" s="1"/>
      <c r="Z272" s="5"/>
    </row>
    <row r="273" spans="1:26" s="23" customFormat="1" collapsed="1" x14ac:dyDescent="0.25">
      <c r="A273" s="10"/>
      <c r="B273" s="28" t="s">
        <v>0</v>
      </c>
      <c r="C273" s="10"/>
      <c r="D273" s="4">
        <f>SUM(OSRRefD25x_0)</f>
        <v>23070.62</v>
      </c>
      <c r="E273" s="4"/>
      <c r="F273" s="12">
        <f t="shared" ref="F273:F285" si="137">IF(D$12=0,0,D273/D$12)</f>
        <v>4.365285195414869E-2</v>
      </c>
      <c r="G273" s="4"/>
      <c r="H273" s="4">
        <f>SUM(OSRRefH25x_0)</f>
        <v>24717.289999999997</v>
      </c>
      <c r="I273" s="4"/>
      <c r="J273" s="12">
        <f t="shared" ref="J273:J285" si="138">IF(H$12=0,0,H273/H$12)</f>
        <v>3.4304948497033541E-2</v>
      </c>
      <c r="K273" s="4"/>
      <c r="L273" s="4">
        <f t="shared" ref="L273:L285" si="139">+D273-H273</f>
        <v>-1646.6699999999983</v>
      </c>
      <c r="M273" s="4"/>
      <c r="N273" s="12">
        <f t="shared" ref="N273:N285" si="140">IF(H273=0,0,L273/H273)</f>
        <v>-6.662016750218161E-2</v>
      </c>
      <c r="O273" s="10"/>
      <c r="P273" s="4">
        <f>SUM(OSRRefP25x_0)</f>
        <v>430702.99</v>
      </c>
      <c r="Q273" s="4"/>
      <c r="R273" s="12">
        <f t="shared" ref="R273:R285" si="141">IF(P$12=0,0,P273/P$12)</f>
        <v>6.0674646929080443E-2</v>
      </c>
      <c r="S273" s="4"/>
      <c r="T273" s="4">
        <f>SUM(OSRRefT25x_0)</f>
        <v>397920.65</v>
      </c>
      <c r="U273" s="4"/>
      <c r="V273" s="12">
        <f t="shared" ref="V273:V285" si="142">IF(T$12=0,0,T273/T$12)</f>
        <v>5.3378337454741367E-2</v>
      </c>
      <c r="W273" s="4"/>
      <c r="X273" s="4">
        <f t="shared" ref="X273:X285" si="143">+P273-T273</f>
        <v>32782.339999999967</v>
      </c>
      <c r="Y273" s="4"/>
      <c r="Z273" s="12">
        <f t="shared" ref="Z273:Z285" si="144">IF(T273=0,0,X273/T273)</f>
        <v>8.2384113516099172E-2</v>
      </c>
    </row>
    <row r="274" spans="1:26" s="24" customFormat="1" hidden="1" outlineLevel="1" x14ac:dyDescent="0.25">
      <c r="A274" s="44"/>
      <c r="B274" s="11" t="str">
        <f>CONCATENATE("          ", "4098", " - ", "TAXABLE SALES-GRAD RENTALS")</f>
        <v xml:space="preserve">          4098 - TAXABLE SALES-GRAD RENTALS</v>
      </c>
      <c r="C274" s="11"/>
      <c r="D274" s="2">
        <f>0</f>
        <v>0</v>
      </c>
      <c r="E274" s="2"/>
      <c r="F274" s="19">
        <f t="shared" si="137"/>
        <v>0</v>
      </c>
      <c r="G274" s="2"/>
      <c r="H274" s="2">
        <f>--1289</f>
        <v>1289</v>
      </c>
      <c r="I274" s="2"/>
      <c r="J274" s="19">
        <f t="shared" si="138"/>
        <v>1.7889938020177873E-3</v>
      </c>
      <c r="K274" s="2"/>
      <c r="L274" s="2">
        <f t="shared" si="139"/>
        <v>-1289</v>
      </c>
      <c r="M274" s="2"/>
      <c r="N274" s="19">
        <f t="shared" si="140"/>
        <v>-1</v>
      </c>
      <c r="O274" s="11"/>
      <c r="P274" s="2">
        <f>--1626.85</f>
        <v>1626.85</v>
      </c>
      <c r="Q274" s="2"/>
      <c r="R274" s="19">
        <f t="shared" si="141"/>
        <v>2.2918008847947518E-4</v>
      </c>
      <c r="S274" s="2"/>
      <c r="T274" s="2">
        <f>--2269.5</f>
        <v>2269.5</v>
      </c>
      <c r="U274" s="2"/>
      <c r="V274" s="19">
        <f t="shared" si="142"/>
        <v>3.044379246302888E-4</v>
      </c>
      <c r="W274" s="2"/>
      <c r="X274" s="2">
        <f t="shared" si="143"/>
        <v>-642.65000000000009</v>
      </c>
      <c r="Y274" s="2"/>
      <c r="Z274" s="19">
        <f t="shared" si="144"/>
        <v>-0.28316809870015425</v>
      </c>
    </row>
    <row r="275" spans="1:26" s="24" customFormat="1" hidden="1" outlineLevel="1" x14ac:dyDescent="0.25">
      <c r="A275" s="44"/>
      <c r="B275" s="11" t="str">
        <f>CONCATENATE("          ", "4187", " - ", "NON-TAXABLE SALES-COMPUTER REP")</f>
        <v xml:space="preserve">          4187 - NON-TAXABLE SALES-COMPUTER REP</v>
      </c>
      <c r="C275" s="11"/>
      <c r="D275" s="2">
        <f>--456.99</f>
        <v>456.99</v>
      </c>
      <c r="E275" s="2"/>
      <c r="F275" s="19">
        <f t="shared" si="137"/>
        <v>8.6468923741652413E-4</v>
      </c>
      <c r="G275" s="2"/>
      <c r="H275" s="2">
        <f>--348.37</f>
        <v>348.37</v>
      </c>
      <c r="I275" s="2"/>
      <c r="J275" s="19">
        <f t="shared" si="138"/>
        <v>4.8350021009227045E-4</v>
      </c>
      <c r="K275" s="2"/>
      <c r="L275" s="2">
        <f t="shared" si="139"/>
        <v>108.62</v>
      </c>
      <c r="M275" s="2"/>
      <c r="N275" s="19">
        <f t="shared" si="140"/>
        <v>0.31179493067715364</v>
      </c>
      <c r="O275" s="11"/>
      <c r="P275" s="2">
        <f>--13188.92</f>
        <v>13188.92</v>
      </c>
      <c r="Q275" s="2"/>
      <c r="R275" s="19">
        <f t="shared" si="141"/>
        <v>1.8579696054022929E-3</v>
      </c>
      <c r="S275" s="2"/>
      <c r="T275" s="2">
        <f>--5309.75</f>
        <v>5309.75</v>
      </c>
      <c r="U275" s="2"/>
      <c r="V275" s="19">
        <f t="shared" si="142"/>
        <v>7.1226669764515348E-4</v>
      </c>
      <c r="W275" s="2"/>
      <c r="X275" s="2">
        <f t="shared" si="143"/>
        <v>7879.17</v>
      </c>
      <c r="Y275" s="2"/>
      <c r="Z275" s="19">
        <f t="shared" si="144"/>
        <v>1.4839060219407694</v>
      </c>
    </row>
    <row r="276" spans="1:26" s="24" customFormat="1" hidden="1" outlineLevel="1" x14ac:dyDescent="0.25">
      <c r="A276" s="44"/>
      <c r="B276" s="11" t="str">
        <f>CONCATENATE("          ", "4197", " - ", "NON-TAXABLE SALES-RETURNED CHE")</f>
        <v xml:space="preserve">          4197 - NON-TAXABLE SALES-RETURNED CHE</v>
      </c>
      <c r="C276" s="11"/>
      <c r="D276" s="2">
        <f t="shared" ref="D276:D278" si="145">0</f>
        <v>0</v>
      </c>
      <c r="E276" s="2"/>
      <c r="F276" s="19">
        <f t="shared" si="137"/>
        <v>0</v>
      </c>
      <c r="G276" s="2"/>
      <c r="H276" s="2">
        <f t="shared" ref="H276:H279" si="146">0</f>
        <v>0</v>
      </c>
      <c r="I276" s="2"/>
      <c r="J276" s="19">
        <f t="shared" si="138"/>
        <v>0</v>
      </c>
      <c r="K276" s="2"/>
      <c r="L276" s="2">
        <f t="shared" si="139"/>
        <v>0</v>
      </c>
      <c r="M276" s="2"/>
      <c r="N276" s="19">
        <f t="shared" si="140"/>
        <v>0</v>
      </c>
      <c r="O276" s="11"/>
      <c r="P276" s="2">
        <f>--30</f>
        <v>30</v>
      </c>
      <c r="Q276" s="2"/>
      <c r="R276" s="19">
        <f t="shared" si="141"/>
        <v>4.226205645501587E-6</v>
      </c>
      <c r="S276" s="2"/>
      <c r="T276" s="2">
        <f>--260</f>
        <v>260</v>
      </c>
      <c r="U276" s="2"/>
      <c r="V276" s="19">
        <f t="shared" si="142"/>
        <v>3.4877224236120325E-5</v>
      </c>
      <c r="W276" s="2"/>
      <c r="X276" s="2">
        <f t="shared" si="143"/>
        <v>-230</v>
      </c>
      <c r="Y276" s="2"/>
      <c r="Z276" s="19">
        <f t="shared" si="144"/>
        <v>-0.88461538461538458</v>
      </c>
    </row>
    <row r="277" spans="1:26" s="24" customFormat="1" hidden="1" outlineLevel="1" x14ac:dyDescent="0.25">
      <c r="A277" s="44"/>
      <c r="B277" s="11" t="str">
        <f>CONCATENATE("          ", "4198", " - ", "NON-TAXABLE SALES-GRAD RENTALS")</f>
        <v xml:space="preserve">          4198 - NON-TAXABLE SALES-GRAD RENTALS</v>
      </c>
      <c r="C277" s="11"/>
      <c r="D277" s="2">
        <f t="shared" si="145"/>
        <v>0</v>
      </c>
      <c r="E277" s="2"/>
      <c r="F277" s="19">
        <f t="shared" si="137"/>
        <v>0</v>
      </c>
      <c r="G277" s="2"/>
      <c r="H277" s="2">
        <f t="shared" si="146"/>
        <v>0</v>
      </c>
      <c r="I277" s="2"/>
      <c r="J277" s="19">
        <f t="shared" si="138"/>
        <v>0</v>
      </c>
      <c r="K277" s="2"/>
      <c r="L277" s="2">
        <f t="shared" si="139"/>
        <v>0</v>
      </c>
      <c r="M277" s="2"/>
      <c r="N277" s="19">
        <f t="shared" si="140"/>
        <v>0</v>
      </c>
      <c r="O277" s="11"/>
      <c r="P277" s="2">
        <f>--495</f>
        <v>495</v>
      </c>
      <c r="Q277" s="2"/>
      <c r="R277" s="19">
        <f t="shared" si="141"/>
        <v>6.9732393150776179E-5</v>
      </c>
      <c r="S277" s="2"/>
      <c r="T277" s="2">
        <f>--450</f>
        <v>450</v>
      </c>
      <c r="U277" s="2"/>
      <c r="V277" s="19">
        <f t="shared" si="142"/>
        <v>6.0364426562515955E-5</v>
      </c>
      <c r="W277" s="2"/>
      <c r="X277" s="2">
        <f t="shared" si="143"/>
        <v>45</v>
      </c>
      <c r="Y277" s="2"/>
      <c r="Z277" s="19">
        <f t="shared" si="144"/>
        <v>0.1</v>
      </c>
    </row>
    <row r="278" spans="1:26" s="24" customFormat="1" hidden="1" outlineLevel="1" x14ac:dyDescent="0.25">
      <c r="A278" s="44"/>
      <c r="B278" s="11" t="str">
        <f>CONCATENATE("          ", "4387", " - ", "SALES RETURN NON TAXABLE-COMPU")</f>
        <v xml:space="preserve">          4387 - SALES RETURN NON TAXABLE-COMPU</v>
      </c>
      <c r="C278" s="11"/>
      <c r="D278" s="2">
        <f t="shared" si="145"/>
        <v>0</v>
      </c>
      <c r="E278" s="2"/>
      <c r="F278" s="19">
        <f t="shared" si="137"/>
        <v>0</v>
      </c>
      <c r="G278" s="2"/>
      <c r="H278" s="2">
        <f t="shared" si="146"/>
        <v>0</v>
      </c>
      <c r="I278" s="2"/>
      <c r="J278" s="19">
        <f t="shared" si="138"/>
        <v>0</v>
      </c>
      <c r="K278" s="2"/>
      <c r="L278" s="2">
        <f t="shared" si="139"/>
        <v>0</v>
      </c>
      <c r="M278" s="2"/>
      <c r="N278" s="19">
        <f t="shared" si="140"/>
        <v>0</v>
      </c>
      <c r="O278" s="11"/>
      <c r="P278" s="2">
        <f>-7889</f>
        <v>-7889</v>
      </c>
      <c r="Q278" s="2"/>
      <c r="R278" s="19">
        <f t="shared" si="141"/>
        <v>-1.1113512112454005E-3</v>
      </c>
      <c r="S278" s="2"/>
      <c r="T278" s="2">
        <f t="shared" ref="T278:T279" si="147">0</f>
        <v>0</v>
      </c>
      <c r="U278" s="2"/>
      <c r="V278" s="19">
        <f t="shared" si="142"/>
        <v>0</v>
      </c>
      <c r="W278" s="2"/>
      <c r="X278" s="2">
        <f t="shared" si="143"/>
        <v>-7889</v>
      </c>
      <c r="Y278" s="2"/>
      <c r="Z278" s="19">
        <f t="shared" si="144"/>
        <v>0</v>
      </c>
    </row>
    <row r="279" spans="1:26" s="24" customFormat="1" hidden="1" outlineLevel="1" x14ac:dyDescent="0.25">
      <c r="A279" s="44"/>
      <c r="B279" s="11" t="str">
        <f>CONCATENATE("          ", "5087", " - ", "PURCHASES @ COST-COMPUTER REPA")</f>
        <v xml:space="preserve">          5087 - PURCHASES @ COST-COMPUTER REPA</v>
      </c>
      <c r="C279" s="11"/>
      <c r="D279" s="2">
        <f>-56.72</f>
        <v>-56.72</v>
      </c>
      <c r="E279" s="2"/>
      <c r="F279" s="19">
        <f t="shared" si="137"/>
        <v>-1.0732220299408137E-4</v>
      </c>
      <c r="G279" s="2"/>
      <c r="H279" s="2">
        <f t="shared" si="146"/>
        <v>0</v>
      </c>
      <c r="I279" s="2"/>
      <c r="J279" s="19">
        <f t="shared" si="138"/>
        <v>0</v>
      </c>
      <c r="K279" s="2"/>
      <c r="L279" s="2">
        <f t="shared" si="139"/>
        <v>-56.72</v>
      </c>
      <c r="M279" s="2"/>
      <c r="N279" s="19">
        <f t="shared" si="140"/>
        <v>0</v>
      </c>
      <c r="O279" s="11"/>
      <c r="P279" s="2">
        <f>-56.72</f>
        <v>-56.72</v>
      </c>
      <c r="Q279" s="2"/>
      <c r="R279" s="19">
        <f t="shared" si="141"/>
        <v>-7.9903461404283332E-6</v>
      </c>
      <c r="S279" s="2"/>
      <c r="T279" s="2">
        <f t="shared" si="147"/>
        <v>0</v>
      </c>
      <c r="U279" s="2"/>
      <c r="V279" s="19">
        <f t="shared" si="142"/>
        <v>0</v>
      </c>
      <c r="W279" s="2"/>
      <c r="X279" s="2">
        <f t="shared" si="143"/>
        <v>-56.72</v>
      </c>
      <c r="Y279" s="2"/>
      <c r="Z279" s="19">
        <f t="shared" si="144"/>
        <v>0</v>
      </c>
    </row>
    <row r="280" spans="1:26" s="24" customFormat="1" hidden="1" outlineLevel="1" x14ac:dyDescent="0.25">
      <c r="A280" s="44"/>
      <c r="B280" s="11" t="str">
        <f>CONCATENATE("          ", "9150", " - ", "MISC. INCOME")</f>
        <v xml:space="preserve">          9150 - MISC. INCOME</v>
      </c>
      <c r="C280" s="11"/>
      <c r="D280" s="2">
        <f>--19019.67</f>
        <v>19019.669999999998</v>
      </c>
      <c r="E280" s="2"/>
      <c r="F280" s="19">
        <f t="shared" si="137"/>
        <v>3.5987885836044418E-2</v>
      </c>
      <c r="G280" s="2"/>
      <c r="H280" s="2">
        <f>--22489.75</f>
        <v>22489.75</v>
      </c>
      <c r="I280" s="2"/>
      <c r="J280" s="19">
        <f t="shared" si="138"/>
        <v>3.1213361799014377E-2</v>
      </c>
      <c r="K280" s="2"/>
      <c r="L280" s="2">
        <f t="shared" si="139"/>
        <v>-3470.0800000000017</v>
      </c>
      <c r="M280" s="2"/>
      <c r="N280" s="19">
        <f t="shared" si="140"/>
        <v>-0.15429606820885078</v>
      </c>
      <c r="O280" s="11"/>
      <c r="P280" s="2">
        <f>--247553.12</f>
        <v>247553.12</v>
      </c>
      <c r="Q280" s="2"/>
      <c r="R280" s="19">
        <f t="shared" si="141"/>
        <v>3.4873679776851053E-2</v>
      </c>
      <c r="S280" s="2"/>
      <c r="T280" s="2">
        <f>--384846.55</f>
        <v>384846.55</v>
      </c>
      <c r="U280" s="2"/>
      <c r="V280" s="19">
        <f t="shared" si="142"/>
        <v>5.1624536234028053E-2</v>
      </c>
      <c r="W280" s="2"/>
      <c r="X280" s="2">
        <f t="shared" si="143"/>
        <v>-137293.43</v>
      </c>
      <c r="Y280" s="2"/>
      <c r="Z280" s="19">
        <f t="shared" si="144"/>
        <v>-0.3567485014481746</v>
      </c>
    </row>
    <row r="281" spans="1:26" s="24" customFormat="1" hidden="1" outlineLevel="1" x14ac:dyDescent="0.25">
      <c r="A281" s="44"/>
      <c r="B281" s="11" t="str">
        <f>CONCATENATE("          ", "9151", " - ", "MISC. INCOME")</f>
        <v xml:space="preserve">          9151 - MISC. INCOME</v>
      </c>
      <c r="C281" s="11"/>
      <c r="D281" s="2">
        <f>--268.24</f>
        <v>268.24</v>
      </c>
      <c r="E281" s="2"/>
      <c r="F281" s="19">
        <f t="shared" si="137"/>
        <v>5.0754773856016204E-4</v>
      </c>
      <c r="G281" s="2"/>
      <c r="H281" s="2">
        <f>0</f>
        <v>0</v>
      </c>
      <c r="I281" s="2"/>
      <c r="J281" s="19">
        <f t="shared" si="138"/>
        <v>0</v>
      </c>
      <c r="K281" s="2"/>
      <c r="L281" s="2">
        <f t="shared" si="139"/>
        <v>268.24</v>
      </c>
      <c r="M281" s="2"/>
      <c r="N281" s="19">
        <f t="shared" si="140"/>
        <v>0</v>
      </c>
      <c r="O281" s="11"/>
      <c r="P281" s="2">
        <f>--87492.51</f>
        <v>87492.51</v>
      </c>
      <c r="Q281" s="2"/>
      <c r="R281" s="19">
        <f t="shared" si="141"/>
        <v>1.2325377990036799E-2</v>
      </c>
      <c r="S281" s="2"/>
      <c r="T281" s="2">
        <f>--649.77</f>
        <v>649.77</v>
      </c>
      <c r="U281" s="2"/>
      <c r="V281" s="19">
        <f t="shared" si="142"/>
        <v>8.7162207661168863E-5</v>
      </c>
      <c r="W281" s="2"/>
      <c r="X281" s="2">
        <f t="shared" si="143"/>
        <v>86842.739999999991</v>
      </c>
      <c r="Y281" s="2"/>
      <c r="Z281" s="19">
        <f t="shared" si="144"/>
        <v>133.65150745648458</v>
      </c>
    </row>
    <row r="282" spans="1:26" s="24" customFormat="1" hidden="1" outlineLevel="1" x14ac:dyDescent="0.25">
      <c r="A282" s="44"/>
      <c r="B282" s="11" t="str">
        <f>CONCATENATE("          ", "9152", " - ", "MISC. INCOME")</f>
        <v xml:space="preserve">          9152 - MISC. INCOME</v>
      </c>
      <c r="C282" s="11"/>
      <c r="D282" s="2">
        <f>--3382.44</f>
        <v>3382.44</v>
      </c>
      <c r="E282" s="2"/>
      <c r="F282" s="19">
        <f t="shared" si="137"/>
        <v>6.4000513451216608E-3</v>
      </c>
      <c r="G282" s="2"/>
      <c r="H282" s="2">
        <f>--590.17</f>
        <v>590.16999999999996</v>
      </c>
      <c r="I282" s="2"/>
      <c r="J282" s="19">
        <f t="shared" si="138"/>
        <v>8.1909268590910588E-4</v>
      </c>
      <c r="K282" s="2"/>
      <c r="L282" s="2">
        <f t="shared" si="139"/>
        <v>2792.27</v>
      </c>
      <c r="M282" s="2"/>
      <c r="N282" s="19">
        <f t="shared" si="140"/>
        <v>4.7312977616618941</v>
      </c>
      <c r="O282" s="11"/>
      <c r="P282" s="2">
        <f>--4230.76</f>
        <v>4230.76</v>
      </c>
      <c r="Q282" s="2"/>
      <c r="R282" s="19">
        <f t="shared" si="141"/>
        <v>5.9600205989207642E-4</v>
      </c>
      <c r="S282" s="2"/>
      <c r="T282" s="2">
        <f>--3845.08</f>
        <v>3845.08</v>
      </c>
      <c r="U282" s="2"/>
      <c r="V282" s="19">
        <f t="shared" si="142"/>
        <v>5.1579122063777523E-4</v>
      </c>
      <c r="W282" s="2"/>
      <c r="X282" s="2">
        <f t="shared" si="143"/>
        <v>385.68000000000029</v>
      </c>
      <c r="Y282" s="2"/>
      <c r="Z282" s="19">
        <f t="shared" si="144"/>
        <v>0.10030480510158445</v>
      </c>
    </row>
    <row r="283" spans="1:26" s="24" customFormat="1" hidden="1" outlineLevel="1" x14ac:dyDescent="0.25">
      <c r="A283" s="44"/>
      <c r="B283" s="11" t="str">
        <f>CONCATENATE("          ", "9153", " - ", "MISC. INCOME")</f>
        <v xml:space="preserve">          9153 - MISC. INCOME</v>
      </c>
      <c r="C283" s="11"/>
      <c r="D283" s="2">
        <f t="shared" ref="D283:D285" si="148">0</f>
        <v>0</v>
      </c>
      <c r="E283" s="2"/>
      <c r="F283" s="19">
        <f t="shared" si="137"/>
        <v>0</v>
      </c>
      <c r="G283" s="2"/>
      <c r="H283" s="2">
        <f t="shared" ref="H283:H285" si="149">0</f>
        <v>0</v>
      </c>
      <c r="I283" s="2"/>
      <c r="J283" s="19">
        <f t="shared" si="138"/>
        <v>0</v>
      </c>
      <c r="K283" s="2"/>
      <c r="L283" s="2">
        <f t="shared" si="139"/>
        <v>0</v>
      </c>
      <c r="M283" s="2"/>
      <c r="N283" s="19">
        <f t="shared" si="140"/>
        <v>0</v>
      </c>
      <c r="O283" s="11"/>
      <c r="P283" s="2">
        <f>--450</f>
        <v>450</v>
      </c>
      <c r="Q283" s="2"/>
      <c r="R283" s="19">
        <f t="shared" si="141"/>
        <v>6.3393084682523805E-5</v>
      </c>
      <c r="S283" s="2"/>
      <c r="T283" s="2">
        <f>0</f>
        <v>0</v>
      </c>
      <c r="U283" s="2"/>
      <c r="V283" s="19">
        <f t="shared" si="142"/>
        <v>0</v>
      </c>
      <c r="W283" s="2"/>
      <c r="X283" s="2">
        <f t="shared" si="143"/>
        <v>450</v>
      </c>
      <c r="Y283" s="2"/>
      <c r="Z283" s="19">
        <f t="shared" si="144"/>
        <v>0</v>
      </c>
    </row>
    <row r="284" spans="1:26" s="24" customFormat="1" hidden="1" outlineLevel="1" x14ac:dyDescent="0.25">
      <c r="A284" s="44"/>
      <c r="B284" s="11" t="str">
        <f>CONCATENATE("          ", "9160", " - ", "MISC. INCOME")</f>
        <v xml:space="preserve">          9160 - MISC. INCOME</v>
      </c>
      <c r="C284" s="11"/>
      <c r="D284" s="2">
        <f t="shared" si="148"/>
        <v>0</v>
      </c>
      <c r="E284" s="2"/>
      <c r="F284" s="19">
        <f t="shared" si="137"/>
        <v>0</v>
      </c>
      <c r="G284" s="2"/>
      <c r="H284" s="2">
        <f t="shared" si="149"/>
        <v>0</v>
      </c>
      <c r="I284" s="2"/>
      <c r="J284" s="19">
        <f t="shared" si="138"/>
        <v>0</v>
      </c>
      <c r="K284" s="2"/>
      <c r="L284" s="2">
        <f t="shared" si="139"/>
        <v>0</v>
      </c>
      <c r="M284" s="2"/>
      <c r="N284" s="19">
        <f t="shared" si="140"/>
        <v>0</v>
      </c>
      <c r="O284" s="11"/>
      <c r="P284" s="2">
        <f>--22475</f>
        <v>22475</v>
      </c>
      <c r="Q284" s="2"/>
      <c r="R284" s="19">
        <f t="shared" si="141"/>
        <v>3.1661323960882719E-3</v>
      </c>
      <c r="S284" s="2"/>
      <c r="T284" s="2">
        <f>--290</f>
        <v>290</v>
      </c>
      <c r="U284" s="2"/>
      <c r="V284" s="19">
        <f t="shared" si="142"/>
        <v>3.8901519340288059E-5</v>
      </c>
      <c r="W284" s="2"/>
      <c r="X284" s="2">
        <f t="shared" si="143"/>
        <v>22185</v>
      </c>
      <c r="Y284" s="2"/>
      <c r="Z284" s="19">
        <f t="shared" si="144"/>
        <v>76.5</v>
      </c>
    </row>
    <row r="285" spans="1:26" s="24" customFormat="1" hidden="1" outlineLevel="1" x14ac:dyDescent="0.25">
      <c r="A285" s="44"/>
      <c r="B285" s="11" t="str">
        <f>CONCATENATE("          ", "9163", " - ", "MISC. INCOME")</f>
        <v xml:space="preserve">          9163 - MISC. INCOME</v>
      </c>
      <c r="C285" s="11"/>
      <c r="D285" s="2">
        <f t="shared" si="148"/>
        <v>0</v>
      </c>
      <c r="E285" s="2"/>
      <c r="F285" s="19">
        <f t="shared" si="137"/>
        <v>0</v>
      </c>
      <c r="G285" s="2"/>
      <c r="H285" s="2">
        <f t="shared" si="149"/>
        <v>0</v>
      </c>
      <c r="I285" s="2"/>
      <c r="J285" s="19">
        <f t="shared" si="138"/>
        <v>0</v>
      </c>
      <c r="K285" s="2"/>
      <c r="L285" s="2">
        <f t="shared" si="139"/>
        <v>0</v>
      </c>
      <c r="M285" s="2"/>
      <c r="N285" s="19">
        <f t="shared" si="140"/>
        <v>0</v>
      </c>
      <c r="O285" s="11"/>
      <c r="P285" s="2">
        <f>--61106.55</f>
        <v>61106.55</v>
      </c>
      <c r="Q285" s="2"/>
      <c r="R285" s="19">
        <f t="shared" si="141"/>
        <v>8.608294886237499E-3</v>
      </c>
      <c r="S285" s="2"/>
      <c r="T285" s="2">
        <f>0</f>
        <v>0</v>
      </c>
      <c r="U285" s="2"/>
      <c r="V285" s="19">
        <f t="shared" si="142"/>
        <v>0</v>
      </c>
      <c r="W285" s="2"/>
      <c r="X285" s="2">
        <f t="shared" si="143"/>
        <v>61106.55</v>
      </c>
      <c r="Y285" s="2"/>
      <c r="Z285" s="19">
        <f t="shared" si="144"/>
        <v>0</v>
      </c>
    </row>
    <row r="286" spans="1:26" x14ac:dyDescent="0.25">
      <c r="A286" s="9"/>
      <c r="B286" s="10"/>
      <c r="C286" s="10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O286" s="10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s="23" customFormat="1" x14ac:dyDescent="0.25">
      <c r="A287" s="10"/>
      <c r="B287" s="29" t="s">
        <v>3</v>
      </c>
      <c r="C287" s="29"/>
      <c r="D287" s="20">
        <f>+D184-D186+D273</f>
        <v>-70527.220000000321</v>
      </c>
      <c r="E287" s="14"/>
      <c r="F287" s="21">
        <f>IF(D$12=0,0,D287/D$12)</f>
        <v>-0.13344740164753649</v>
      </c>
      <c r="G287" s="14"/>
      <c r="H287" s="20">
        <f>+H184-H186+H273</f>
        <v>-15246.489999999623</v>
      </c>
      <c r="I287" s="14"/>
      <c r="J287" s="21">
        <f>IF(H$12=0,0,H287/H$12)</f>
        <v>-2.1160493493037627E-2</v>
      </c>
      <c r="K287" s="15"/>
      <c r="L287" s="20">
        <f>+D287-H287</f>
        <v>-55280.730000000694</v>
      </c>
      <c r="M287" s="15"/>
      <c r="N287" s="21">
        <f>IF(H287=0,0,L287/H287)</f>
        <v>3.6258004301319229</v>
      </c>
      <c r="O287" s="28"/>
      <c r="P287" s="20">
        <f>+P184-P186+P273</f>
        <v>533274.92999999993</v>
      </c>
      <c r="Q287" s="14"/>
      <c r="R287" s="21">
        <f>IF(P$12=0,0,P287/P$12)</f>
        <v>7.5124317325682102E-2</v>
      </c>
      <c r="S287" s="14"/>
      <c r="T287" s="20">
        <f>+T184-T186+T273</f>
        <v>474610.97000000358</v>
      </c>
      <c r="U287" s="14"/>
      <c r="V287" s="21">
        <f>IF(T$12=0,0,T287/T$12)</f>
        <v>6.3665820098510392E-2</v>
      </c>
      <c r="W287" s="15"/>
      <c r="X287" s="20">
        <f>+P287-T287</f>
        <v>58663.959999996354</v>
      </c>
      <c r="Y287" s="15"/>
      <c r="Z287" s="21">
        <f>IF(T287=0,0,X287/T287)</f>
        <v>0.12360430691266136</v>
      </c>
    </row>
    <row r="288" spans="1:26" x14ac:dyDescent="0.25">
      <c r="A288" s="9"/>
      <c r="B288" s="10"/>
      <c r="C288" s="9"/>
      <c r="D288" s="3"/>
      <c r="E288" s="3"/>
      <c r="F288" s="8"/>
      <c r="G288" s="3"/>
      <c r="H288" s="3"/>
      <c r="I288" s="3"/>
      <c r="J288" s="8"/>
      <c r="K288" s="3"/>
      <c r="L288" s="3"/>
      <c r="M288" s="3"/>
      <c r="N288" s="8"/>
      <c r="P288" s="3"/>
      <c r="Q288" s="3"/>
      <c r="R288" s="8"/>
      <c r="S288" s="3"/>
      <c r="T288" s="3"/>
      <c r="U288" s="3"/>
      <c r="V288" s="8"/>
      <c r="W288" s="3"/>
      <c r="X288" s="3"/>
      <c r="Y288" s="3"/>
      <c r="Z288" s="8"/>
    </row>
    <row r="289" spans="1:26" s="23" customFormat="1" x14ac:dyDescent="0.25">
      <c r="A289" s="51"/>
      <c r="B289" s="10" t="s">
        <v>13</v>
      </c>
      <c r="C289" s="10"/>
      <c r="D289" s="4">
        <v>70974.47</v>
      </c>
      <c r="E289" s="4"/>
      <c r="F289" s="12">
        <f>IF(D$12=0,0,D289/D$12)</f>
        <v>0.13429366143754123</v>
      </c>
      <c r="G289" s="4"/>
      <c r="H289" s="4">
        <v>95888.2</v>
      </c>
      <c r="I289" s="4"/>
      <c r="J289" s="12">
        <f>IF(H$12=0,0,H289/H$12)</f>
        <v>0.133082541106782</v>
      </c>
      <c r="K289" s="4"/>
      <c r="L289" s="4">
        <f>+D289-H289</f>
        <v>-24913.729999999996</v>
      </c>
      <c r="M289" s="4"/>
      <c r="N289" s="12">
        <f>IF(H289=0,0,L289/H289)</f>
        <v>-0.25982060357791675</v>
      </c>
      <c r="O289" s="10"/>
      <c r="P289" s="4">
        <v>766699.8</v>
      </c>
      <c r="Q289" s="4"/>
      <c r="R289" s="12">
        <f>IF(P$12=0,0,P289/P$12)</f>
        <v>0.10800770077216458</v>
      </c>
      <c r="S289" s="4"/>
      <c r="T289" s="4">
        <v>804477.34000000008</v>
      </c>
      <c r="U289" s="4"/>
      <c r="V289" s="12">
        <f>IF(T$12=0,0,T289/T$12)</f>
        <v>0.10791514069252929</v>
      </c>
      <c r="W289" s="4"/>
      <c r="X289" s="4">
        <f>+P289-T289</f>
        <v>-37777.540000000037</v>
      </c>
      <c r="Y289" s="4"/>
      <c r="Z289" s="12">
        <f>IF(T289=0,0,X289/T289)</f>
        <v>-4.6959110122356006E-2</v>
      </c>
    </row>
    <row r="290" spans="1:26" x14ac:dyDescent="0.25">
      <c r="A290" s="9"/>
      <c r="B290" s="10"/>
      <c r="C290" s="10"/>
      <c r="D290" s="3"/>
      <c r="E290" s="3"/>
      <c r="F290" s="8"/>
      <c r="G290" s="3"/>
      <c r="H290" s="3"/>
      <c r="I290" s="3"/>
      <c r="J290" s="8"/>
      <c r="K290" s="3"/>
      <c r="L290" s="3"/>
      <c r="M290" s="3"/>
      <c r="N290" s="8"/>
      <c r="O290" s="10"/>
      <c r="P290" s="3"/>
      <c r="Q290" s="3"/>
      <c r="R290" s="8"/>
      <c r="S290" s="3"/>
      <c r="T290" s="3"/>
      <c r="U290" s="3"/>
      <c r="V290" s="8"/>
      <c r="W290" s="3"/>
      <c r="X290" s="3"/>
      <c r="Y290" s="3"/>
      <c r="Z290" s="8"/>
    </row>
    <row r="291" spans="1:26" s="23" customFormat="1" ht="15.75" thickBot="1" x14ac:dyDescent="0.3">
      <c r="A291" s="10"/>
      <c r="B291" s="29" t="s">
        <v>4</v>
      </c>
      <c r="C291" s="29"/>
      <c r="D291" s="32">
        <f>+D287-D289</f>
        <v>-141501.69000000032</v>
      </c>
      <c r="E291" s="14"/>
      <c r="F291" s="30">
        <f>IF(D$12=0,0,D291/D$12)</f>
        <v>-0.26774106308507772</v>
      </c>
      <c r="G291" s="14"/>
      <c r="H291" s="32">
        <f>+H287-H289</f>
        <v>-111134.68999999962</v>
      </c>
      <c r="I291" s="14"/>
      <c r="J291" s="30">
        <f>IF(H$12=0,0,H291/H$12)</f>
        <v>-0.15424303459981964</v>
      </c>
      <c r="K291" s="15"/>
      <c r="L291" s="32">
        <f>D291-H291</f>
        <v>-30367.000000000698</v>
      </c>
      <c r="M291" s="15"/>
      <c r="N291" s="30">
        <f>IF(H291=0,0,L291/H291)</f>
        <v>0.27324501467544293</v>
      </c>
      <c r="O291" s="28"/>
      <c r="P291" s="32">
        <f>+P287-P289</f>
        <v>-233424.87000000011</v>
      </c>
      <c r="Q291" s="14"/>
      <c r="R291" s="30">
        <f>IF(P$12=0,0,P291/P$12)</f>
        <v>-3.2883383446482478E-2</v>
      </c>
      <c r="S291" s="14"/>
      <c r="T291" s="32">
        <f>+T287-T289</f>
        <v>-329866.3699999965</v>
      </c>
      <c r="U291" s="14"/>
      <c r="V291" s="30">
        <f>IF(T$12=0,0,T291/T$12)</f>
        <v>-4.4249320594018898E-2</v>
      </c>
      <c r="W291" s="15"/>
      <c r="X291" s="32">
        <f>P291-T291</f>
        <v>96441.499999996391</v>
      </c>
      <c r="Y291" s="15"/>
      <c r="Z291" s="30">
        <f>IF(T291=0,0,X291/T291)</f>
        <v>-0.29236535994862833</v>
      </c>
    </row>
    <row r="292" spans="1:26" ht="15.75" thickTop="1" x14ac:dyDescent="0.25">
      <c r="A292" s="9"/>
      <c r="B292" s="9"/>
      <c r="C292" s="9"/>
      <c r="D292" s="3"/>
      <c r="E292" s="3"/>
      <c r="F292" s="8"/>
      <c r="G292" s="3"/>
      <c r="H292" s="3"/>
      <c r="I292" s="3"/>
      <c r="J292" s="8"/>
      <c r="K292" s="3"/>
      <c r="L292" s="3"/>
      <c r="M292" s="3"/>
      <c r="N292" s="8"/>
      <c r="P292" s="3"/>
      <c r="Q292" s="3"/>
      <c r="R292" s="8"/>
      <c r="S292" s="3"/>
      <c r="T292" s="3"/>
      <c r="U292" s="3"/>
      <c r="V292" s="8"/>
      <c r="W292" s="3"/>
      <c r="X292" s="3"/>
      <c r="Y292" s="3"/>
      <c r="Z292" s="8"/>
    </row>
    <row r="293" spans="1:26" x14ac:dyDescent="0.25">
      <c r="A293" s="9"/>
      <c r="B293" s="9"/>
      <c r="C293" s="9"/>
      <c r="D293" s="3"/>
      <c r="E293" s="3"/>
      <c r="F293" s="8"/>
      <c r="G293" s="3"/>
      <c r="H293" s="3"/>
      <c r="I293" s="3"/>
      <c r="J293" s="8"/>
      <c r="K293" s="3"/>
      <c r="L293" s="3"/>
      <c r="M293" s="3"/>
      <c r="N293" s="8"/>
      <c r="P293" s="3"/>
      <c r="Q293" s="3"/>
      <c r="R293" s="8"/>
      <c r="S293" s="3"/>
      <c r="T293" s="3"/>
      <c r="U293" s="3"/>
      <c r="V293" s="8"/>
      <c r="W293" s="3"/>
      <c r="X293" s="3"/>
      <c r="Y293" s="3"/>
      <c r="Z293" s="8"/>
    </row>
    <row r="294" spans="1:26" s="23" customFormat="1" ht="15.75" thickBot="1" x14ac:dyDescent="0.3">
      <c r="A294" s="10"/>
      <c r="B294" s="29" t="s">
        <v>5</v>
      </c>
      <c r="C294" s="29"/>
      <c r="D294" s="36">
        <f>SUM(D291:D293)</f>
        <v>-141501.69000000032</v>
      </c>
      <c r="E294" s="14"/>
      <c r="F294" s="31">
        <f>IF(D$12=0,0,D294/D$12)</f>
        <v>-0.26774106308507772</v>
      </c>
      <c r="G294" s="14"/>
      <c r="H294" s="36">
        <f>SUM(H291:H293)</f>
        <v>-111134.68999999962</v>
      </c>
      <c r="I294" s="14"/>
      <c r="J294" s="31">
        <f>IF(H$12=0,0,H294/H$12)</f>
        <v>-0.15424303459981964</v>
      </c>
      <c r="K294" s="15"/>
      <c r="L294" s="36">
        <f>+D294-H294</f>
        <v>-30367.000000000698</v>
      </c>
      <c r="M294" s="15"/>
      <c r="N294" s="31">
        <f>IF(H294=0,0,L294/H294)</f>
        <v>0.27324501467544293</v>
      </c>
      <c r="O294" s="28"/>
      <c r="P294" s="36">
        <f>SUM(P291:P293)</f>
        <v>-233424.87000000011</v>
      </c>
      <c r="Q294" s="14"/>
      <c r="R294" s="31">
        <f>IF(P$12=0,0,P294/P$12)</f>
        <v>-3.2883383446482478E-2</v>
      </c>
      <c r="S294" s="14"/>
      <c r="T294" s="36">
        <f>SUM(T291:T293)</f>
        <v>-329866.3699999965</v>
      </c>
      <c r="U294" s="14"/>
      <c r="V294" s="31">
        <f>IF(T$12=0,0,T294/T$12)</f>
        <v>-4.4249320594018898E-2</v>
      </c>
      <c r="W294" s="15"/>
      <c r="X294" s="36">
        <f>+P294-T294</f>
        <v>96441.499999996391</v>
      </c>
      <c r="Y294" s="15"/>
      <c r="Z294" s="31">
        <f>IF(T294=0,0,X294/T294)</f>
        <v>-0.29236535994862833</v>
      </c>
    </row>
    <row r="295" spans="1:26" ht="15.75" thickTop="1" x14ac:dyDescent="0.25">
      <c r="A295" s="9"/>
      <c r="C295" s="9"/>
      <c r="D295" s="17"/>
      <c r="E295" s="17"/>
      <c r="G295" s="17"/>
      <c r="H295" s="17"/>
      <c r="I295" s="17"/>
      <c r="J295" s="42"/>
      <c r="K295" s="17"/>
      <c r="L295" s="17"/>
      <c r="M295" s="17"/>
      <c r="P295" s="17"/>
      <c r="Q295" s="17"/>
      <c r="R295" s="42"/>
      <c r="S295" s="17"/>
      <c r="T295" s="17"/>
      <c r="U295" s="17"/>
      <c r="V295" s="42"/>
      <c r="W295" s="17"/>
      <c r="X295" s="17"/>
    </row>
    <row r="296" spans="1:26" x14ac:dyDescent="0.25">
      <c r="A296" s="9"/>
      <c r="B296" s="62">
        <v>43847.453175810188</v>
      </c>
      <c r="D296" s="17"/>
      <c r="E296" s="17"/>
      <c r="G296" s="17"/>
      <c r="H296" s="17"/>
      <c r="I296" s="17"/>
      <c r="J296" s="42"/>
      <c r="K296" s="17"/>
      <c r="L296" s="17"/>
      <c r="M296" s="17"/>
      <c r="P296" s="17"/>
      <c r="Q296" s="17"/>
      <c r="R296" s="42"/>
      <c r="S296" s="17"/>
      <c r="T296" s="17"/>
      <c r="U296" s="17"/>
      <c r="V296" s="42"/>
      <c r="W296" s="17"/>
      <c r="X296" s="17"/>
    </row>
    <row r="297" spans="1:26" x14ac:dyDescent="0.25">
      <c r="A297" s="9"/>
      <c r="B297" s="56" t="s">
        <v>313</v>
      </c>
      <c r="D297" s="17"/>
      <c r="E297" s="17"/>
      <c r="G297" s="17"/>
      <c r="H297" s="17"/>
      <c r="I297" s="17"/>
      <c r="J297" s="42"/>
      <c r="K297" s="17"/>
      <c r="L297" s="17"/>
      <c r="M297" s="17"/>
      <c r="P297" s="17"/>
      <c r="Q297" s="17"/>
      <c r="R297" s="42"/>
      <c r="S297" s="17"/>
      <c r="T297" s="17"/>
      <c r="U297" s="17"/>
      <c r="V297" s="42"/>
      <c r="W297" s="17"/>
      <c r="X297" s="17"/>
    </row>
    <row r="298" spans="1:26" x14ac:dyDescent="0.25">
      <c r="A298" s="9"/>
      <c r="B298" s="54"/>
      <c r="D298" s="17"/>
      <c r="E298" s="17"/>
      <c r="G298" s="17"/>
      <c r="H298" s="17"/>
      <c r="I298" s="17"/>
      <c r="J298" s="42"/>
      <c r="K298" s="17"/>
      <c r="L298" s="17"/>
      <c r="M298" s="17"/>
      <c r="P298" s="17"/>
      <c r="Q298" s="17"/>
      <c r="R298" s="42"/>
      <c r="S298" s="17"/>
      <c r="T298" s="17"/>
      <c r="U298" s="17"/>
      <c r="V298" s="42"/>
      <c r="W298" s="17"/>
      <c r="X298" s="17"/>
    </row>
    <row r="299" spans="1:26" x14ac:dyDescent="0.25">
      <c r="D299" s="17"/>
      <c r="E299" s="17"/>
      <c r="G299" s="17"/>
      <c r="H299" s="17"/>
      <c r="I299" s="17"/>
      <c r="J299" s="42"/>
      <c r="K299" s="17"/>
      <c r="L299" s="17"/>
      <c r="M299" s="17"/>
      <c r="P299" s="17"/>
      <c r="Q299" s="17"/>
      <c r="R299" s="42"/>
      <c r="S299" s="17"/>
      <c r="T299" s="17"/>
      <c r="U299" s="17"/>
      <c r="V299" s="42"/>
      <c r="W299" s="17"/>
      <c r="X299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","301", " - ", "Bookstore")</f>
        <v>Department 301 - Bookstore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101029.58999999998</v>
      </c>
      <c r="E18" s="22"/>
      <c r="F18" s="33">
        <f t="shared" ref="F18:F27" si="0">IF(D$12=0,0,D18/D$12)</f>
        <v>0</v>
      </c>
      <c r="G18" s="22"/>
      <c r="H18" s="22">
        <f>SUM(OSRRefH22x_0)</f>
        <v>112252.62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-11223.030000000013</v>
      </c>
      <c r="M18" s="4"/>
      <c r="N18" s="33">
        <f t="shared" ref="N18:N27" si="3">IF(H18=0,0,L18/H18)</f>
        <v>-9.9980116277018874E-2</v>
      </c>
      <c r="O18" s="10"/>
      <c r="P18" s="22">
        <f>SUM(OSRRefP22x_0)</f>
        <v>779517.99000000022</v>
      </c>
      <c r="Q18" s="22"/>
      <c r="R18" s="33">
        <f t="shared" ref="R18:R27" si="4">IF(P$12=0,0,P18/P$12)</f>
        <v>0</v>
      </c>
      <c r="S18" s="22"/>
      <c r="T18" s="22">
        <f>SUM(OSRRefT22x_0)</f>
        <v>829253.88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-49735.889999999781</v>
      </c>
      <c r="Y18" s="4"/>
      <c r="Z18" s="33">
        <f t="shared" ref="Z18:Z27" si="7">IF(T18=0,0,X18/T18)</f>
        <v>-5.9976674453425263E-2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8909.11</v>
      </c>
      <c r="E19" s="1"/>
      <c r="F19" s="5">
        <f t="shared" si="0"/>
        <v>0</v>
      </c>
      <c r="G19" s="1"/>
      <c r="H19" s="1">
        <f>SUM(OSRRefH22_0x_0)</f>
        <v>13687.760000000002</v>
      </c>
      <c r="I19" s="1"/>
      <c r="J19" s="5">
        <f t="shared" si="1"/>
        <v>0</v>
      </c>
      <c r="K19" s="1"/>
      <c r="L19" s="1">
        <f t="shared" si="2"/>
        <v>-4778.6500000000015</v>
      </c>
      <c r="M19" s="1"/>
      <c r="N19" s="5">
        <f t="shared" si="3"/>
        <v>-0.34911848249823207</v>
      </c>
      <c r="O19" s="13"/>
      <c r="P19" s="1">
        <f>SUM(OSRRefP22_0x_0)</f>
        <v>79927.88</v>
      </c>
      <c r="Q19" s="1"/>
      <c r="R19" s="5">
        <f t="shared" si="4"/>
        <v>0</v>
      </c>
      <c r="S19" s="1"/>
      <c r="T19" s="1">
        <f>SUM(OSRRefT22_0x_0)</f>
        <v>83430.579999999987</v>
      </c>
      <c r="U19" s="1"/>
      <c r="V19" s="5">
        <f t="shared" si="5"/>
        <v>0</v>
      </c>
      <c r="W19" s="1"/>
      <c r="X19" s="1">
        <f t="shared" si="6"/>
        <v>-3502.6999999999825</v>
      </c>
      <c r="Y19" s="1"/>
      <c r="Z19" s="5">
        <f t="shared" si="7"/>
        <v>-4.1983407043316531E-2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1352.49</v>
      </c>
      <c r="E20" s="2"/>
      <c r="F20" s="7">
        <f t="shared" si="0"/>
        <v>0</v>
      </c>
      <c r="G20" s="2"/>
      <c r="H20" s="6">
        <v>1421.03</v>
      </c>
      <c r="I20" s="2"/>
      <c r="J20" s="7">
        <f t="shared" si="1"/>
        <v>0</v>
      </c>
      <c r="K20" s="2"/>
      <c r="L20" s="6">
        <f t="shared" si="2"/>
        <v>-68.539999999999964</v>
      </c>
      <c r="M20" s="2"/>
      <c r="N20" s="7">
        <f t="shared" si="3"/>
        <v>-4.8232620000985174E-2</v>
      </c>
      <c r="O20" s="11"/>
      <c r="P20" s="6">
        <v>17077.400000000001</v>
      </c>
      <c r="Q20" s="2"/>
      <c r="R20" s="7">
        <f t="shared" si="4"/>
        <v>0</v>
      </c>
      <c r="S20" s="2"/>
      <c r="T20" s="6">
        <v>14889.569999999998</v>
      </c>
      <c r="U20" s="2"/>
      <c r="V20" s="7">
        <f t="shared" si="5"/>
        <v>0</v>
      </c>
      <c r="W20" s="2"/>
      <c r="X20" s="6">
        <f t="shared" si="6"/>
        <v>2187.8300000000036</v>
      </c>
      <c r="Y20" s="2"/>
      <c r="Z20" s="7">
        <f t="shared" si="7"/>
        <v>0.14693708414682249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561.75</v>
      </c>
      <c r="E21" s="2"/>
      <c r="F21" s="7">
        <f t="shared" si="0"/>
        <v>0</v>
      </c>
      <c r="G21" s="2"/>
      <c r="H21" s="6">
        <v>350.63</v>
      </c>
      <c r="I21" s="2"/>
      <c r="J21" s="7">
        <f t="shared" si="1"/>
        <v>0</v>
      </c>
      <c r="K21" s="2"/>
      <c r="L21" s="6">
        <f t="shared" si="2"/>
        <v>211.12</v>
      </c>
      <c r="M21" s="2"/>
      <c r="N21" s="7">
        <f t="shared" si="3"/>
        <v>0.6021161908564584</v>
      </c>
      <c r="O21" s="11"/>
      <c r="P21" s="6">
        <v>3220.85</v>
      </c>
      <c r="Q21" s="2"/>
      <c r="R21" s="7">
        <f t="shared" si="4"/>
        <v>0</v>
      </c>
      <c r="S21" s="2"/>
      <c r="T21" s="6">
        <v>2282.1</v>
      </c>
      <c r="U21" s="2"/>
      <c r="V21" s="7">
        <f t="shared" si="5"/>
        <v>0</v>
      </c>
      <c r="W21" s="2"/>
      <c r="X21" s="6">
        <f t="shared" si="6"/>
        <v>938.75</v>
      </c>
      <c r="Y21" s="2"/>
      <c r="Z21" s="7">
        <f t="shared" si="7"/>
        <v>0.41135357784496734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3107.42</v>
      </c>
      <c r="E22" s="2"/>
      <c r="F22" s="7">
        <f t="shared" si="0"/>
        <v>0</v>
      </c>
      <c r="G22" s="2"/>
      <c r="H22" s="6">
        <v>7733.43</v>
      </c>
      <c r="I22" s="2"/>
      <c r="J22" s="7">
        <f t="shared" si="1"/>
        <v>0</v>
      </c>
      <c r="K22" s="2"/>
      <c r="L22" s="6">
        <f t="shared" si="2"/>
        <v>-4626.01</v>
      </c>
      <c r="M22" s="2"/>
      <c r="N22" s="7">
        <f t="shared" si="3"/>
        <v>-0.59818347098247482</v>
      </c>
      <c r="O22" s="11"/>
      <c r="P22" s="6">
        <v>27319.99</v>
      </c>
      <c r="Q22" s="2"/>
      <c r="R22" s="7">
        <f t="shared" si="4"/>
        <v>0</v>
      </c>
      <c r="S22" s="2"/>
      <c r="T22" s="6">
        <v>34918.689999999995</v>
      </c>
      <c r="U22" s="2"/>
      <c r="V22" s="7">
        <f t="shared" si="5"/>
        <v>0</v>
      </c>
      <c r="W22" s="2"/>
      <c r="X22" s="6">
        <f t="shared" si="6"/>
        <v>-7598.6999999999935</v>
      </c>
      <c r="Y22" s="2"/>
      <c r="Z22" s="7">
        <f t="shared" si="7"/>
        <v>-0.21761125632147124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123.45</v>
      </c>
      <c r="E23" s="2"/>
      <c r="F23" s="7">
        <f t="shared" si="0"/>
        <v>0</v>
      </c>
      <c r="G23" s="2"/>
      <c r="H23" s="6">
        <v>127.1</v>
      </c>
      <c r="I23" s="2"/>
      <c r="J23" s="7">
        <f t="shared" si="1"/>
        <v>0</v>
      </c>
      <c r="K23" s="2"/>
      <c r="L23" s="6">
        <f t="shared" si="2"/>
        <v>-3.6499999999999915</v>
      </c>
      <c r="M23" s="2"/>
      <c r="N23" s="7">
        <f t="shared" si="3"/>
        <v>-2.8717545239968462E-2</v>
      </c>
      <c r="O23" s="11"/>
      <c r="P23" s="6">
        <v>844.47</v>
      </c>
      <c r="Q23" s="2"/>
      <c r="R23" s="7">
        <f t="shared" si="4"/>
        <v>0</v>
      </c>
      <c r="S23" s="2"/>
      <c r="T23" s="6">
        <v>767.43</v>
      </c>
      <c r="U23" s="2"/>
      <c r="V23" s="7">
        <f t="shared" si="5"/>
        <v>0</v>
      </c>
      <c r="W23" s="2"/>
      <c r="X23" s="6">
        <f t="shared" si="6"/>
        <v>77.040000000000077</v>
      </c>
      <c r="Y23" s="2"/>
      <c r="Z23" s="7">
        <f t="shared" si="7"/>
        <v>0.10038700598100163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1523.65</v>
      </c>
      <c r="E24" s="2"/>
      <c r="F24" s="7">
        <f t="shared" si="0"/>
        <v>0</v>
      </c>
      <c r="G24" s="2"/>
      <c r="H24" s="6">
        <v>1563.77</v>
      </c>
      <c r="I24" s="2"/>
      <c r="J24" s="7">
        <f t="shared" si="1"/>
        <v>0</v>
      </c>
      <c r="K24" s="2"/>
      <c r="L24" s="6">
        <f t="shared" si="2"/>
        <v>-40.119999999999891</v>
      </c>
      <c r="M24" s="2"/>
      <c r="N24" s="7">
        <f t="shared" si="3"/>
        <v>-2.5655946846403176E-2</v>
      </c>
      <c r="O24" s="11"/>
      <c r="P24" s="6">
        <v>12305.16</v>
      </c>
      <c r="Q24" s="2"/>
      <c r="R24" s="7">
        <f t="shared" si="4"/>
        <v>0</v>
      </c>
      <c r="S24" s="2"/>
      <c r="T24" s="6">
        <v>11831.26</v>
      </c>
      <c r="U24" s="2"/>
      <c r="V24" s="7">
        <f t="shared" si="5"/>
        <v>0</v>
      </c>
      <c r="W24" s="2"/>
      <c r="X24" s="6">
        <f t="shared" si="6"/>
        <v>473.89999999999964</v>
      </c>
      <c r="Y24" s="2"/>
      <c r="Z24" s="7">
        <f t="shared" si="7"/>
        <v>4.0054905394691656E-2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1235.77</v>
      </c>
      <c r="E25" s="2"/>
      <c r="F25" s="7">
        <f t="shared" si="0"/>
        <v>0</v>
      </c>
      <c r="G25" s="2"/>
      <c r="H25" s="6">
        <v>1462.1</v>
      </c>
      <c r="I25" s="2"/>
      <c r="J25" s="7">
        <f t="shared" si="1"/>
        <v>0</v>
      </c>
      <c r="K25" s="2"/>
      <c r="L25" s="6">
        <f t="shared" si="2"/>
        <v>-226.32999999999993</v>
      </c>
      <c r="M25" s="2"/>
      <c r="N25" s="7">
        <f t="shared" si="3"/>
        <v>-0.15479789344094108</v>
      </c>
      <c r="O25" s="11"/>
      <c r="P25" s="6">
        <v>10608.29</v>
      </c>
      <c r="Q25" s="2"/>
      <c r="R25" s="7">
        <f t="shared" si="4"/>
        <v>0</v>
      </c>
      <c r="S25" s="2"/>
      <c r="T25" s="6">
        <v>10197.15</v>
      </c>
      <c r="U25" s="2"/>
      <c r="V25" s="7">
        <f t="shared" si="5"/>
        <v>0</v>
      </c>
      <c r="W25" s="2"/>
      <c r="X25" s="6">
        <f t="shared" si="6"/>
        <v>411.14000000000124</v>
      </c>
      <c r="Y25" s="2"/>
      <c r="Z25" s="7">
        <f t="shared" si="7"/>
        <v>4.0319108770587982E-2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762.27</v>
      </c>
      <c r="E26" s="2"/>
      <c r="F26" s="7">
        <f t="shared" si="0"/>
        <v>0</v>
      </c>
      <c r="G26" s="2"/>
      <c r="H26" s="6">
        <v>776.42</v>
      </c>
      <c r="I26" s="2"/>
      <c r="J26" s="7">
        <f t="shared" si="1"/>
        <v>0</v>
      </c>
      <c r="K26" s="2"/>
      <c r="L26" s="6">
        <f t="shared" si="2"/>
        <v>-14.149999999999977</v>
      </c>
      <c r="M26" s="2"/>
      <c r="N26" s="7">
        <f t="shared" si="3"/>
        <v>-1.8224672213492669E-2</v>
      </c>
      <c r="O26" s="11"/>
      <c r="P26" s="6">
        <v>6507.71</v>
      </c>
      <c r="Q26" s="2"/>
      <c r="R26" s="7">
        <f t="shared" si="4"/>
        <v>0</v>
      </c>
      <c r="S26" s="2"/>
      <c r="T26" s="6">
        <v>6198.37</v>
      </c>
      <c r="U26" s="2"/>
      <c r="V26" s="7">
        <f t="shared" si="5"/>
        <v>0</v>
      </c>
      <c r="W26" s="2"/>
      <c r="X26" s="6">
        <f t="shared" si="6"/>
        <v>309.34000000000015</v>
      </c>
      <c r="Y26" s="2"/>
      <c r="Z26" s="7">
        <f t="shared" si="7"/>
        <v>4.9906669011369142E-2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242.31</v>
      </c>
      <c r="E27" s="2"/>
      <c r="F27" s="7">
        <f t="shared" si="0"/>
        <v>0</v>
      </c>
      <c r="G27" s="2"/>
      <c r="H27" s="6">
        <v>253.28</v>
      </c>
      <c r="I27" s="2"/>
      <c r="J27" s="7">
        <f t="shared" si="1"/>
        <v>0</v>
      </c>
      <c r="K27" s="2"/>
      <c r="L27" s="6">
        <f t="shared" si="2"/>
        <v>-10.969999999999999</v>
      </c>
      <c r="M27" s="2"/>
      <c r="N27" s="7">
        <f t="shared" si="3"/>
        <v>-4.3311749842072013E-2</v>
      </c>
      <c r="O27" s="11"/>
      <c r="P27" s="6">
        <v>2044.01</v>
      </c>
      <c r="Q27" s="2"/>
      <c r="R27" s="7">
        <f t="shared" si="4"/>
        <v>0</v>
      </c>
      <c r="S27" s="2"/>
      <c r="T27" s="6">
        <v>2346.0100000000002</v>
      </c>
      <c r="U27" s="2"/>
      <c r="V27" s="7">
        <f t="shared" si="5"/>
        <v>0</v>
      </c>
      <c r="W27" s="2"/>
      <c r="X27" s="6">
        <f t="shared" si="6"/>
        <v>-302.00000000000023</v>
      </c>
      <c r="Y27" s="2"/>
      <c r="Z27" s="7">
        <f t="shared" si="7"/>
        <v>-0.12872920405283875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29651.870000000003</v>
      </c>
      <c r="E28" s="1"/>
      <c r="F28" s="5">
        <f t="shared" ref="F28:F35" si="8">IF(D$12=0,0,D28/D$12)</f>
        <v>0</v>
      </c>
      <c r="G28" s="1"/>
      <c r="H28" s="1">
        <f>SUM(OSRRefH22_1x_0)</f>
        <v>32066.39</v>
      </c>
      <c r="I28" s="1"/>
      <c r="J28" s="5">
        <f t="shared" ref="J28:J35" si="9">IF(H$12=0,0,H28/H$12)</f>
        <v>0</v>
      </c>
      <c r="K28" s="1"/>
      <c r="L28" s="1">
        <f t="shared" ref="L28:L35" si="10">+D28-H28</f>
        <v>-2414.5199999999968</v>
      </c>
      <c r="M28" s="1"/>
      <c r="N28" s="5">
        <f t="shared" ref="N28:N35" si="11">IF(H28=0,0,L28/H28)</f>
        <v>-7.529753115333522E-2</v>
      </c>
      <c r="O28" s="13"/>
      <c r="P28" s="1">
        <f>SUM(OSRRefP22_1x_0)</f>
        <v>276635.69</v>
      </c>
      <c r="Q28" s="1"/>
      <c r="R28" s="5">
        <f t="shared" ref="R28:R35" si="12">IF(P$12=0,0,P28/P$12)</f>
        <v>0</v>
      </c>
      <c r="S28" s="1"/>
      <c r="T28" s="1">
        <f>SUM(OSRRefT22_1x_0)</f>
        <v>249512.27000000002</v>
      </c>
      <c r="U28" s="1"/>
      <c r="V28" s="5">
        <f t="shared" ref="V28:V35" si="13">IF(T$12=0,0,T28/T$12)</f>
        <v>0</v>
      </c>
      <c r="W28" s="1"/>
      <c r="X28" s="1">
        <f t="shared" ref="X28:X35" si="14">+P28-T28</f>
        <v>27123.419999999984</v>
      </c>
      <c r="Y28" s="1"/>
      <c r="Z28" s="5">
        <f t="shared" ref="Z28:Z35" si="15">IF(T28=0,0,X28/T28)</f>
        <v>0.10870575623395187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10181.280000000001</v>
      </c>
      <c r="E29" s="2"/>
      <c r="F29" s="7">
        <f t="shared" si="8"/>
        <v>0</v>
      </c>
      <c r="G29" s="2"/>
      <c r="H29" s="6">
        <v>10405</v>
      </c>
      <c r="I29" s="2"/>
      <c r="J29" s="7">
        <f t="shared" si="9"/>
        <v>0</v>
      </c>
      <c r="K29" s="2"/>
      <c r="L29" s="6">
        <f t="shared" si="10"/>
        <v>-223.71999999999935</v>
      </c>
      <c r="M29" s="2"/>
      <c r="N29" s="7">
        <f t="shared" si="11"/>
        <v>-2.1501201345506905E-2</v>
      </c>
      <c r="O29" s="11"/>
      <c r="P29" s="6">
        <v>66982.11</v>
      </c>
      <c r="Q29" s="2"/>
      <c r="R29" s="7">
        <f t="shared" si="12"/>
        <v>0</v>
      </c>
      <c r="S29" s="2"/>
      <c r="T29" s="6">
        <v>67112.25</v>
      </c>
      <c r="U29" s="2"/>
      <c r="V29" s="7">
        <f t="shared" si="13"/>
        <v>0</v>
      </c>
      <c r="W29" s="2"/>
      <c r="X29" s="6">
        <f t="shared" si="14"/>
        <v>-130.13999999999942</v>
      </c>
      <c r="Y29" s="2"/>
      <c r="Z29" s="7">
        <f t="shared" si="15"/>
        <v>-1.9391392778516502E-3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5656.72</v>
      </c>
      <c r="E30" s="2"/>
      <c r="F30" s="7">
        <f t="shared" si="8"/>
        <v>0</v>
      </c>
      <c r="G30" s="2"/>
      <c r="H30" s="6">
        <v>7635.68</v>
      </c>
      <c r="I30" s="2"/>
      <c r="J30" s="7">
        <f t="shared" si="9"/>
        <v>0</v>
      </c>
      <c r="K30" s="2"/>
      <c r="L30" s="6">
        <f t="shared" si="10"/>
        <v>-1978.96</v>
      </c>
      <c r="M30" s="2"/>
      <c r="N30" s="7">
        <f t="shared" si="11"/>
        <v>-0.25917272593927454</v>
      </c>
      <c r="O30" s="11"/>
      <c r="P30" s="6">
        <v>48655.55</v>
      </c>
      <c r="Q30" s="2"/>
      <c r="R30" s="7">
        <f t="shared" si="12"/>
        <v>0</v>
      </c>
      <c r="S30" s="2"/>
      <c r="T30" s="6">
        <v>45749.25</v>
      </c>
      <c r="U30" s="2"/>
      <c r="V30" s="7">
        <f t="shared" si="13"/>
        <v>0</v>
      </c>
      <c r="W30" s="2"/>
      <c r="X30" s="6">
        <f t="shared" si="14"/>
        <v>2906.3000000000029</v>
      </c>
      <c r="Y30" s="2"/>
      <c r="Z30" s="7">
        <f t="shared" si="15"/>
        <v>6.3526724481822172E-2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>
        <v>-700</v>
      </c>
      <c r="I31" s="2"/>
      <c r="J31" s="7">
        <f t="shared" si="9"/>
        <v>0</v>
      </c>
      <c r="K31" s="2"/>
      <c r="L31" s="6">
        <f t="shared" si="10"/>
        <v>700</v>
      </c>
      <c r="M31" s="2"/>
      <c r="N31" s="7">
        <f t="shared" si="11"/>
        <v>-1</v>
      </c>
      <c r="O31" s="11"/>
      <c r="P31" s="6">
        <v>-1647.01</v>
      </c>
      <c r="Q31" s="2"/>
      <c r="R31" s="7">
        <f t="shared" si="12"/>
        <v>0</v>
      </c>
      <c r="S31" s="2"/>
      <c r="T31" s="6">
        <v>-700</v>
      </c>
      <c r="U31" s="2"/>
      <c r="V31" s="7">
        <f t="shared" si="13"/>
        <v>0</v>
      </c>
      <c r="W31" s="2"/>
      <c r="X31" s="6">
        <f t="shared" si="14"/>
        <v>-947.01</v>
      </c>
      <c r="Y31" s="2"/>
      <c r="Z31" s="7">
        <f t="shared" si="15"/>
        <v>1.3528714285714285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4799.04</v>
      </c>
      <c r="E32" s="2"/>
      <c r="F32" s="7">
        <f t="shared" si="8"/>
        <v>0</v>
      </c>
      <c r="G32" s="2"/>
      <c r="H32" s="6">
        <v>4209.07</v>
      </c>
      <c r="I32" s="2"/>
      <c r="J32" s="7">
        <f t="shared" si="9"/>
        <v>0</v>
      </c>
      <c r="K32" s="2"/>
      <c r="L32" s="6">
        <f t="shared" si="10"/>
        <v>589.97000000000025</v>
      </c>
      <c r="M32" s="2"/>
      <c r="N32" s="7">
        <f t="shared" si="11"/>
        <v>0.14016635503804886</v>
      </c>
      <c r="O32" s="11"/>
      <c r="P32" s="6">
        <v>42737.100000000006</v>
      </c>
      <c r="Q32" s="2"/>
      <c r="R32" s="7">
        <f t="shared" si="12"/>
        <v>0</v>
      </c>
      <c r="S32" s="2"/>
      <c r="T32" s="6">
        <v>28208.73</v>
      </c>
      <c r="U32" s="2"/>
      <c r="V32" s="7">
        <f t="shared" si="13"/>
        <v>0</v>
      </c>
      <c r="W32" s="2"/>
      <c r="X32" s="6">
        <f t="shared" si="14"/>
        <v>14528.370000000006</v>
      </c>
      <c r="Y32" s="2"/>
      <c r="Z32" s="7">
        <f t="shared" si="15"/>
        <v>0.51503098508865897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>
        <v>672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672</v>
      </c>
      <c r="M33" s="2"/>
      <c r="N33" s="7">
        <f t="shared" si="11"/>
        <v>0</v>
      </c>
      <c r="O33" s="11"/>
      <c r="P33" s="6">
        <v>11273.01</v>
      </c>
      <c r="Q33" s="2"/>
      <c r="R33" s="7">
        <f t="shared" si="12"/>
        <v>0</v>
      </c>
      <c r="S33" s="2"/>
      <c r="T33" s="6">
        <v>2647.37</v>
      </c>
      <c r="U33" s="2"/>
      <c r="V33" s="7">
        <f t="shared" si="13"/>
        <v>0</v>
      </c>
      <c r="W33" s="2"/>
      <c r="X33" s="6">
        <f t="shared" si="14"/>
        <v>8625.64</v>
      </c>
      <c r="Y33" s="2"/>
      <c r="Z33" s="7">
        <f t="shared" si="15"/>
        <v>3.2581920925295669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8342.83</v>
      </c>
      <c r="E34" s="2"/>
      <c r="F34" s="7">
        <f t="shared" si="8"/>
        <v>0</v>
      </c>
      <c r="G34" s="2"/>
      <c r="H34" s="6">
        <v>10222.39</v>
      </c>
      <c r="I34" s="2"/>
      <c r="J34" s="7">
        <f t="shared" si="9"/>
        <v>0</v>
      </c>
      <c r="K34" s="2"/>
      <c r="L34" s="6">
        <f t="shared" si="10"/>
        <v>-1879.5599999999995</v>
      </c>
      <c r="M34" s="2"/>
      <c r="N34" s="7">
        <f t="shared" si="11"/>
        <v>-0.18386698218322717</v>
      </c>
      <c r="O34" s="11"/>
      <c r="P34" s="6">
        <v>108082.93000000001</v>
      </c>
      <c r="Q34" s="2"/>
      <c r="R34" s="7">
        <f t="shared" si="12"/>
        <v>0</v>
      </c>
      <c r="S34" s="2"/>
      <c r="T34" s="6">
        <v>105389.17</v>
      </c>
      <c r="U34" s="2"/>
      <c r="V34" s="7">
        <f t="shared" si="13"/>
        <v>0</v>
      </c>
      <c r="W34" s="2"/>
      <c r="X34" s="6">
        <f t="shared" si="14"/>
        <v>2693.7600000000093</v>
      </c>
      <c r="Y34" s="2"/>
      <c r="Z34" s="7">
        <f t="shared" si="15"/>
        <v>2.5560121595036848E-2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>
        <v>294.25</v>
      </c>
      <c r="I35" s="2"/>
      <c r="J35" s="7">
        <f t="shared" si="9"/>
        <v>0</v>
      </c>
      <c r="K35" s="2"/>
      <c r="L35" s="6">
        <f t="shared" si="10"/>
        <v>-294.25</v>
      </c>
      <c r="M35" s="2"/>
      <c r="N35" s="7">
        <f t="shared" si="11"/>
        <v>-1</v>
      </c>
      <c r="O35" s="11"/>
      <c r="P35" s="6">
        <v>552</v>
      </c>
      <c r="Q35" s="2"/>
      <c r="R35" s="7">
        <f t="shared" si="12"/>
        <v>0</v>
      </c>
      <c r="S35" s="2"/>
      <c r="T35" s="6">
        <v>1105.5</v>
      </c>
      <c r="U35" s="2"/>
      <c r="V35" s="7">
        <f t="shared" si="13"/>
        <v>0</v>
      </c>
      <c r="W35" s="2"/>
      <c r="X35" s="6">
        <f t="shared" si="14"/>
        <v>-553.5</v>
      </c>
      <c r="Y35" s="2"/>
      <c r="Z35" s="7">
        <f t="shared" si="15"/>
        <v>-0.50067842605156043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82.84</v>
      </c>
      <c r="E36" s="1"/>
      <c r="F36" s="5">
        <f t="shared" ref="F36:F40" si="16">IF(D$12=0,0,D36/D$12)</f>
        <v>0</v>
      </c>
      <c r="G36" s="1"/>
      <c r="H36" s="1">
        <f>SUM(OSRRefH22_2x_0)</f>
        <v>-101.11</v>
      </c>
      <c r="I36" s="1"/>
      <c r="J36" s="5">
        <f t="shared" ref="J36:J40" si="17">IF(H$12=0,0,H36/H$12)</f>
        <v>0</v>
      </c>
      <c r="K36" s="1"/>
      <c r="L36" s="1">
        <f t="shared" ref="L36:L40" si="18">+D36-H36</f>
        <v>183.95</v>
      </c>
      <c r="M36" s="1"/>
      <c r="N36" s="5">
        <f t="shared" ref="N36:N40" si="19">IF(H36=0,0,L36/H36)</f>
        <v>-1.8193057066561169</v>
      </c>
      <c r="O36" s="13"/>
      <c r="P36" s="1">
        <f>SUM(OSRRefP22_2x_0)</f>
        <v>17284.54</v>
      </c>
      <c r="Q36" s="1"/>
      <c r="R36" s="5">
        <f t="shared" ref="R36:R40" si="20">IF(P$12=0,0,P36/P$12)</f>
        <v>0</v>
      </c>
      <c r="S36" s="1"/>
      <c r="T36" s="1">
        <f>SUM(OSRRefT22_2x_0)</f>
        <v>29773.929999999997</v>
      </c>
      <c r="U36" s="1"/>
      <c r="V36" s="5">
        <f t="shared" ref="V36:V40" si="21">IF(T$12=0,0,T36/T$12)</f>
        <v>0</v>
      </c>
      <c r="W36" s="1"/>
      <c r="X36" s="1">
        <f t="shared" ref="X36:X40" si="22">+P36-T36</f>
        <v>-12489.389999999996</v>
      </c>
      <c r="Y36" s="1"/>
      <c r="Z36" s="5">
        <f t="shared" ref="Z36:Z40" si="23">IF(T36=0,0,X36/T36)</f>
        <v>-0.41947401636263659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82.84</v>
      </c>
      <c r="E37" s="2"/>
      <c r="F37" s="7">
        <f t="shared" si="16"/>
        <v>0</v>
      </c>
      <c r="G37" s="2"/>
      <c r="H37" s="6">
        <v>-101.11</v>
      </c>
      <c r="I37" s="2"/>
      <c r="J37" s="7">
        <f t="shared" si="17"/>
        <v>0</v>
      </c>
      <c r="K37" s="2"/>
      <c r="L37" s="6">
        <f t="shared" si="18"/>
        <v>183.95</v>
      </c>
      <c r="M37" s="2"/>
      <c r="N37" s="7">
        <f t="shared" si="19"/>
        <v>-1.8193057066561169</v>
      </c>
      <c r="O37" s="11"/>
      <c r="P37" s="6">
        <v>17284.54</v>
      </c>
      <c r="Q37" s="2"/>
      <c r="R37" s="7">
        <f t="shared" si="20"/>
        <v>0</v>
      </c>
      <c r="S37" s="2"/>
      <c r="T37" s="6">
        <v>29773.929999999997</v>
      </c>
      <c r="U37" s="2"/>
      <c r="V37" s="7">
        <f t="shared" si="21"/>
        <v>0</v>
      </c>
      <c r="W37" s="2"/>
      <c r="X37" s="6">
        <f t="shared" si="22"/>
        <v>-12489.389999999996</v>
      </c>
      <c r="Y37" s="2"/>
      <c r="Z37" s="7">
        <f t="shared" si="23"/>
        <v>-0.41947401636263659</v>
      </c>
    </row>
    <row r="38" spans="1:26" s="27" customFormat="1" outlineLevel="1" collapsed="1" x14ac:dyDescent="0.25">
      <c r="A38" s="25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SUM(OSRRefD22_3x_0)</f>
        <v>58.52</v>
      </c>
      <c r="E38" s="1"/>
      <c r="F38" s="5">
        <f t="shared" si="16"/>
        <v>0</v>
      </c>
      <c r="G38" s="1"/>
      <c r="H38" s="1">
        <f>SUM(OSRRefH22_3x_0)</f>
        <v>-61.42</v>
      </c>
      <c r="I38" s="1"/>
      <c r="J38" s="5">
        <f t="shared" si="17"/>
        <v>0</v>
      </c>
      <c r="K38" s="1"/>
      <c r="L38" s="1">
        <f t="shared" si="18"/>
        <v>119.94</v>
      </c>
      <c r="M38" s="1"/>
      <c r="N38" s="5">
        <f t="shared" si="19"/>
        <v>-1.9527841094106153</v>
      </c>
      <c r="O38" s="13"/>
      <c r="P38" s="1">
        <f>SUM(OSRRefP22_3x_0)</f>
        <v>151.06</v>
      </c>
      <c r="Q38" s="1"/>
      <c r="R38" s="5">
        <f t="shared" si="20"/>
        <v>0</v>
      </c>
      <c r="S38" s="1"/>
      <c r="T38" s="1">
        <f>SUM(OSRRefT22_3x_0)</f>
        <v>943.13</v>
      </c>
      <c r="U38" s="1"/>
      <c r="V38" s="5">
        <f t="shared" si="21"/>
        <v>0</v>
      </c>
      <c r="W38" s="1"/>
      <c r="X38" s="1">
        <f t="shared" si="22"/>
        <v>-792.06999999999994</v>
      </c>
      <c r="Y38" s="1"/>
      <c r="Z38" s="5">
        <f t="shared" si="23"/>
        <v>-0.8398312003647429</v>
      </c>
    </row>
    <row r="39" spans="1:26" s="24" customFormat="1" hidden="1" outlineLevel="2" x14ac:dyDescent="0.25">
      <c r="A39" s="26"/>
      <c r="B39" s="11" t="str">
        <f>CONCATENATE("          ", "6272", " - ", "CASH (OVER/SHORT)")</f>
        <v xml:space="preserve">          6272 - CASH (OVER/SHORT)</v>
      </c>
      <c r="C39" s="11"/>
      <c r="D39" s="6">
        <v>58.52</v>
      </c>
      <c r="E39" s="2"/>
      <c r="F39" s="7">
        <f t="shared" si="16"/>
        <v>0</v>
      </c>
      <c r="G39" s="2"/>
      <c r="H39" s="6">
        <v>-61.42</v>
      </c>
      <c r="I39" s="2"/>
      <c r="J39" s="7">
        <f t="shared" si="17"/>
        <v>0</v>
      </c>
      <c r="K39" s="2"/>
      <c r="L39" s="6">
        <f t="shared" si="18"/>
        <v>119.94</v>
      </c>
      <c r="M39" s="2"/>
      <c r="N39" s="7">
        <f t="shared" si="19"/>
        <v>-1.9527841094106153</v>
      </c>
      <c r="O39" s="11"/>
      <c r="P39" s="6">
        <v>106.26</v>
      </c>
      <c r="Q39" s="2"/>
      <c r="R39" s="7">
        <f t="shared" si="20"/>
        <v>0</v>
      </c>
      <c r="S39" s="2"/>
      <c r="T39" s="6">
        <v>943.13</v>
      </c>
      <c r="U39" s="2"/>
      <c r="V39" s="7">
        <f t="shared" si="21"/>
        <v>0</v>
      </c>
      <c r="W39" s="2"/>
      <c r="X39" s="6">
        <f t="shared" si="22"/>
        <v>-836.87</v>
      </c>
      <c r="Y39" s="2"/>
      <c r="Z39" s="7">
        <f t="shared" si="23"/>
        <v>-0.88733260526120472</v>
      </c>
    </row>
    <row r="40" spans="1:26" s="24" customFormat="1" hidden="1" outlineLevel="2" x14ac:dyDescent="0.25">
      <c r="A40" s="26"/>
      <c r="B40" s="11" t="str">
        <f>CONCATENATE("          ", "6342", " - ", "BAD DEBT")</f>
        <v xml:space="preserve">          6342 - BAD DEBT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44.8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44.8</v>
      </c>
      <c r="Y40" s="2"/>
      <c r="Z40" s="7">
        <f t="shared" si="23"/>
        <v>0</v>
      </c>
    </row>
    <row r="41" spans="1:26" s="27" customFormat="1" outlineLevel="1" collapsed="1" x14ac:dyDescent="0.25">
      <c r="A41" s="25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8100.96</v>
      </c>
      <c r="E41" s="1"/>
      <c r="F41" s="5">
        <f t="shared" ref="F41:F45" si="24">IF(D$12=0,0,D41/D$12)</f>
        <v>0</v>
      </c>
      <c r="G41" s="1"/>
      <c r="H41" s="1">
        <f>SUM(OSRRefH22_4x_0)</f>
        <v>8016.23</v>
      </c>
      <c r="I41" s="1"/>
      <c r="J41" s="5">
        <f t="shared" ref="J41:J45" si="25">IF(H$12=0,0,H41/H$12)</f>
        <v>0</v>
      </c>
      <c r="K41" s="1"/>
      <c r="L41" s="1">
        <f t="shared" ref="L41:L45" si="26">+D41-H41</f>
        <v>84.730000000000473</v>
      </c>
      <c r="M41" s="1"/>
      <c r="N41" s="5">
        <f t="shared" ref="N41:N45" si="27">IF(H41=0,0,L41/H41)</f>
        <v>1.0569806505052933E-2</v>
      </c>
      <c r="O41" s="13"/>
      <c r="P41" s="1">
        <f>SUM(OSRRefP22_4x_0)</f>
        <v>86983.709999999992</v>
      </c>
      <c r="Q41" s="1"/>
      <c r="R41" s="5">
        <f t="shared" ref="R41:R45" si="28">IF(P$12=0,0,P41/P$12)</f>
        <v>0</v>
      </c>
      <c r="S41" s="1"/>
      <c r="T41" s="1">
        <f>SUM(OSRRefT22_4x_0)</f>
        <v>85591.59</v>
      </c>
      <c r="U41" s="1"/>
      <c r="V41" s="5">
        <f t="shared" ref="V41:V45" si="29">IF(T$12=0,0,T41/T$12)</f>
        <v>0</v>
      </c>
      <c r="W41" s="1"/>
      <c r="X41" s="1">
        <f t="shared" ref="X41:X45" si="30">+P41-T41</f>
        <v>1392.1199999999953</v>
      </c>
      <c r="Y41" s="1"/>
      <c r="Z41" s="5">
        <f t="shared" ref="Z41:Z45" si="31">IF(T41=0,0,X41/T41)</f>
        <v>1.6264682079162162E-2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8100.96</v>
      </c>
      <c r="E42" s="2"/>
      <c r="F42" s="7">
        <f t="shared" si="24"/>
        <v>0</v>
      </c>
      <c r="G42" s="2"/>
      <c r="H42" s="6">
        <v>8016.23</v>
      </c>
      <c r="I42" s="2"/>
      <c r="J42" s="7">
        <f t="shared" si="25"/>
        <v>0</v>
      </c>
      <c r="K42" s="2"/>
      <c r="L42" s="6">
        <f t="shared" si="26"/>
        <v>84.730000000000473</v>
      </c>
      <c r="M42" s="2"/>
      <c r="N42" s="7">
        <f t="shared" si="27"/>
        <v>1.0569806505052933E-2</v>
      </c>
      <c r="O42" s="11"/>
      <c r="P42" s="6">
        <v>86983.709999999992</v>
      </c>
      <c r="Q42" s="2"/>
      <c r="R42" s="7">
        <f t="shared" si="28"/>
        <v>0</v>
      </c>
      <c r="S42" s="2"/>
      <c r="T42" s="6">
        <v>85591.59</v>
      </c>
      <c r="U42" s="2"/>
      <c r="V42" s="7">
        <f t="shared" si="29"/>
        <v>0</v>
      </c>
      <c r="W42" s="2"/>
      <c r="X42" s="6">
        <f t="shared" si="30"/>
        <v>1392.1199999999953</v>
      </c>
      <c r="Y42" s="2"/>
      <c r="Z42" s="7">
        <f t="shared" si="31"/>
        <v>1.6264682079162162E-2</v>
      </c>
    </row>
    <row r="43" spans="1:26" s="27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29607.43</v>
      </c>
      <c r="E43" s="1"/>
      <c r="F43" s="5">
        <f t="shared" si="24"/>
        <v>0</v>
      </c>
      <c r="G43" s="1"/>
      <c r="H43" s="1">
        <f>SUM(OSRRefH22_5x_0)</f>
        <v>29330.07</v>
      </c>
      <c r="I43" s="1"/>
      <c r="J43" s="5">
        <f t="shared" si="25"/>
        <v>0</v>
      </c>
      <c r="K43" s="1"/>
      <c r="L43" s="1">
        <f t="shared" si="26"/>
        <v>277.36000000000058</v>
      </c>
      <c r="M43" s="1"/>
      <c r="N43" s="5">
        <f t="shared" si="27"/>
        <v>9.4565065818117914E-3</v>
      </c>
      <c r="O43" s="13"/>
      <c r="P43" s="1">
        <f>SUM(OSRRefP22_5x_0)</f>
        <v>177644.58</v>
      </c>
      <c r="Q43" s="1"/>
      <c r="R43" s="5">
        <f t="shared" si="28"/>
        <v>0</v>
      </c>
      <c r="S43" s="1"/>
      <c r="T43" s="1">
        <f>SUM(OSRRefT22_5x_0)</f>
        <v>175980.42</v>
      </c>
      <c r="U43" s="1"/>
      <c r="V43" s="5">
        <f t="shared" si="29"/>
        <v>0</v>
      </c>
      <c r="W43" s="1"/>
      <c r="X43" s="1">
        <f t="shared" si="30"/>
        <v>1664.1599999999744</v>
      </c>
      <c r="Y43" s="1"/>
      <c r="Z43" s="5">
        <f t="shared" si="31"/>
        <v>9.4565065818116266E-3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6">
        <v>16396.52</v>
      </c>
      <c r="E44" s="2"/>
      <c r="F44" s="7">
        <f t="shared" si="24"/>
        <v>0</v>
      </c>
      <c r="G44" s="2"/>
      <c r="H44" s="6">
        <v>16453.38</v>
      </c>
      <c r="I44" s="2"/>
      <c r="J44" s="7">
        <f t="shared" si="25"/>
        <v>0</v>
      </c>
      <c r="K44" s="2"/>
      <c r="L44" s="6">
        <f t="shared" si="26"/>
        <v>-56.860000000000582</v>
      </c>
      <c r="M44" s="2"/>
      <c r="N44" s="7">
        <f t="shared" si="27"/>
        <v>-3.4558248821822978E-3</v>
      </c>
      <c r="O44" s="11"/>
      <c r="P44" s="6">
        <v>98379.12</v>
      </c>
      <c r="Q44" s="2"/>
      <c r="R44" s="7">
        <f t="shared" si="28"/>
        <v>0</v>
      </c>
      <c r="S44" s="2"/>
      <c r="T44" s="6">
        <v>98720.280000000013</v>
      </c>
      <c r="U44" s="2"/>
      <c r="V44" s="7">
        <f t="shared" si="29"/>
        <v>0</v>
      </c>
      <c r="W44" s="2"/>
      <c r="X44" s="6">
        <f t="shared" si="30"/>
        <v>-341.16000000001804</v>
      </c>
      <c r="Y44" s="2"/>
      <c r="Z44" s="7">
        <f t="shared" si="31"/>
        <v>-3.4558248821824453E-3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13210.91</v>
      </c>
      <c r="E45" s="2"/>
      <c r="F45" s="7">
        <f t="shared" si="24"/>
        <v>0</v>
      </c>
      <c r="G45" s="2"/>
      <c r="H45" s="6">
        <v>12876.69</v>
      </c>
      <c r="I45" s="2"/>
      <c r="J45" s="7">
        <f t="shared" si="25"/>
        <v>0</v>
      </c>
      <c r="K45" s="2"/>
      <c r="L45" s="6">
        <f t="shared" si="26"/>
        <v>334.21999999999935</v>
      </c>
      <c r="M45" s="2"/>
      <c r="N45" s="7">
        <f t="shared" si="27"/>
        <v>2.5955427986539967E-2</v>
      </c>
      <c r="O45" s="11"/>
      <c r="P45" s="6">
        <v>79265.459999999992</v>
      </c>
      <c r="Q45" s="2"/>
      <c r="R45" s="7">
        <f t="shared" si="28"/>
        <v>0</v>
      </c>
      <c r="S45" s="2"/>
      <c r="T45" s="6">
        <v>77260.14</v>
      </c>
      <c r="U45" s="2"/>
      <c r="V45" s="7">
        <f t="shared" si="29"/>
        <v>0</v>
      </c>
      <c r="W45" s="2"/>
      <c r="X45" s="6">
        <f t="shared" si="30"/>
        <v>2005.3199999999924</v>
      </c>
      <c r="Y45" s="2"/>
      <c r="Z45" s="7">
        <f t="shared" si="31"/>
        <v>2.5955427986539922E-2</v>
      </c>
    </row>
    <row r="46" spans="1:26" s="27" customFormat="1" outlineLevel="1" collapsed="1" x14ac:dyDescent="0.25">
      <c r="A46" s="25"/>
      <c r="B46" s="13" t="str">
        <f>CONCATENATE("     ","Discounts and Markdowns                           ")</f>
        <v xml:space="preserve">     Discounts and Markdowns                           </v>
      </c>
      <c r="C46" s="13"/>
      <c r="D46" s="1">
        <f>SUM(OSRRefD22_6x_0)</f>
        <v>-102.33</v>
      </c>
      <c r="E46" s="1"/>
      <c r="F46" s="5">
        <f t="shared" ref="F46:F48" si="32">IF(D$12=0,0,D46/D$12)</f>
        <v>0</v>
      </c>
      <c r="G46" s="1"/>
      <c r="H46" s="1">
        <f>SUM(OSRRefH22_6x_0)</f>
        <v>-47.61</v>
      </c>
      <c r="I46" s="1"/>
      <c r="J46" s="5">
        <f t="shared" ref="J46:J48" si="33">IF(H$12=0,0,H46/H$12)</f>
        <v>0</v>
      </c>
      <c r="K46" s="1"/>
      <c r="L46" s="1">
        <f t="shared" ref="L46:L48" si="34">+D46-H46</f>
        <v>-54.72</v>
      </c>
      <c r="M46" s="1"/>
      <c r="N46" s="5">
        <f t="shared" ref="N46:N48" si="35">IF(H46=0,0,L46/H46)</f>
        <v>1.1493383742911154</v>
      </c>
      <c r="O46" s="13"/>
      <c r="P46" s="1">
        <f>SUM(OSRRefP22_6x_0)</f>
        <v>-1692.08</v>
      </c>
      <c r="Q46" s="1"/>
      <c r="R46" s="5">
        <f t="shared" ref="R46:R48" si="36">IF(P$12=0,0,P46/P$12)</f>
        <v>0</v>
      </c>
      <c r="S46" s="1"/>
      <c r="T46" s="1">
        <f>SUM(OSRRefT22_6x_0)</f>
        <v>-3182.54</v>
      </c>
      <c r="U46" s="1"/>
      <c r="V46" s="5">
        <f t="shared" ref="V46:V48" si="37">IF(T$12=0,0,T46/T$12)</f>
        <v>0</v>
      </c>
      <c r="W46" s="1"/>
      <c r="X46" s="1">
        <f t="shared" ref="X46:X48" si="38">+P46-T46</f>
        <v>1490.46</v>
      </c>
      <c r="Y46" s="1"/>
      <c r="Z46" s="5">
        <f t="shared" ref="Z46:Z48" si="39">IF(T46=0,0,X46/T46)</f>
        <v>-0.46832404305994585</v>
      </c>
    </row>
    <row r="47" spans="1:26" s="24" customFormat="1" hidden="1" outlineLevel="2" x14ac:dyDescent="0.25">
      <c r="A47" s="26"/>
      <c r="B47" s="11" t="str">
        <f>CONCATENATE("          ", "6382", " - ", "DISCOUNTS/MARK DOWNS")</f>
        <v xml:space="preserve">          6382 - DISCOUNTS/MARK DOWNS</v>
      </c>
      <c r="C47" s="11"/>
      <c r="D47" s="6">
        <v>7</v>
      </c>
      <c r="E47" s="2"/>
      <c r="F47" s="7">
        <f t="shared" si="32"/>
        <v>0</v>
      </c>
      <c r="G47" s="2"/>
      <c r="H47" s="6">
        <v>30.5</v>
      </c>
      <c r="I47" s="2"/>
      <c r="J47" s="7">
        <f t="shared" si="33"/>
        <v>0</v>
      </c>
      <c r="K47" s="2"/>
      <c r="L47" s="6">
        <f t="shared" si="34"/>
        <v>-23.5</v>
      </c>
      <c r="M47" s="2"/>
      <c r="N47" s="7">
        <f t="shared" si="35"/>
        <v>-0.77049180327868849</v>
      </c>
      <c r="O47" s="11"/>
      <c r="P47" s="6">
        <v>341.4</v>
      </c>
      <c r="Q47" s="2"/>
      <c r="R47" s="7">
        <f t="shared" si="36"/>
        <v>0</v>
      </c>
      <c r="S47" s="2"/>
      <c r="T47" s="6">
        <v>61.5</v>
      </c>
      <c r="U47" s="2"/>
      <c r="V47" s="7">
        <f t="shared" si="37"/>
        <v>0</v>
      </c>
      <c r="W47" s="2"/>
      <c r="X47" s="6">
        <f t="shared" si="38"/>
        <v>279.89999999999998</v>
      </c>
      <c r="Y47" s="2"/>
      <c r="Z47" s="7">
        <f t="shared" si="39"/>
        <v>4.5512195121951216</v>
      </c>
    </row>
    <row r="48" spans="1:26" s="24" customFormat="1" hidden="1" outlineLevel="2" x14ac:dyDescent="0.25">
      <c r="A48" s="26"/>
      <c r="B48" s="11" t="str">
        <f>CONCATENATE("          ", "9175", " - ", "EARNED DISCOUNTS")</f>
        <v xml:space="preserve">          9175 - EARNED DISCOUNTS</v>
      </c>
      <c r="C48" s="11"/>
      <c r="D48" s="6">
        <v>-109.33</v>
      </c>
      <c r="E48" s="2"/>
      <c r="F48" s="7">
        <f t="shared" si="32"/>
        <v>0</v>
      </c>
      <c r="G48" s="2"/>
      <c r="H48" s="6">
        <v>-78.11</v>
      </c>
      <c r="I48" s="2"/>
      <c r="J48" s="7">
        <f t="shared" si="33"/>
        <v>0</v>
      </c>
      <c r="K48" s="2"/>
      <c r="L48" s="6">
        <f t="shared" si="34"/>
        <v>-31.22</v>
      </c>
      <c r="M48" s="2"/>
      <c r="N48" s="7">
        <f t="shared" si="35"/>
        <v>0.39969274100627317</v>
      </c>
      <c r="O48" s="11"/>
      <c r="P48" s="6">
        <v>-2033.48</v>
      </c>
      <c r="Q48" s="2"/>
      <c r="R48" s="7">
        <f t="shared" si="36"/>
        <v>0</v>
      </c>
      <c r="S48" s="2"/>
      <c r="T48" s="6">
        <v>-3244.04</v>
      </c>
      <c r="U48" s="2"/>
      <c r="V48" s="7">
        <f t="shared" si="37"/>
        <v>0</v>
      </c>
      <c r="W48" s="2"/>
      <c r="X48" s="6">
        <f t="shared" si="38"/>
        <v>1210.56</v>
      </c>
      <c r="Y48" s="2"/>
      <c r="Z48" s="7">
        <f t="shared" si="39"/>
        <v>-0.37316432596392152</v>
      </c>
    </row>
    <row r="49" spans="1:26" s="27" customFormat="1" outlineLevel="1" collapsed="1" x14ac:dyDescent="0.25">
      <c r="A49" s="25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SUM(OSRRefD22_7x_0)</f>
        <v>150.84</v>
      </c>
      <c r="E49" s="1"/>
      <c r="F49" s="5">
        <f t="shared" ref="F49:F66" si="40">IF(D$12=0,0,D49/D$12)</f>
        <v>0</v>
      </c>
      <c r="G49" s="1"/>
      <c r="H49" s="1">
        <f>SUM(OSRRefH22_7x_0)</f>
        <v>413.22</v>
      </c>
      <c r="I49" s="1"/>
      <c r="J49" s="5">
        <f t="shared" ref="J49:J66" si="41">IF(H$12=0,0,H49/H$12)</f>
        <v>0</v>
      </c>
      <c r="K49" s="1"/>
      <c r="L49" s="1">
        <f t="shared" ref="L49:L66" si="42">+D49-H49</f>
        <v>-262.38</v>
      </c>
      <c r="M49" s="1"/>
      <c r="N49" s="5">
        <f t="shared" ref="N49:N66" si="43">IF(H49=0,0,L49/H49)</f>
        <v>-0.63496442572963552</v>
      </c>
      <c r="O49" s="13"/>
      <c r="P49" s="1">
        <f>SUM(OSRRefP22_7x_0)</f>
        <v>9798.2199999999993</v>
      </c>
      <c r="Q49" s="1"/>
      <c r="R49" s="5">
        <f t="shared" ref="R49:R66" si="44">IF(P$12=0,0,P49/P$12)</f>
        <v>0</v>
      </c>
      <c r="S49" s="1"/>
      <c r="T49" s="1">
        <f>SUM(OSRRefT22_7x_0)</f>
        <v>5275.82</v>
      </c>
      <c r="U49" s="1"/>
      <c r="V49" s="5">
        <f t="shared" ref="V49:V66" si="45">IF(T$12=0,0,T49/T$12)</f>
        <v>0</v>
      </c>
      <c r="W49" s="1"/>
      <c r="X49" s="1">
        <f t="shared" ref="X49:X66" si="46">+P49-T49</f>
        <v>4522.3999999999996</v>
      </c>
      <c r="Y49" s="1"/>
      <c r="Z49" s="5">
        <f t="shared" ref="Z49:Z66" si="47">IF(T49=0,0,X49/T49)</f>
        <v>0.85719376324438668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6">
        <v>150.84</v>
      </c>
      <c r="E50" s="2"/>
      <c r="F50" s="7">
        <f t="shared" si="40"/>
        <v>0</v>
      </c>
      <c r="G50" s="2"/>
      <c r="H50" s="6">
        <v>413.22</v>
      </c>
      <c r="I50" s="2"/>
      <c r="J50" s="7">
        <f t="shared" si="41"/>
        <v>0</v>
      </c>
      <c r="K50" s="2"/>
      <c r="L50" s="6">
        <f t="shared" si="42"/>
        <v>-262.38</v>
      </c>
      <c r="M50" s="2"/>
      <c r="N50" s="7">
        <f t="shared" si="43"/>
        <v>-0.63496442572963552</v>
      </c>
      <c r="O50" s="11"/>
      <c r="P50" s="6">
        <v>9798.2199999999993</v>
      </c>
      <c r="Q50" s="2"/>
      <c r="R50" s="7">
        <f t="shared" si="44"/>
        <v>0</v>
      </c>
      <c r="S50" s="2"/>
      <c r="T50" s="6">
        <v>5275.82</v>
      </c>
      <c r="U50" s="2"/>
      <c r="V50" s="7">
        <f t="shared" si="45"/>
        <v>0</v>
      </c>
      <c r="W50" s="2"/>
      <c r="X50" s="6">
        <f t="shared" si="46"/>
        <v>4522.3999999999996</v>
      </c>
      <c r="Y50" s="2"/>
      <c r="Z50" s="7">
        <f t="shared" si="47"/>
        <v>0.85719376324438668</v>
      </c>
    </row>
    <row r="51" spans="1:26" s="27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SUM(OSRRefD22_8x_0)</f>
        <v>152.4</v>
      </c>
      <c r="E51" s="1"/>
      <c r="F51" s="5">
        <f t="shared" si="40"/>
        <v>0</v>
      </c>
      <c r="G51" s="1"/>
      <c r="H51" s="1">
        <f>SUM(OSRRefH22_8x_0)</f>
        <v>-224.89</v>
      </c>
      <c r="I51" s="1"/>
      <c r="J51" s="5">
        <f t="shared" si="41"/>
        <v>0</v>
      </c>
      <c r="K51" s="1"/>
      <c r="L51" s="1">
        <f t="shared" si="42"/>
        <v>377.28999999999996</v>
      </c>
      <c r="M51" s="1"/>
      <c r="N51" s="5">
        <f t="shared" si="43"/>
        <v>-1.6776646360442882</v>
      </c>
      <c r="O51" s="13"/>
      <c r="P51" s="1">
        <f>SUM(OSRRefP22_8x_0)</f>
        <v>825.75</v>
      </c>
      <c r="Q51" s="1"/>
      <c r="R51" s="5">
        <f t="shared" si="44"/>
        <v>0</v>
      </c>
      <c r="S51" s="1"/>
      <c r="T51" s="1">
        <f>SUM(OSRRefT22_8x_0)</f>
        <v>1837.63</v>
      </c>
      <c r="U51" s="1"/>
      <c r="V51" s="5">
        <f t="shared" si="45"/>
        <v>0</v>
      </c>
      <c r="W51" s="1"/>
      <c r="X51" s="1">
        <f t="shared" si="46"/>
        <v>-1011.8800000000001</v>
      </c>
      <c r="Y51" s="1"/>
      <c r="Z51" s="5">
        <f t="shared" si="47"/>
        <v>-0.55064403606819656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>
        <v>152.4</v>
      </c>
      <c r="E52" s="2"/>
      <c r="F52" s="7">
        <f t="shared" si="40"/>
        <v>0</v>
      </c>
      <c r="G52" s="2"/>
      <c r="H52" s="6">
        <v>-224.89</v>
      </c>
      <c r="I52" s="2"/>
      <c r="J52" s="7">
        <f t="shared" si="41"/>
        <v>0</v>
      </c>
      <c r="K52" s="2"/>
      <c r="L52" s="6">
        <f t="shared" si="42"/>
        <v>377.28999999999996</v>
      </c>
      <c r="M52" s="2"/>
      <c r="N52" s="7">
        <f t="shared" si="43"/>
        <v>-1.6776646360442882</v>
      </c>
      <c r="O52" s="11"/>
      <c r="P52" s="6">
        <v>825.75</v>
      </c>
      <c r="Q52" s="2"/>
      <c r="R52" s="7">
        <f t="shared" si="44"/>
        <v>0</v>
      </c>
      <c r="S52" s="2"/>
      <c r="T52" s="6">
        <v>1837.63</v>
      </c>
      <c r="U52" s="2"/>
      <c r="V52" s="7">
        <f t="shared" si="45"/>
        <v>0</v>
      </c>
      <c r="W52" s="2"/>
      <c r="X52" s="6">
        <f t="shared" si="46"/>
        <v>-1011.8800000000001</v>
      </c>
      <c r="Y52" s="2"/>
      <c r="Z52" s="7">
        <f t="shared" si="47"/>
        <v>-0.55064403606819656</v>
      </c>
    </row>
    <row r="53" spans="1:26" s="27" customFormat="1" outlineLevel="1" collapsed="1" x14ac:dyDescent="0.25">
      <c r="A53" s="25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0</v>
      </c>
      <c r="E53" s="1"/>
      <c r="F53" s="5">
        <f t="shared" si="40"/>
        <v>0</v>
      </c>
      <c r="G53" s="1"/>
      <c r="H53" s="1">
        <f>SUM(OSRRefH22_9x_0)</f>
        <v>0</v>
      </c>
      <c r="I53" s="1"/>
      <c r="J53" s="5">
        <f t="shared" si="41"/>
        <v>0</v>
      </c>
      <c r="K53" s="1"/>
      <c r="L53" s="1">
        <f t="shared" si="42"/>
        <v>0</v>
      </c>
      <c r="M53" s="1"/>
      <c r="N53" s="5">
        <f t="shared" si="43"/>
        <v>0</v>
      </c>
      <c r="O53" s="13"/>
      <c r="P53" s="1">
        <f>SUM(OSRRefP22_9x_0)</f>
        <v>14.39</v>
      </c>
      <c r="Q53" s="1"/>
      <c r="R53" s="5">
        <f t="shared" si="44"/>
        <v>0</v>
      </c>
      <c r="S53" s="1"/>
      <c r="T53" s="1">
        <f>SUM(OSRRefT22_9x_0)</f>
        <v>18.53</v>
      </c>
      <c r="U53" s="1"/>
      <c r="V53" s="5">
        <f t="shared" si="45"/>
        <v>0</v>
      </c>
      <c r="W53" s="1"/>
      <c r="X53" s="1">
        <f t="shared" si="46"/>
        <v>-4.1400000000000006</v>
      </c>
      <c r="Y53" s="1"/>
      <c r="Z53" s="5">
        <f t="shared" si="47"/>
        <v>-0.22342147868321643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40"/>
        <v>0</v>
      </c>
      <c r="G54" s="2"/>
      <c r="H54" s="6"/>
      <c r="I54" s="2"/>
      <c r="J54" s="7">
        <f t="shared" si="41"/>
        <v>0</v>
      </c>
      <c r="K54" s="2"/>
      <c r="L54" s="6">
        <f t="shared" si="42"/>
        <v>0</v>
      </c>
      <c r="M54" s="2"/>
      <c r="N54" s="7">
        <f t="shared" si="43"/>
        <v>0</v>
      </c>
      <c r="O54" s="11"/>
      <c r="P54" s="6">
        <v>14.39</v>
      </c>
      <c r="Q54" s="2"/>
      <c r="R54" s="7">
        <f t="shared" si="44"/>
        <v>0</v>
      </c>
      <c r="S54" s="2"/>
      <c r="T54" s="6">
        <v>18.53</v>
      </c>
      <c r="U54" s="2"/>
      <c r="V54" s="7">
        <f t="shared" si="45"/>
        <v>0</v>
      </c>
      <c r="W54" s="2"/>
      <c r="X54" s="6">
        <f t="shared" si="46"/>
        <v>-4.1400000000000006</v>
      </c>
      <c r="Y54" s="2"/>
      <c r="Z54" s="7">
        <f t="shared" si="47"/>
        <v>-0.22342147868321643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SUM(OSRRefD22_10x_0)</f>
        <v>1710.22</v>
      </c>
      <c r="E55" s="1"/>
      <c r="F55" s="5">
        <f t="shared" si="40"/>
        <v>0</v>
      </c>
      <c r="G55" s="1"/>
      <c r="H55" s="1">
        <f>SUM(OSRRefH22_10x_0)</f>
        <v>421.9</v>
      </c>
      <c r="I55" s="1"/>
      <c r="J55" s="5">
        <f t="shared" si="41"/>
        <v>0</v>
      </c>
      <c r="K55" s="1"/>
      <c r="L55" s="1">
        <f t="shared" si="42"/>
        <v>1288.3200000000002</v>
      </c>
      <c r="M55" s="1"/>
      <c r="N55" s="5">
        <f t="shared" si="43"/>
        <v>3.0536146006162603</v>
      </c>
      <c r="O55" s="13"/>
      <c r="P55" s="1">
        <f>SUM(OSRRefP22_10x_0)</f>
        <v>-11970.76</v>
      </c>
      <c r="Q55" s="1"/>
      <c r="R55" s="5">
        <f t="shared" si="44"/>
        <v>0</v>
      </c>
      <c r="S55" s="1"/>
      <c r="T55" s="1">
        <f>SUM(OSRRefT22_10x_0)</f>
        <v>338.42</v>
      </c>
      <c r="U55" s="1"/>
      <c r="V55" s="5">
        <f t="shared" si="45"/>
        <v>0</v>
      </c>
      <c r="W55" s="1"/>
      <c r="X55" s="1">
        <f t="shared" si="46"/>
        <v>-12309.18</v>
      </c>
      <c r="Y55" s="1"/>
      <c r="Z55" s="5">
        <f t="shared" si="47"/>
        <v>-36.372495715383252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1710.22</v>
      </c>
      <c r="E56" s="2"/>
      <c r="F56" s="7">
        <f t="shared" si="40"/>
        <v>0</v>
      </c>
      <c r="G56" s="2"/>
      <c r="H56" s="6">
        <v>421.9</v>
      </c>
      <c r="I56" s="2"/>
      <c r="J56" s="7">
        <f t="shared" si="41"/>
        <v>0</v>
      </c>
      <c r="K56" s="2"/>
      <c r="L56" s="6">
        <f t="shared" si="42"/>
        <v>1288.3200000000002</v>
      </c>
      <c r="M56" s="2"/>
      <c r="N56" s="7">
        <f t="shared" si="43"/>
        <v>3.0536146006162603</v>
      </c>
      <c r="O56" s="11"/>
      <c r="P56" s="6">
        <v>-11970.76</v>
      </c>
      <c r="Q56" s="2"/>
      <c r="R56" s="7">
        <f t="shared" si="44"/>
        <v>0</v>
      </c>
      <c r="S56" s="2"/>
      <c r="T56" s="6">
        <v>338.42</v>
      </c>
      <c r="U56" s="2"/>
      <c r="V56" s="7">
        <f t="shared" si="45"/>
        <v>0</v>
      </c>
      <c r="W56" s="2"/>
      <c r="X56" s="6">
        <f t="shared" si="46"/>
        <v>-12309.18</v>
      </c>
      <c r="Y56" s="2"/>
      <c r="Z56" s="7">
        <f t="shared" si="47"/>
        <v>-36.372495715383252</v>
      </c>
    </row>
    <row r="57" spans="1:26" s="27" customFormat="1" outlineLevel="1" collapsed="1" x14ac:dyDescent="0.25">
      <c r="A57" s="25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SUM(OSRRefD22_11x_0)</f>
        <v>3883.56</v>
      </c>
      <c r="E57" s="1"/>
      <c r="F57" s="5">
        <f t="shared" si="40"/>
        <v>0</v>
      </c>
      <c r="G57" s="1"/>
      <c r="H57" s="1">
        <f>SUM(OSRRefH22_11x_0)</f>
        <v>3658.12</v>
      </c>
      <c r="I57" s="1"/>
      <c r="J57" s="5">
        <f t="shared" si="41"/>
        <v>0</v>
      </c>
      <c r="K57" s="1"/>
      <c r="L57" s="1">
        <f t="shared" si="42"/>
        <v>225.44000000000005</v>
      </c>
      <c r="M57" s="1"/>
      <c r="N57" s="5">
        <f t="shared" si="43"/>
        <v>6.1627283960066934E-2</v>
      </c>
      <c r="O57" s="13"/>
      <c r="P57" s="1">
        <f>SUM(OSRRefP22_11x_0)</f>
        <v>23301.360000000001</v>
      </c>
      <c r="Q57" s="1"/>
      <c r="R57" s="5">
        <f t="shared" si="44"/>
        <v>0</v>
      </c>
      <c r="S57" s="1"/>
      <c r="T57" s="1">
        <f>SUM(OSRRefT22_11x_0)</f>
        <v>21948.720000000001</v>
      </c>
      <c r="U57" s="1"/>
      <c r="V57" s="5">
        <f t="shared" si="45"/>
        <v>0</v>
      </c>
      <c r="W57" s="1"/>
      <c r="X57" s="1">
        <f t="shared" si="46"/>
        <v>1352.6399999999994</v>
      </c>
      <c r="Y57" s="1"/>
      <c r="Z57" s="5">
        <f t="shared" si="47"/>
        <v>6.1627283960066892E-2</v>
      </c>
    </row>
    <row r="58" spans="1:26" s="24" customFormat="1" hidden="1" outlineLevel="2" x14ac:dyDescent="0.25">
      <c r="A58" s="26"/>
      <c r="B58" s="11" t="str">
        <f>CONCATENATE("          ", "6314", " - ", "LIABILITY INSURANCE")</f>
        <v xml:space="preserve">          6314 - LIABILITY INSURANCE</v>
      </c>
      <c r="C58" s="11"/>
      <c r="D58" s="6">
        <v>3883.56</v>
      </c>
      <c r="E58" s="2"/>
      <c r="F58" s="7">
        <f t="shared" si="40"/>
        <v>0</v>
      </c>
      <c r="G58" s="2"/>
      <c r="H58" s="6">
        <v>3658.12</v>
      </c>
      <c r="I58" s="2"/>
      <c r="J58" s="7">
        <f t="shared" si="41"/>
        <v>0</v>
      </c>
      <c r="K58" s="2"/>
      <c r="L58" s="6">
        <f t="shared" si="42"/>
        <v>225.44000000000005</v>
      </c>
      <c r="M58" s="2"/>
      <c r="N58" s="7">
        <f t="shared" si="43"/>
        <v>6.1627283960066934E-2</v>
      </c>
      <c r="O58" s="11"/>
      <c r="P58" s="6">
        <v>23301.360000000001</v>
      </c>
      <c r="Q58" s="2"/>
      <c r="R58" s="7">
        <f t="shared" si="44"/>
        <v>0</v>
      </c>
      <c r="S58" s="2"/>
      <c r="T58" s="6">
        <v>21948.720000000001</v>
      </c>
      <c r="U58" s="2"/>
      <c r="V58" s="7">
        <f t="shared" si="45"/>
        <v>0</v>
      </c>
      <c r="W58" s="2"/>
      <c r="X58" s="6">
        <f t="shared" si="46"/>
        <v>1352.6399999999994</v>
      </c>
      <c r="Y58" s="2"/>
      <c r="Z58" s="7">
        <f t="shared" si="47"/>
        <v>6.1627283960066892E-2</v>
      </c>
    </row>
    <row r="59" spans="1:26" s="27" customFormat="1" outlineLevel="1" collapsed="1" x14ac:dyDescent="0.25">
      <c r="A59" s="25"/>
      <c r="B59" s="13" t="str">
        <f>CONCATENATE("     ","Professional Services                             ")</f>
        <v xml:space="preserve">     Professional Services                             </v>
      </c>
      <c r="C59" s="13"/>
      <c r="D59" s="1">
        <f>SUM(OSRRefD22_12x_0)</f>
        <v>0</v>
      </c>
      <c r="E59" s="1"/>
      <c r="F59" s="5">
        <f t="shared" si="40"/>
        <v>0</v>
      </c>
      <c r="G59" s="1"/>
      <c r="H59" s="1">
        <f>SUM(OSRRefH22_12x_0)</f>
        <v>0</v>
      </c>
      <c r="I59" s="1"/>
      <c r="J59" s="5">
        <f t="shared" si="41"/>
        <v>0</v>
      </c>
      <c r="K59" s="1"/>
      <c r="L59" s="1">
        <f t="shared" si="42"/>
        <v>0</v>
      </c>
      <c r="M59" s="1"/>
      <c r="N59" s="5">
        <f t="shared" si="43"/>
        <v>0</v>
      </c>
      <c r="O59" s="13"/>
      <c r="P59" s="1">
        <f>SUM(OSRRefP22_12x_0)</f>
        <v>4658.41</v>
      </c>
      <c r="Q59" s="1"/>
      <c r="R59" s="5">
        <f t="shared" si="44"/>
        <v>0</v>
      </c>
      <c r="S59" s="1"/>
      <c r="T59" s="1">
        <f>SUM(OSRRefT22_12x_0)</f>
        <v>6776.43</v>
      </c>
      <c r="U59" s="1"/>
      <c r="V59" s="5">
        <f t="shared" si="45"/>
        <v>0</v>
      </c>
      <c r="W59" s="1"/>
      <c r="X59" s="1">
        <f t="shared" si="46"/>
        <v>-2118.0200000000004</v>
      </c>
      <c r="Y59" s="1"/>
      <c r="Z59" s="5">
        <f t="shared" si="47"/>
        <v>-0.31255690680786202</v>
      </c>
    </row>
    <row r="60" spans="1:26" s="24" customFormat="1" hidden="1" outlineLevel="2" x14ac:dyDescent="0.25">
      <c r="A60" s="26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>
        <v>4658.41</v>
      </c>
      <c r="Q60" s="2"/>
      <c r="R60" s="7">
        <f t="shared" si="44"/>
        <v>0</v>
      </c>
      <c r="S60" s="2"/>
      <c r="T60" s="6">
        <v>6776.43</v>
      </c>
      <c r="U60" s="2"/>
      <c r="V60" s="7">
        <f t="shared" si="45"/>
        <v>0</v>
      </c>
      <c r="W60" s="2"/>
      <c r="X60" s="6">
        <f t="shared" si="46"/>
        <v>-2118.0200000000004</v>
      </c>
      <c r="Y60" s="2"/>
      <c r="Z60" s="7">
        <f t="shared" si="47"/>
        <v>-0.31255690680786202</v>
      </c>
    </row>
    <row r="61" spans="1:26" s="27" customFormat="1" outlineLevel="1" collapsed="1" x14ac:dyDescent="0.25">
      <c r="A61" s="25"/>
      <c r="B61" s="13" t="str">
        <f>CONCATENATE("     ","Rent                                              ")</f>
        <v xml:space="preserve">     Rent                                              </v>
      </c>
      <c r="C61" s="13"/>
      <c r="D61" s="1">
        <f>SUM(OSRRefD22_13x_0)</f>
        <v>-800</v>
      </c>
      <c r="E61" s="1"/>
      <c r="F61" s="5">
        <f t="shared" si="40"/>
        <v>0</v>
      </c>
      <c r="G61" s="1"/>
      <c r="H61" s="1">
        <f>SUM(OSRRefH22_13x_0)</f>
        <v>-800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3"/>
      <c r="P61" s="1">
        <f>SUM(OSRRefP22_13x_0)</f>
        <v>-4800</v>
      </c>
      <c r="Q61" s="1"/>
      <c r="R61" s="5">
        <f t="shared" si="44"/>
        <v>0</v>
      </c>
      <c r="S61" s="1"/>
      <c r="T61" s="1">
        <f>SUM(OSRRefT22_13x_0)</f>
        <v>-3898.92</v>
      </c>
      <c r="U61" s="1"/>
      <c r="V61" s="5">
        <f t="shared" si="45"/>
        <v>0</v>
      </c>
      <c r="W61" s="1"/>
      <c r="X61" s="1">
        <f t="shared" si="46"/>
        <v>-901.07999999999993</v>
      </c>
      <c r="Y61" s="1"/>
      <c r="Z61" s="5">
        <f t="shared" si="47"/>
        <v>0.23111015358099163</v>
      </c>
    </row>
    <row r="62" spans="1:26" s="24" customFormat="1" hidden="1" outlineLevel="2" x14ac:dyDescent="0.25">
      <c r="A62" s="26"/>
      <c r="B62" s="11" t="str">
        <f>CONCATENATE("          ", "6273", " - ", "RENT")</f>
        <v xml:space="preserve">          6273 - RENT</v>
      </c>
      <c r="C62" s="11"/>
      <c r="D62" s="6">
        <v>-800</v>
      </c>
      <c r="E62" s="2"/>
      <c r="F62" s="7">
        <f t="shared" si="40"/>
        <v>0</v>
      </c>
      <c r="G62" s="2"/>
      <c r="H62" s="6">
        <v>-800</v>
      </c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>
        <v>-4800</v>
      </c>
      <c r="Q62" s="2"/>
      <c r="R62" s="7">
        <f t="shared" si="44"/>
        <v>0</v>
      </c>
      <c r="S62" s="2"/>
      <c r="T62" s="6">
        <v>-3898.92</v>
      </c>
      <c r="U62" s="2"/>
      <c r="V62" s="7">
        <f t="shared" si="45"/>
        <v>0</v>
      </c>
      <c r="W62" s="2"/>
      <c r="X62" s="6">
        <f t="shared" si="46"/>
        <v>-901.07999999999993</v>
      </c>
      <c r="Y62" s="2"/>
      <c r="Z62" s="7">
        <f t="shared" si="47"/>
        <v>0.23111015358099163</v>
      </c>
    </row>
    <row r="63" spans="1:26" s="27" customFormat="1" outlineLevel="1" collapsed="1" x14ac:dyDescent="0.25">
      <c r="A63" s="25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SUM(OSRRefD22_14x_0)</f>
        <v>4621.57</v>
      </c>
      <c r="E63" s="1"/>
      <c r="F63" s="5">
        <f t="shared" si="40"/>
        <v>0</v>
      </c>
      <c r="G63" s="1"/>
      <c r="H63" s="1">
        <f>SUM(OSRRefH22_14x_0)</f>
        <v>7096.67</v>
      </c>
      <c r="I63" s="1"/>
      <c r="J63" s="5">
        <f t="shared" si="41"/>
        <v>0</v>
      </c>
      <c r="K63" s="1"/>
      <c r="L63" s="1">
        <f t="shared" si="42"/>
        <v>-2475.1000000000004</v>
      </c>
      <c r="M63" s="1"/>
      <c r="N63" s="5">
        <f t="shared" si="43"/>
        <v>-0.34876921147524126</v>
      </c>
      <c r="O63" s="13"/>
      <c r="P63" s="1">
        <f>SUM(OSRRefP22_14x_0)</f>
        <v>44838.68</v>
      </c>
      <c r="Q63" s="1"/>
      <c r="R63" s="5">
        <f t="shared" si="44"/>
        <v>0</v>
      </c>
      <c r="S63" s="1"/>
      <c r="T63" s="1">
        <f>SUM(OSRRefT22_14x_0)</f>
        <v>79531.929999999993</v>
      </c>
      <c r="U63" s="1"/>
      <c r="V63" s="5">
        <f t="shared" si="45"/>
        <v>0</v>
      </c>
      <c r="W63" s="1"/>
      <c r="X63" s="1">
        <f t="shared" si="46"/>
        <v>-34693.249999999993</v>
      </c>
      <c r="Y63" s="1"/>
      <c r="Z63" s="5">
        <f t="shared" si="47"/>
        <v>-0.43621788129622902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6">
        <v>601</v>
      </c>
      <c r="E64" s="2"/>
      <c r="F64" s="7">
        <f t="shared" si="40"/>
        <v>0</v>
      </c>
      <c r="G64" s="2"/>
      <c r="H64" s="6">
        <v>601</v>
      </c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>
        <v>13953.4</v>
      </c>
      <c r="Q64" s="2"/>
      <c r="R64" s="7">
        <f t="shared" si="44"/>
        <v>0</v>
      </c>
      <c r="S64" s="2"/>
      <c r="T64" s="6">
        <v>49851.25</v>
      </c>
      <c r="U64" s="2"/>
      <c r="V64" s="7">
        <f t="shared" si="45"/>
        <v>0</v>
      </c>
      <c r="W64" s="2"/>
      <c r="X64" s="6">
        <f t="shared" si="46"/>
        <v>-35897.85</v>
      </c>
      <c r="Y64" s="2"/>
      <c r="Z64" s="7">
        <f t="shared" si="47"/>
        <v>-0.72009929540382633</v>
      </c>
    </row>
    <row r="65" spans="1:26" s="24" customFormat="1" hidden="1" outlineLevel="2" x14ac:dyDescent="0.25">
      <c r="A65" s="26"/>
      <c r="B65" s="11" t="str">
        <f>CONCATENATE("          ", "6373", " - ", "MAINTENANCE CONTRACTS")</f>
        <v xml:space="preserve">          6373 - MAINTENANCE CONTRACTS</v>
      </c>
      <c r="C65" s="11"/>
      <c r="D65" s="6">
        <v>1022.32</v>
      </c>
      <c r="E65" s="2"/>
      <c r="F65" s="7">
        <f t="shared" si="40"/>
        <v>0</v>
      </c>
      <c r="G65" s="2"/>
      <c r="H65" s="6">
        <v>2200.19</v>
      </c>
      <c r="I65" s="2"/>
      <c r="J65" s="7">
        <f t="shared" si="41"/>
        <v>0</v>
      </c>
      <c r="K65" s="2"/>
      <c r="L65" s="6">
        <f t="shared" si="42"/>
        <v>-1177.8699999999999</v>
      </c>
      <c r="M65" s="2"/>
      <c r="N65" s="7">
        <f t="shared" si="43"/>
        <v>-0.53534921984010464</v>
      </c>
      <c r="O65" s="11"/>
      <c r="P65" s="6">
        <v>3136.37</v>
      </c>
      <c r="Q65" s="2"/>
      <c r="R65" s="7">
        <f t="shared" si="44"/>
        <v>0</v>
      </c>
      <c r="S65" s="2"/>
      <c r="T65" s="6">
        <v>9721.64</v>
      </c>
      <c r="U65" s="2"/>
      <c r="V65" s="7">
        <f t="shared" si="45"/>
        <v>0</v>
      </c>
      <c r="W65" s="2"/>
      <c r="X65" s="6">
        <f t="shared" si="46"/>
        <v>-6585.2699999999995</v>
      </c>
      <c r="Y65" s="2"/>
      <c r="Z65" s="7">
        <f t="shared" si="47"/>
        <v>-0.67738262268506133</v>
      </c>
    </row>
    <row r="66" spans="1:26" s="24" customFormat="1" hidden="1" outlineLevel="2" x14ac:dyDescent="0.25">
      <c r="A66" s="26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2998.25</v>
      </c>
      <c r="E66" s="2"/>
      <c r="F66" s="7">
        <f t="shared" si="40"/>
        <v>0</v>
      </c>
      <c r="G66" s="2"/>
      <c r="H66" s="6">
        <v>4295.4799999999996</v>
      </c>
      <c r="I66" s="2"/>
      <c r="J66" s="7">
        <f t="shared" si="41"/>
        <v>0</v>
      </c>
      <c r="K66" s="2"/>
      <c r="L66" s="6">
        <f t="shared" si="42"/>
        <v>-1297.2299999999996</v>
      </c>
      <c r="M66" s="2"/>
      <c r="N66" s="7">
        <f t="shared" si="43"/>
        <v>-0.30199884529784787</v>
      </c>
      <c r="O66" s="11"/>
      <c r="P66" s="6">
        <v>27748.91</v>
      </c>
      <c r="Q66" s="2"/>
      <c r="R66" s="7">
        <f t="shared" si="44"/>
        <v>0</v>
      </c>
      <c r="S66" s="2"/>
      <c r="T66" s="6">
        <v>19959.04</v>
      </c>
      <c r="U66" s="2"/>
      <c r="V66" s="7">
        <f t="shared" si="45"/>
        <v>0</v>
      </c>
      <c r="W66" s="2"/>
      <c r="X66" s="6">
        <f t="shared" si="46"/>
        <v>7789.869999999999</v>
      </c>
      <c r="Y66" s="2"/>
      <c r="Z66" s="7">
        <f t="shared" si="47"/>
        <v>0.39029281969473473</v>
      </c>
    </row>
    <row r="67" spans="1:26" s="27" customFormat="1" outlineLevel="1" collapsed="1" x14ac:dyDescent="0.25">
      <c r="A67" s="25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SUM(OSRRefD22_15x_0)</f>
        <v>4233.93</v>
      </c>
      <c r="E67" s="1"/>
      <c r="F67" s="5">
        <f t="shared" ref="F67:F70" si="48">IF(D$12=0,0,D67/D$12)</f>
        <v>0</v>
      </c>
      <c r="G67" s="1"/>
      <c r="H67" s="1">
        <f>SUM(OSRRefH22_15x_0)</f>
        <v>7599.98</v>
      </c>
      <c r="I67" s="1"/>
      <c r="J67" s="5">
        <f t="shared" ref="J67:J70" si="49">IF(H$12=0,0,H67/H$12)</f>
        <v>0</v>
      </c>
      <c r="K67" s="1"/>
      <c r="L67" s="1">
        <f t="shared" ref="L67:L70" si="50">+D67-H67</f>
        <v>-3366.0499999999993</v>
      </c>
      <c r="M67" s="1"/>
      <c r="N67" s="5">
        <f t="shared" ref="N67:N70" si="51">IF(H67=0,0,L67/H67)</f>
        <v>-0.44290248132231919</v>
      </c>
      <c r="O67" s="13"/>
      <c r="P67" s="1">
        <f>SUM(OSRRefP22_15x_0)</f>
        <v>24158.910000000003</v>
      </c>
      <c r="Q67" s="1"/>
      <c r="R67" s="5">
        <f t="shared" ref="R67:R70" si="52">IF(P$12=0,0,P67/P$12)</f>
        <v>0</v>
      </c>
      <c r="S67" s="1"/>
      <c r="T67" s="1">
        <f>SUM(OSRRefT22_15x_0)</f>
        <v>23673.32</v>
      </c>
      <c r="U67" s="1"/>
      <c r="V67" s="5">
        <f t="shared" ref="V67:V70" si="53">IF(T$12=0,0,T67/T$12)</f>
        <v>0</v>
      </c>
      <c r="W67" s="1"/>
      <c r="X67" s="1">
        <f t="shared" ref="X67:X70" si="54">+P67-T67</f>
        <v>485.59000000000378</v>
      </c>
      <c r="Y67" s="1"/>
      <c r="Z67" s="5">
        <f t="shared" ref="Z67:Z70" si="55">IF(T67=0,0,X67/T67)</f>
        <v>2.0512120817866009E-2</v>
      </c>
    </row>
    <row r="68" spans="1:26" s="24" customFormat="1" hidden="1" outlineLevel="2" x14ac:dyDescent="0.25">
      <c r="A68" s="26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222.5</v>
      </c>
      <c r="E68" s="2"/>
      <c r="F68" s="7">
        <f t="shared" si="48"/>
        <v>0</v>
      </c>
      <c r="G68" s="2"/>
      <c r="H68" s="6">
        <v>210.5</v>
      </c>
      <c r="I68" s="2"/>
      <c r="J68" s="7">
        <f t="shared" si="49"/>
        <v>0</v>
      </c>
      <c r="K68" s="2"/>
      <c r="L68" s="6">
        <f t="shared" si="50"/>
        <v>12</v>
      </c>
      <c r="M68" s="2"/>
      <c r="N68" s="7">
        <f t="shared" si="51"/>
        <v>5.7007125890736345E-2</v>
      </c>
      <c r="O68" s="11"/>
      <c r="P68" s="6">
        <v>1335</v>
      </c>
      <c r="Q68" s="2"/>
      <c r="R68" s="7">
        <f t="shared" si="52"/>
        <v>0</v>
      </c>
      <c r="S68" s="2"/>
      <c r="T68" s="6">
        <v>1156.5</v>
      </c>
      <c r="U68" s="2"/>
      <c r="V68" s="7">
        <f t="shared" si="53"/>
        <v>0</v>
      </c>
      <c r="W68" s="2"/>
      <c r="X68" s="6">
        <f t="shared" si="54"/>
        <v>178.5</v>
      </c>
      <c r="Y68" s="2"/>
      <c r="Z68" s="7">
        <f t="shared" si="55"/>
        <v>0.15434500648508431</v>
      </c>
    </row>
    <row r="69" spans="1:26" s="24" customFormat="1" hidden="1" outlineLevel="2" x14ac:dyDescent="0.25">
      <c r="A69" s="26"/>
      <c r="B69" s="11" t="str">
        <f>CONCATENATE("          ", "6283", " - ", "PLANT SERVICE")</f>
        <v xml:space="preserve">          6283 - PLANT SERVICE</v>
      </c>
      <c r="C69" s="11"/>
      <c r="D69" s="6"/>
      <c r="E69" s="2"/>
      <c r="F69" s="7">
        <f t="shared" si="48"/>
        <v>0</v>
      </c>
      <c r="G69" s="2"/>
      <c r="H69" s="6">
        <v>117</v>
      </c>
      <c r="I69" s="2"/>
      <c r="J69" s="7">
        <f t="shared" si="49"/>
        <v>0</v>
      </c>
      <c r="K69" s="2"/>
      <c r="L69" s="6">
        <f t="shared" si="50"/>
        <v>-117</v>
      </c>
      <c r="M69" s="2"/>
      <c r="N69" s="7">
        <f t="shared" si="51"/>
        <v>-1</v>
      </c>
      <c r="O69" s="11"/>
      <c r="P69" s="6">
        <v>363.33</v>
      </c>
      <c r="Q69" s="2"/>
      <c r="R69" s="7">
        <f t="shared" si="52"/>
        <v>0</v>
      </c>
      <c r="S69" s="2"/>
      <c r="T69" s="6">
        <v>824.5</v>
      </c>
      <c r="U69" s="2"/>
      <c r="V69" s="7">
        <f t="shared" si="53"/>
        <v>0</v>
      </c>
      <c r="W69" s="2"/>
      <c r="X69" s="6">
        <f t="shared" si="54"/>
        <v>-461.17</v>
      </c>
      <c r="Y69" s="2"/>
      <c r="Z69" s="7">
        <f t="shared" si="55"/>
        <v>-0.55933292904790788</v>
      </c>
    </row>
    <row r="70" spans="1:26" s="24" customFormat="1" hidden="1" outlineLevel="2" x14ac:dyDescent="0.25">
      <c r="A70" s="26"/>
      <c r="B70" s="11" t="str">
        <f>CONCATENATE("          ", "6285", " - ", "JANITORIAL SERVICES")</f>
        <v xml:space="preserve">          6285 - JANITORIAL SERVICES</v>
      </c>
      <c r="C70" s="11"/>
      <c r="D70" s="6">
        <v>4011.43</v>
      </c>
      <c r="E70" s="2"/>
      <c r="F70" s="7">
        <f t="shared" si="48"/>
        <v>0</v>
      </c>
      <c r="G70" s="2"/>
      <c r="H70" s="6">
        <v>7272.48</v>
      </c>
      <c r="I70" s="2"/>
      <c r="J70" s="7">
        <f t="shared" si="49"/>
        <v>0</v>
      </c>
      <c r="K70" s="2"/>
      <c r="L70" s="6">
        <f t="shared" si="50"/>
        <v>-3261.0499999999997</v>
      </c>
      <c r="M70" s="2"/>
      <c r="N70" s="7">
        <f t="shared" si="51"/>
        <v>-0.44840962092711151</v>
      </c>
      <c r="O70" s="11"/>
      <c r="P70" s="6">
        <v>22460.58</v>
      </c>
      <c r="Q70" s="2"/>
      <c r="R70" s="7">
        <f t="shared" si="52"/>
        <v>0</v>
      </c>
      <c r="S70" s="2"/>
      <c r="T70" s="6">
        <v>21692.32</v>
      </c>
      <c r="U70" s="2"/>
      <c r="V70" s="7">
        <f t="shared" si="53"/>
        <v>0</v>
      </c>
      <c r="W70" s="2"/>
      <c r="X70" s="6">
        <f t="shared" si="54"/>
        <v>768.26000000000204</v>
      </c>
      <c r="Y70" s="2"/>
      <c r="Z70" s="7">
        <f t="shared" si="55"/>
        <v>3.5416221040442057E-2</v>
      </c>
    </row>
    <row r="71" spans="1:26" s="27" customFormat="1" outlineLevel="1" collapsed="1" x14ac:dyDescent="0.25">
      <c r="A71" s="25"/>
      <c r="B71" s="13" t="str">
        <f>CONCATENATE("     ","Subscriptions &amp; Dues                              ")</f>
        <v xml:space="preserve">     Subscriptions &amp; Dues                              </v>
      </c>
      <c r="C71" s="13"/>
      <c r="D71" s="1">
        <f>SUM(OSRRefD22_16x_0)</f>
        <v>0</v>
      </c>
      <c r="E71" s="1"/>
      <c r="F71" s="5">
        <f t="shared" ref="F71:F78" si="56">IF(D$12=0,0,D71/D$12)</f>
        <v>0</v>
      </c>
      <c r="G71" s="1"/>
      <c r="H71" s="1">
        <f>SUM(OSRRefH22_16x_0)</f>
        <v>3644.98</v>
      </c>
      <c r="I71" s="1"/>
      <c r="J71" s="5">
        <f t="shared" ref="J71:J78" si="57">IF(H$12=0,0,H71/H$12)</f>
        <v>0</v>
      </c>
      <c r="K71" s="1"/>
      <c r="L71" s="1">
        <f t="shared" ref="L71:L78" si="58">+D71-H71</f>
        <v>-3644.98</v>
      </c>
      <c r="M71" s="1"/>
      <c r="N71" s="5">
        <f t="shared" ref="N71:N78" si="59">IF(H71=0,0,L71/H71)</f>
        <v>-1</v>
      </c>
      <c r="O71" s="13"/>
      <c r="P71" s="1">
        <f>SUM(OSRRefP22_16x_0)</f>
        <v>405.3</v>
      </c>
      <c r="Q71" s="1"/>
      <c r="R71" s="5">
        <f t="shared" ref="R71:R78" si="60">IF(P$12=0,0,P71/P$12)</f>
        <v>0</v>
      </c>
      <c r="S71" s="1"/>
      <c r="T71" s="1">
        <f>SUM(OSRRefT22_16x_0)</f>
        <v>4374.13</v>
      </c>
      <c r="U71" s="1"/>
      <c r="V71" s="5">
        <f t="shared" ref="V71:V78" si="61">IF(T$12=0,0,T71/T$12)</f>
        <v>0</v>
      </c>
      <c r="W71" s="1"/>
      <c r="X71" s="1">
        <f t="shared" ref="X71:X78" si="62">+P71-T71</f>
        <v>-3968.83</v>
      </c>
      <c r="Y71" s="1"/>
      <c r="Z71" s="5">
        <f t="shared" ref="Z71:Z78" si="63">IF(T71=0,0,X71/T71)</f>
        <v>-0.9073415742101858</v>
      </c>
    </row>
    <row r="72" spans="1:26" s="24" customFormat="1" hidden="1" outlineLevel="2" x14ac:dyDescent="0.25">
      <c r="A72" s="26"/>
      <c r="B72" s="11" t="str">
        <f>CONCATENATE("          ", "6275", " - ", "SUBSCRIPTIONS")</f>
        <v xml:space="preserve">          6275 - SUBSCRIPTIONS</v>
      </c>
      <c r="C72" s="11"/>
      <c r="D72" s="6"/>
      <c r="E72" s="2"/>
      <c r="F72" s="7">
        <f t="shared" si="56"/>
        <v>0</v>
      </c>
      <c r="G72" s="2"/>
      <c r="H72" s="6">
        <v>3644.98</v>
      </c>
      <c r="I72" s="2"/>
      <c r="J72" s="7">
        <f t="shared" si="57"/>
        <v>0</v>
      </c>
      <c r="K72" s="2"/>
      <c r="L72" s="6">
        <f t="shared" si="58"/>
        <v>-3644.98</v>
      </c>
      <c r="M72" s="2"/>
      <c r="N72" s="7">
        <f t="shared" si="59"/>
        <v>-1</v>
      </c>
      <c r="O72" s="11"/>
      <c r="P72" s="6">
        <v>405.3</v>
      </c>
      <c r="Q72" s="2"/>
      <c r="R72" s="7">
        <f t="shared" si="60"/>
        <v>0</v>
      </c>
      <c r="S72" s="2"/>
      <c r="T72" s="6">
        <v>4374.13</v>
      </c>
      <c r="U72" s="2"/>
      <c r="V72" s="7">
        <f t="shared" si="61"/>
        <v>0</v>
      </c>
      <c r="W72" s="2"/>
      <c r="X72" s="6">
        <f t="shared" si="62"/>
        <v>-3968.83</v>
      </c>
      <c r="Y72" s="2"/>
      <c r="Z72" s="7">
        <f t="shared" si="63"/>
        <v>-0.9073415742101858</v>
      </c>
    </row>
    <row r="73" spans="1:26" s="27" customFormat="1" outlineLevel="1" collapsed="1" x14ac:dyDescent="0.25">
      <c r="A73" s="25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SUM(OSRRefD22_17x_0)</f>
        <v>858.59</v>
      </c>
      <c r="E73" s="1"/>
      <c r="F73" s="5">
        <f t="shared" si="56"/>
        <v>0</v>
      </c>
      <c r="G73" s="1"/>
      <c r="H73" s="1">
        <f>SUM(OSRRefH22_17x_0)</f>
        <v>1417.72</v>
      </c>
      <c r="I73" s="1"/>
      <c r="J73" s="5">
        <f t="shared" si="57"/>
        <v>0</v>
      </c>
      <c r="K73" s="1"/>
      <c r="L73" s="1">
        <f t="shared" si="58"/>
        <v>-559.13</v>
      </c>
      <c r="M73" s="1"/>
      <c r="N73" s="5">
        <f t="shared" si="59"/>
        <v>-0.39438676184295912</v>
      </c>
      <c r="O73" s="13"/>
      <c r="P73" s="1">
        <f>SUM(OSRRefP22_17x_0)</f>
        <v>10322.48</v>
      </c>
      <c r="Q73" s="1"/>
      <c r="R73" s="5">
        <f t="shared" si="60"/>
        <v>0</v>
      </c>
      <c r="S73" s="1"/>
      <c r="T73" s="1">
        <f>SUM(OSRRefT22_17x_0)</f>
        <v>34417.659999999996</v>
      </c>
      <c r="U73" s="1"/>
      <c r="V73" s="5">
        <f t="shared" si="61"/>
        <v>0</v>
      </c>
      <c r="W73" s="1"/>
      <c r="X73" s="1">
        <f t="shared" si="62"/>
        <v>-24095.179999999997</v>
      </c>
      <c r="Y73" s="1"/>
      <c r="Z73" s="5">
        <f t="shared" si="63"/>
        <v>-0.70008187657150422</v>
      </c>
    </row>
    <row r="74" spans="1:26" s="24" customFormat="1" hidden="1" outlineLevel="2" x14ac:dyDescent="0.25">
      <c r="A74" s="26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56"/>
        <v>0</v>
      </c>
      <c r="G74" s="2"/>
      <c r="H74" s="6"/>
      <c r="I74" s="2"/>
      <c r="J74" s="7">
        <f t="shared" si="57"/>
        <v>0</v>
      </c>
      <c r="K74" s="2"/>
      <c r="L74" s="6">
        <f t="shared" si="58"/>
        <v>0</v>
      </c>
      <c r="M74" s="2"/>
      <c r="N74" s="7">
        <f t="shared" si="59"/>
        <v>0</v>
      </c>
      <c r="O74" s="11"/>
      <c r="P74" s="6">
        <v>785.12</v>
      </c>
      <c r="Q74" s="2"/>
      <c r="R74" s="7">
        <f t="shared" si="60"/>
        <v>0</v>
      </c>
      <c r="S74" s="2"/>
      <c r="T74" s="6">
        <v>1164.48</v>
      </c>
      <c r="U74" s="2"/>
      <c r="V74" s="7">
        <f t="shared" si="61"/>
        <v>0</v>
      </c>
      <c r="W74" s="2"/>
      <c r="X74" s="6">
        <f t="shared" si="62"/>
        <v>-379.36</v>
      </c>
      <c r="Y74" s="2"/>
      <c r="Z74" s="7">
        <f t="shared" si="63"/>
        <v>-0.32577631217367409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6">
        <v>131.72999999999999</v>
      </c>
      <c r="E75" s="2"/>
      <c r="F75" s="7">
        <f t="shared" si="56"/>
        <v>0</v>
      </c>
      <c r="G75" s="2"/>
      <c r="H75" s="6">
        <v>489.53</v>
      </c>
      <c r="I75" s="2"/>
      <c r="J75" s="7">
        <f t="shared" si="57"/>
        <v>0</v>
      </c>
      <c r="K75" s="2"/>
      <c r="L75" s="6">
        <f t="shared" si="58"/>
        <v>-357.79999999999995</v>
      </c>
      <c r="M75" s="2"/>
      <c r="N75" s="7">
        <f t="shared" si="59"/>
        <v>-0.7309051539231507</v>
      </c>
      <c r="O75" s="11"/>
      <c r="P75" s="6">
        <v>2474.81</v>
      </c>
      <c r="Q75" s="2"/>
      <c r="R75" s="7">
        <f t="shared" si="60"/>
        <v>0</v>
      </c>
      <c r="S75" s="2"/>
      <c r="T75" s="6">
        <v>3532.56</v>
      </c>
      <c r="U75" s="2"/>
      <c r="V75" s="7">
        <f t="shared" si="61"/>
        <v>0</v>
      </c>
      <c r="W75" s="2"/>
      <c r="X75" s="6">
        <f t="shared" si="62"/>
        <v>-1057.75</v>
      </c>
      <c r="Y75" s="2"/>
      <c r="Z75" s="7">
        <f t="shared" si="63"/>
        <v>-0.29942874289467131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>
        <v>628.14</v>
      </c>
      <c r="E76" s="2"/>
      <c r="F76" s="7">
        <f t="shared" si="56"/>
        <v>0</v>
      </c>
      <c r="G76" s="2"/>
      <c r="H76" s="6">
        <v>447.97</v>
      </c>
      <c r="I76" s="2"/>
      <c r="J76" s="7">
        <f t="shared" si="57"/>
        <v>0</v>
      </c>
      <c r="K76" s="2"/>
      <c r="L76" s="6">
        <f t="shared" si="58"/>
        <v>180.16999999999996</v>
      </c>
      <c r="M76" s="2"/>
      <c r="N76" s="7">
        <f t="shared" si="59"/>
        <v>0.40219211107886677</v>
      </c>
      <c r="O76" s="11"/>
      <c r="P76" s="6">
        <v>7061.29</v>
      </c>
      <c r="Q76" s="2"/>
      <c r="R76" s="7">
        <f t="shared" si="60"/>
        <v>0</v>
      </c>
      <c r="S76" s="2"/>
      <c r="T76" s="6">
        <v>6515.8</v>
      </c>
      <c r="U76" s="2"/>
      <c r="V76" s="7">
        <f t="shared" si="61"/>
        <v>0</v>
      </c>
      <c r="W76" s="2"/>
      <c r="X76" s="6">
        <f t="shared" si="62"/>
        <v>545.48999999999978</v>
      </c>
      <c r="Y76" s="2"/>
      <c r="Z76" s="7">
        <f t="shared" si="63"/>
        <v>8.3718039227723348E-2</v>
      </c>
    </row>
    <row r="77" spans="1:26" s="24" customFormat="1" hidden="1" outlineLevel="2" x14ac:dyDescent="0.25">
      <c r="A77" s="26"/>
      <c r="B77" s="11" t="str">
        <f>CONCATENATE("          ", "6245", " - ", "PRINTING")</f>
        <v xml:space="preserve">          6245 - PRINTING</v>
      </c>
      <c r="C77" s="11"/>
      <c r="D77" s="6"/>
      <c r="E77" s="2"/>
      <c r="F77" s="7">
        <f t="shared" si="56"/>
        <v>0</v>
      </c>
      <c r="G77" s="2"/>
      <c r="H77" s="6">
        <v>585.73</v>
      </c>
      <c r="I77" s="2"/>
      <c r="J77" s="7">
        <f t="shared" si="57"/>
        <v>0</v>
      </c>
      <c r="K77" s="2"/>
      <c r="L77" s="6">
        <f t="shared" si="58"/>
        <v>-585.73</v>
      </c>
      <c r="M77" s="2"/>
      <c r="N77" s="7">
        <f t="shared" si="59"/>
        <v>-1</v>
      </c>
      <c r="O77" s="11"/>
      <c r="P77" s="6">
        <v>19.73</v>
      </c>
      <c r="Q77" s="2"/>
      <c r="R77" s="7">
        <f t="shared" si="60"/>
        <v>0</v>
      </c>
      <c r="S77" s="2"/>
      <c r="T77" s="6">
        <v>1150.8499999999999</v>
      </c>
      <c r="U77" s="2"/>
      <c r="V77" s="7">
        <f t="shared" si="61"/>
        <v>0</v>
      </c>
      <c r="W77" s="2"/>
      <c r="X77" s="6">
        <f t="shared" si="62"/>
        <v>-1131.1199999999999</v>
      </c>
      <c r="Y77" s="2"/>
      <c r="Z77" s="7">
        <f t="shared" si="63"/>
        <v>-0.98285614980232006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6">
        <v>98.72</v>
      </c>
      <c r="E78" s="2"/>
      <c r="F78" s="7">
        <f t="shared" si="56"/>
        <v>0</v>
      </c>
      <c r="G78" s="2"/>
      <c r="H78" s="6">
        <v>-105.51</v>
      </c>
      <c r="I78" s="2"/>
      <c r="J78" s="7">
        <f t="shared" si="57"/>
        <v>0</v>
      </c>
      <c r="K78" s="2"/>
      <c r="L78" s="6">
        <f t="shared" si="58"/>
        <v>204.23000000000002</v>
      </c>
      <c r="M78" s="2"/>
      <c r="N78" s="7">
        <f t="shared" si="59"/>
        <v>-1.9356459103402521</v>
      </c>
      <c r="O78" s="11"/>
      <c r="P78" s="6">
        <v>-18.47</v>
      </c>
      <c r="Q78" s="2"/>
      <c r="R78" s="7">
        <f t="shared" si="60"/>
        <v>0</v>
      </c>
      <c r="S78" s="2"/>
      <c r="T78" s="6">
        <v>22053.969999999998</v>
      </c>
      <c r="U78" s="2"/>
      <c r="V78" s="7">
        <f t="shared" si="61"/>
        <v>0</v>
      </c>
      <c r="W78" s="2"/>
      <c r="X78" s="6">
        <f t="shared" si="62"/>
        <v>-22072.44</v>
      </c>
      <c r="Y78" s="2"/>
      <c r="Z78" s="7">
        <f t="shared" si="63"/>
        <v>-1.0008374909370059</v>
      </c>
    </row>
    <row r="79" spans="1:26" s="27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SUM(OSRRefD22_18x_0)</f>
        <v>506.86</v>
      </c>
      <c r="E79" s="1"/>
      <c r="F79" s="5">
        <f t="shared" ref="F79:F86" si="64">IF(D$12=0,0,D79/D$12)</f>
        <v>0</v>
      </c>
      <c r="G79" s="1"/>
      <c r="H79" s="1">
        <f>SUM(OSRRefH22_18x_0)</f>
        <v>417.11</v>
      </c>
      <c r="I79" s="1"/>
      <c r="J79" s="5">
        <f t="shared" ref="J79:J86" si="65">IF(H$12=0,0,H79/H$12)</f>
        <v>0</v>
      </c>
      <c r="K79" s="1"/>
      <c r="L79" s="1">
        <f t="shared" ref="L79:L86" si="66">+D79-H79</f>
        <v>89.75</v>
      </c>
      <c r="M79" s="1"/>
      <c r="N79" s="5">
        <f t="shared" ref="N79:N86" si="67">IF(H79=0,0,L79/H79)</f>
        <v>0.21517105799429406</v>
      </c>
      <c r="O79" s="13"/>
      <c r="P79" s="1">
        <f>SUM(OSRRefP22_18x_0)</f>
        <v>3142.56</v>
      </c>
      <c r="Q79" s="1"/>
      <c r="R79" s="5">
        <f t="shared" ref="R79:R86" si="68">IF(P$12=0,0,P79/P$12)</f>
        <v>0</v>
      </c>
      <c r="S79" s="1"/>
      <c r="T79" s="1">
        <f>SUM(OSRRefT22_18x_0)</f>
        <v>2782.41</v>
      </c>
      <c r="U79" s="1"/>
      <c r="V79" s="5">
        <f t="shared" ref="V79:V86" si="69">IF(T$12=0,0,T79/T$12)</f>
        <v>0</v>
      </c>
      <c r="W79" s="1"/>
      <c r="X79" s="1">
        <f t="shared" ref="X79:X86" si="70">+P79-T79</f>
        <v>360.15000000000009</v>
      </c>
      <c r="Y79" s="1"/>
      <c r="Z79" s="5">
        <f t="shared" ref="Z79:Z86" si="71">IF(T79=0,0,X79/T79)</f>
        <v>0.12943814894282299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6">
        <v>506.86</v>
      </c>
      <c r="E80" s="2"/>
      <c r="F80" s="7">
        <f t="shared" si="64"/>
        <v>0</v>
      </c>
      <c r="G80" s="2"/>
      <c r="H80" s="6">
        <v>417.11</v>
      </c>
      <c r="I80" s="2"/>
      <c r="J80" s="7">
        <f t="shared" si="65"/>
        <v>0</v>
      </c>
      <c r="K80" s="2"/>
      <c r="L80" s="6">
        <f t="shared" si="66"/>
        <v>89.75</v>
      </c>
      <c r="M80" s="2"/>
      <c r="N80" s="7">
        <f t="shared" si="67"/>
        <v>0.21517105799429406</v>
      </c>
      <c r="O80" s="11"/>
      <c r="P80" s="6">
        <v>3142.56</v>
      </c>
      <c r="Q80" s="2"/>
      <c r="R80" s="7">
        <f t="shared" si="68"/>
        <v>0</v>
      </c>
      <c r="S80" s="2"/>
      <c r="T80" s="6">
        <v>2782.41</v>
      </c>
      <c r="U80" s="2"/>
      <c r="V80" s="7">
        <f t="shared" si="69"/>
        <v>0</v>
      </c>
      <c r="W80" s="2"/>
      <c r="X80" s="6">
        <f t="shared" si="70"/>
        <v>360.15000000000009</v>
      </c>
      <c r="Y80" s="2"/>
      <c r="Z80" s="7">
        <f t="shared" si="71"/>
        <v>0.12943814894282299</v>
      </c>
    </row>
    <row r="81" spans="1:26" s="27" customFormat="1" outlineLevel="1" collapsed="1" x14ac:dyDescent="0.25">
      <c r="A81" s="25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SUM(OSRRefD22_19x_0)</f>
        <v>0</v>
      </c>
      <c r="E81" s="1"/>
      <c r="F81" s="5">
        <f t="shared" si="64"/>
        <v>0</v>
      </c>
      <c r="G81" s="1"/>
      <c r="H81" s="1">
        <f>SUM(OSRRefH22_19x_0)</f>
        <v>0</v>
      </c>
      <c r="I81" s="1"/>
      <c r="J81" s="5">
        <f t="shared" si="65"/>
        <v>0</v>
      </c>
      <c r="K81" s="1"/>
      <c r="L81" s="1">
        <f t="shared" si="66"/>
        <v>0</v>
      </c>
      <c r="M81" s="1"/>
      <c r="N81" s="5">
        <f t="shared" si="67"/>
        <v>0</v>
      </c>
      <c r="O81" s="13"/>
      <c r="P81" s="1">
        <f>SUM(OSRRefP22_19x_0)</f>
        <v>5379.44</v>
      </c>
      <c r="Q81" s="1"/>
      <c r="R81" s="5">
        <f t="shared" si="68"/>
        <v>0</v>
      </c>
      <c r="S81" s="1"/>
      <c r="T81" s="1">
        <f>SUM(OSRRefT22_19x_0)</f>
        <v>3083.97</v>
      </c>
      <c r="U81" s="1"/>
      <c r="V81" s="5">
        <f t="shared" si="69"/>
        <v>0</v>
      </c>
      <c r="W81" s="1"/>
      <c r="X81" s="1">
        <f t="shared" si="70"/>
        <v>2295.4699999999998</v>
      </c>
      <c r="Y81" s="1"/>
      <c r="Z81" s="5">
        <f t="shared" si="71"/>
        <v>0.74432306410243942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64"/>
        <v>0</v>
      </c>
      <c r="G82" s="2"/>
      <c r="H82" s="6"/>
      <c r="I82" s="2"/>
      <c r="J82" s="7">
        <f t="shared" si="65"/>
        <v>0</v>
      </c>
      <c r="K82" s="2"/>
      <c r="L82" s="6">
        <f t="shared" si="66"/>
        <v>0</v>
      </c>
      <c r="M82" s="2"/>
      <c r="N82" s="7">
        <f t="shared" si="67"/>
        <v>0</v>
      </c>
      <c r="O82" s="11"/>
      <c r="P82" s="6">
        <v>5379.44</v>
      </c>
      <c r="Q82" s="2"/>
      <c r="R82" s="7">
        <f t="shared" si="68"/>
        <v>0</v>
      </c>
      <c r="S82" s="2"/>
      <c r="T82" s="6">
        <v>3083.97</v>
      </c>
      <c r="U82" s="2"/>
      <c r="V82" s="7">
        <f t="shared" si="69"/>
        <v>0</v>
      </c>
      <c r="W82" s="2"/>
      <c r="X82" s="6">
        <f t="shared" si="70"/>
        <v>2295.4699999999998</v>
      </c>
      <c r="Y82" s="2"/>
      <c r="Z82" s="7">
        <f t="shared" si="71"/>
        <v>0.74432306410243942</v>
      </c>
    </row>
    <row r="83" spans="1:26" s="27" customFormat="1" outlineLevel="1" collapsed="1" x14ac:dyDescent="0.25">
      <c r="A83" s="25"/>
      <c r="B83" s="13" t="str">
        <f>CONCATENATE("     ","Travel                                            ")</f>
        <v xml:space="preserve">     Travel                                            </v>
      </c>
      <c r="C83" s="13"/>
      <c r="D83" s="1">
        <f>SUM(OSRRefD22_20x_0)</f>
        <v>38.22</v>
      </c>
      <c r="E83" s="1"/>
      <c r="F83" s="5">
        <f t="shared" si="64"/>
        <v>0</v>
      </c>
      <c r="G83" s="1"/>
      <c r="H83" s="1">
        <f>SUM(OSRRefH22_20x_0)</f>
        <v>124.5</v>
      </c>
      <c r="I83" s="1"/>
      <c r="J83" s="5">
        <f t="shared" si="65"/>
        <v>0</v>
      </c>
      <c r="K83" s="1"/>
      <c r="L83" s="1">
        <f t="shared" si="66"/>
        <v>-86.28</v>
      </c>
      <c r="M83" s="1"/>
      <c r="N83" s="5">
        <f t="shared" si="67"/>
        <v>-0.69301204819277107</v>
      </c>
      <c r="O83" s="13"/>
      <c r="P83" s="1">
        <f>SUM(OSRRefP22_20x_0)</f>
        <v>770.86999999999989</v>
      </c>
      <c r="Q83" s="1"/>
      <c r="R83" s="5">
        <f t="shared" si="68"/>
        <v>0</v>
      </c>
      <c r="S83" s="1"/>
      <c r="T83" s="1">
        <f>SUM(OSRRefT22_20x_0)</f>
        <v>846.45</v>
      </c>
      <c r="U83" s="1"/>
      <c r="V83" s="5">
        <f t="shared" si="69"/>
        <v>0</v>
      </c>
      <c r="W83" s="1"/>
      <c r="X83" s="1">
        <f t="shared" si="70"/>
        <v>-75.580000000000155</v>
      </c>
      <c r="Y83" s="1"/>
      <c r="Z83" s="5">
        <f t="shared" si="71"/>
        <v>-8.9290566483549119E-2</v>
      </c>
    </row>
    <row r="84" spans="1:26" s="24" customFormat="1" hidden="1" outlineLevel="2" x14ac:dyDescent="0.25">
      <c r="A84" s="26"/>
      <c r="B84" s="11" t="str">
        <f>CONCATENATE("          ", "6292", " - ", "TRAVEL/CONFERENCE")</f>
        <v xml:space="preserve">          6292 - TRAVEL/CONFERENCE</v>
      </c>
      <c r="C84" s="11"/>
      <c r="D84" s="6"/>
      <c r="E84" s="2"/>
      <c r="F84" s="7">
        <f t="shared" si="64"/>
        <v>0</v>
      </c>
      <c r="G84" s="2"/>
      <c r="H84" s="6">
        <v>62.4</v>
      </c>
      <c r="I84" s="2"/>
      <c r="J84" s="7">
        <f t="shared" si="65"/>
        <v>0</v>
      </c>
      <c r="K84" s="2"/>
      <c r="L84" s="6">
        <f t="shared" si="66"/>
        <v>-62.4</v>
      </c>
      <c r="M84" s="2"/>
      <c r="N84" s="7">
        <f t="shared" si="67"/>
        <v>-1</v>
      </c>
      <c r="O84" s="11"/>
      <c r="P84" s="6">
        <v>497.64</v>
      </c>
      <c r="Q84" s="2"/>
      <c r="R84" s="7">
        <f t="shared" si="68"/>
        <v>0</v>
      </c>
      <c r="S84" s="2"/>
      <c r="T84" s="6">
        <v>622.87</v>
      </c>
      <c r="U84" s="2"/>
      <c r="V84" s="7">
        <f t="shared" si="69"/>
        <v>0</v>
      </c>
      <c r="W84" s="2"/>
      <c r="X84" s="6">
        <f t="shared" si="70"/>
        <v>-125.23000000000002</v>
      </c>
      <c r="Y84" s="2"/>
      <c r="Z84" s="7">
        <f t="shared" si="71"/>
        <v>-0.20105318926902888</v>
      </c>
    </row>
    <row r="85" spans="1:26" s="24" customFormat="1" hidden="1" outlineLevel="2" x14ac:dyDescent="0.25">
      <c r="A85" s="26"/>
      <c r="B85" s="11" t="str">
        <f>CONCATENATE("          ", "6294", " - ", "TRAVEL OPERATIONAL")</f>
        <v xml:space="preserve">          6294 - TRAVEL OPERATIONAL</v>
      </c>
      <c r="C85" s="11"/>
      <c r="D85" s="6"/>
      <c r="E85" s="2"/>
      <c r="F85" s="7">
        <f t="shared" si="64"/>
        <v>0</v>
      </c>
      <c r="G85" s="2"/>
      <c r="H85" s="6"/>
      <c r="I85" s="2"/>
      <c r="J85" s="7">
        <f t="shared" si="65"/>
        <v>0</v>
      </c>
      <c r="K85" s="2"/>
      <c r="L85" s="6">
        <f t="shared" si="66"/>
        <v>0</v>
      </c>
      <c r="M85" s="2"/>
      <c r="N85" s="7">
        <f t="shared" si="67"/>
        <v>0</v>
      </c>
      <c r="O85" s="11"/>
      <c r="P85" s="6">
        <v>15.67</v>
      </c>
      <c r="Q85" s="2"/>
      <c r="R85" s="7">
        <f t="shared" si="68"/>
        <v>0</v>
      </c>
      <c r="S85" s="2"/>
      <c r="T85" s="6"/>
      <c r="U85" s="2"/>
      <c r="V85" s="7">
        <f t="shared" si="69"/>
        <v>0</v>
      </c>
      <c r="W85" s="2"/>
      <c r="X85" s="6">
        <f t="shared" si="70"/>
        <v>15.67</v>
      </c>
      <c r="Y85" s="2"/>
      <c r="Z85" s="7">
        <f t="shared" si="71"/>
        <v>0</v>
      </c>
    </row>
    <row r="86" spans="1:26" s="24" customFormat="1" hidden="1" outlineLevel="2" x14ac:dyDescent="0.25">
      <c r="A86" s="26"/>
      <c r="B86" s="11" t="str">
        <f>CONCATENATE("          ", "6298", " - ", "VEHICLE MILEAGE")</f>
        <v xml:space="preserve">          6298 - VEHICLE MILEAGE</v>
      </c>
      <c r="C86" s="11"/>
      <c r="D86" s="6">
        <v>38.22</v>
      </c>
      <c r="E86" s="2"/>
      <c r="F86" s="7">
        <f t="shared" si="64"/>
        <v>0</v>
      </c>
      <c r="G86" s="2"/>
      <c r="H86" s="6">
        <v>62.1</v>
      </c>
      <c r="I86" s="2"/>
      <c r="J86" s="7">
        <f t="shared" si="65"/>
        <v>0</v>
      </c>
      <c r="K86" s="2"/>
      <c r="L86" s="6">
        <f t="shared" si="66"/>
        <v>-23.880000000000003</v>
      </c>
      <c r="M86" s="2"/>
      <c r="N86" s="7">
        <f t="shared" si="67"/>
        <v>-0.3845410628019324</v>
      </c>
      <c r="O86" s="11"/>
      <c r="P86" s="6">
        <v>257.56</v>
      </c>
      <c r="Q86" s="2"/>
      <c r="R86" s="7">
        <f t="shared" si="68"/>
        <v>0</v>
      </c>
      <c r="S86" s="2"/>
      <c r="T86" s="6">
        <v>223.58</v>
      </c>
      <c r="U86" s="2"/>
      <c r="V86" s="7">
        <f t="shared" si="69"/>
        <v>0</v>
      </c>
      <c r="W86" s="2"/>
      <c r="X86" s="6">
        <f t="shared" si="70"/>
        <v>33.97999999999999</v>
      </c>
      <c r="Y86" s="2"/>
      <c r="Z86" s="7">
        <f t="shared" si="71"/>
        <v>0.15198139368458713</v>
      </c>
    </row>
    <row r="87" spans="1:26" s="27" customFormat="1" outlineLevel="1" collapsed="1" x14ac:dyDescent="0.25">
      <c r="A87" s="25"/>
      <c r="B87" s="13" t="str">
        <f>CONCATENATE("     ","Utilities                                         ")</f>
        <v xml:space="preserve">     Utilities                                         </v>
      </c>
      <c r="C87" s="13"/>
      <c r="D87" s="1">
        <f>SUM(OSRRefD22_21x_0)</f>
        <v>9365</v>
      </c>
      <c r="E87" s="1"/>
      <c r="F87" s="5">
        <f t="shared" ref="F87:F88" si="72">IF(D$12=0,0,D87/D$12)</f>
        <v>0</v>
      </c>
      <c r="G87" s="1"/>
      <c r="H87" s="1">
        <f>SUM(OSRRefH22_21x_0)</f>
        <v>5593</v>
      </c>
      <c r="I87" s="1"/>
      <c r="J87" s="5">
        <f t="shared" ref="J87:J88" si="73">IF(H$12=0,0,H87/H$12)</f>
        <v>0</v>
      </c>
      <c r="K87" s="1"/>
      <c r="L87" s="1">
        <f t="shared" ref="L87:L88" si="74">+D87-H87</f>
        <v>3772</v>
      </c>
      <c r="M87" s="1"/>
      <c r="N87" s="5">
        <f t="shared" ref="N87:N88" si="75">IF(H87=0,0,L87/H87)</f>
        <v>0.67441444662971572</v>
      </c>
      <c r="O87" s="13"/>
      <c r="P87" s="1">
        <f>SUM(OSRRefP22_21x_0)</f>
        <v>31737</v>
      </c>
      <c r="Q87" s="1"/>
      <c r="R87" s="5">
        <f t="shared" ref="R87:R88" si="76">IF(P$12=0,0,P87/P$12)</f>
        <v>0</v>
      </c>
      <c r="S87" s="1"/>
      <c r="T87" s="1">
        <f>SUM(OSRRefT22_21x_0)</f>
        <v>26198</v>
      </c>
      <c r="U87" s="1"/>
      <c r="V87" s="5">
        <f t="shared" ref="V87:V88" si="77">IF(T$12=0,0,T87/T$12)</f>
        <v>0</v>
      </c>
      <c r="W87" s="1"/>
      <c r="X87" s="1">
        <f t="shared" ref="X87:X88" si="78">+P87-T87</f>
        <v>5539</v>
      </c>
      <c r="Y87" s="1"/>
      <c r="Z87" s="5">
        <f t="shared" ref="Z87:Z88" si="79">IF(T87=0,0,X87/T87)</f>
        <v>0.21142835330941293</v>
      </c>
    </row>
    <row r="88" spans="1:26" s="24" customFormat="1" hidden="1" outlineLevel="2" x14ac:dyDescent="0.25">
      <c r="A88" s="26"/>
      <c r="B88" s="11" t="str">
        <f>CONCATENATE("          ", "6274", " - ", "UTILITIES")</f>
        <v xml:space="preserve">          6274 - UTILITIES</v>
      </c>
      <c r="C88" s="11"/>
      <c r="D88" s="6">
        <v>9365</v>
      </c>
      <c r="E88" s="2"/>
      <c r="F88" s="7">
        <f t="shared" si="72"/>
        <v>0</v>
      </c>
      <c r="G88" s="2"/>
      <c r="H88" s="6">
        <v>5593</v>
      </c>
      <c r="I88" s="2"/>
      <c r="J88" s="7">
        <f t="shared" si="73"/>
        <v>0</v>
      </c>
      <c r="K88" s="2"/>
      <c r="L88" s="6">
        <f t="shared" si="74"/>
        <v>3772</v>
      </c>
      <c r="M88" s="2"/>
      <c r="N88" s="7">
        <f t="shared" si="75"/>
        <v>0.67441444662971572</v>
      </c>
      <c r="O88" s="11"/>
      <c r="P88" s="6">
        <v>31737</v>
      </c>
      <c r="Q88" s="2"/>
      <c r="R88" s="7">
        <f t="shared" si="76"/>
        <v>0</v>
      </c>
      <c r="S88" s="2"/>
      <c r="T88" s="6">
        <v>26198</v>
      </c>
      <c r="U88" s="2"/>
      <c r="V88" s="7">
        <f t="shared" si="77"/>
        <v>0</v>
      </c>
      <c r="W88" s="2"/>
      <c r="X88" s="6">
        <f t="shared" si="78"/>
        <v>5539</v>
      </c>
      <c r="Y88" s="2"/>
      <c r="Z88" s="7">
        <f t="shared" si="79"/>
        <v>0.21142835330941293</v>
      </c>
    </row>
    <row r="89" spans="1:26" s="61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8" t="s">
        <v>0</v>
      </c>
      <c r="C90" s="10"/>
      <c r="D90" s="4">
        <f>SUM(OSRRefD25x_0)</f>
        <v>6121.0599999999995</v>
      </c>
      <c r="E90" s="4"/>
      <c r="F90" s="12">
        <f t="shared" ref="F90:F93" si="80">IF(D$12=0,0,D90/D$12)</f>
        <v>0</v>
      </c>
      <c r="G90" s="4"/>
      <c r="H90" s="4">
        <f>SUM(OSRRefH25x_0)</f>
        <v>4856.07</v>
      </c>
      <c r="I90" s="4"/>
      <c r="J90" s="12">
        <f t="shared" ref="J90:J93" si="81">IF(H$12=0,0,H90/H$12)</f>
        <v>0</v>
      </c>
      <c r="K90" s="4"/>
      <c r="L90" s="4">
        <f t="shared" ref="L90:L93" si="82">+D90-H90</f>
        <v>1264.9899999999998</v>
      </c>
      <c r="M90" s="4"/>
      <c r="N90" s="12">
        <f t="shared" ref="N90:N93" si="83">IF(H90=0,0,L90/H90)</f>
        <v>0.2604966567615376</v>
      </c>
      <c r="O90" s="10"/>
      <c r="P90" s="4">
        <f>SUM(OSRRefP25x_0)</f>
        <v>97171.199999999997</v>
      </c>
      <c r="Q90" s="4"/>
      <c r="R90" s="12">
        <f t="shared" ref="R90:R93" si="84">IF(P$12=0,0,P90/P$12)</f>
        <v>0</v>
      </c>
      <c r="S90" s="4"/>
      <c r="T90" s="4">
        <f>SUM(OSRRefT25x_0)</f>
        <v>217986.43</v>
      </c>
      <c r="U90" s="4"/>
      <c r="V90" s="12">
        <f t="shared" ref="V90:V93" si="85">IF(T$12=0,0,T90/T$12)</f>
        <v>0</v>
      </c>
      <c r="W90" s="4"/>
      <c r="X90" s="4">
        <f t="shared" ref="X90:X93" si="86">+P90-T90</f>
        <v>-120815.23</v>
      </c>
      <c r="Y90" s="4"/>
      <c r="Z90" s="12">
        <f t="shared" ref="Z90:Z93" si="87">IF(T90=0,0,X90/T90)</f>
        <v>-0.55423280247307138</v>
      </c>
    </row>
    <row r="91" spans="1:26" s="24" customFormat="1" hidden="1" outlineLevel="1" x14ac:dyDescent="0.25">
      <c r="A91" s="44"/>
      <c r="B91" s="11" t="str">
        <f>CONCATENATE("          ", "9150", " - ", "MISC. INCOME")</f>
        <v xml:space="preserve">          9150 - MISC. INCOME</v>
      </c>
      <c r="C91" s="11"/>
      <c r="D91" s="2">
        <f>--5852.82</f>
        <v>5852.82</v>
      </c>
      <c r="E91" s="2"/>
      <c r="F91" s="19">
        <f t="shared" si="80"/>
        <v>0</v>
      </c>
      <c r="G91" s="2"/>
      <c r="H91" s="2">
        <f>--4856.07</f>
        <v>4856.07</v>
      </c>
      <c r="I91" s="2"/>
      <c r="J91" s="19">
        <f t="shared" si="81"/>
        <v>0</v>
      </c>
      <c r="K91" s="2"/>
      <c r="L91" s="2">
        <f t="shared" si="82"/>
        <v>996.75</v>
      </c>
      <c r="M91" s="2"/>
      <c r="N91" s="19">
        <f t="shared" si="83"/>
        <v>0.20525857329074748</v>
      </c>
      <c r="O91" s="11"/>
      <c r="P91" s="2">
        <f>--96904.89</f>
        <v>96904.89</v>
      </c>
      <c r="Q91" s="2"/>
      <c r="R91" s="19">
        <f t="shared" si="84"/>
        <v>0</v>
      </c>
      <c r="S91" s="2"/>
      <c r="T91" s="2">
        <f>--217336.66</f>
        <v>217336.66</v>
      </c>
      <c r="U91" s="2"/>
      <c r="V91" s="19">
        <f t="shared" si="85"/>
        <v>0</v>
      </c>
      <c r="W91" s="2"/>
      <c r="X91" s="2">
        <f t="shared" si="86"/>
        <v>-120431.77</v>
      </c>
      <c r="Y91" s="2"/>
      <c r="Z91" s="19">
        <f t="shared" si="87"/>
        <v>-0.55412542918438146</v>
      </c>
    </row>
    <row r="92" spans="1:26" s="24" customFormat="1" hidden="1" outlineLevel="1" x14ac:dyDescent="0.25">
      <c r="A92" s="44"/>
      <c r="B92" s="11" t="str">
        <f>CONCATENATE("          ", "9151", " - ", "MISC. INCOME")</f>
        <v xml:space="preserve">          9151 - MISC. INCOME</v>
      </c>
      <c r="C92" s="11"/>
      <c r="D92" s="2">
        <f>--268.24</f>
        <v>268.24</v>
      </c>
      <c r="E92" s="2"/>
      <c r="F92" s="19">
        <f t="shared" si="80"/>
        <v>0</v>
      </c>
      <c r="G92" s="2"/>
      <c r="H92" s="2">
        <f t="shared" ref="H92:H93" si="88">0</f>
        <v>0</v>
      </c>
      <c r="I92" s="2"/>
      <c r="J92" s="19">
        <f t="shared" si="81"/>
        <v>0</v>
      </c>
      <c r="K92" s="2"/>
      <c r="L92" s="2">
        <f t="shared" si="82"/>
        <v>268.24</v>
      </c>
      <c r="M92" s="2"/>
      <c r="N92" s="19">
        <f t="shared" si="83"/>
        <v>0</v>
      </c>
      <c r="O92" s="11"/>
      <c r="P92" s="2">
        <f>-183.69</f>
        <v>-183.69</v>
      </c>
      <c r="Q92" s="2"/>
      <c r="R92" s="19">
        <f t="shared" si="84"/>
        <v>0</v>
      </c>
      <c r="S92" s="2"/>
      <c r="T92" s="2">
        <f>--649.77</f>
        <v>649.77</v>
      </c>
      <c r="U92" s="2"/>
      <c r="V92" s="19">
        <f t="shared" si="85"/>
        <v>0</v>
      </c>
      <c r="W92" s="2"/>
      <c r="X92" s="2">
        <f t="shared" si="86"/>
        <v>-833.46</v>
      </c>
      <c r="Y92" s="2"/>
      <c r="Z92" s="19">
        <f t="shared" si="87"/>
        <v>-1.2827000323191284</v>
      </c>
    </row>
    <row r="93" spans="1:26" s="24" customFormat="1" hidden="1" outlineLevel="1" x14ac:dyDescent="0.25">
      <c r="A93" s="44"/>
      <c r="B93" s="11" t="str">
        <f>CONCATENATE("          ", "9153", " - ", "MISC. INCOME")</f>
        <v xml:space="preserve">          9153 - MISC. INCOME</v>
      </c>
      <c r="C93" s="11"/>
      <c r="D93" s="2">
        <f>0</f>
        <v>0</v>
      </c>
      <c r="E93" s="2"/>
      <c r="F93" s="19">
        <f t="shared" si="80"/>
        <v>0</v>
      </c>
      <c r="G93" s="2"/>
      <c r="H93" s="2">
        <f t="shared" si="88"/>
        <v>0</v>
      </c>
      <c r="I93" s="2"/>
      <c r="J93" s="19">
        <f t="shared" si="81"/>
        <v>0</v>
      </c>
      <c r="K93" s="2"/>
      <c r="L93" s="2">
        <f t="shared" si="82"/>
        <v>0</v>
      </c>
      <c r="M93" s="2"/>
      <c r="N93" s="19">
        <f t="shared" si="83"/>
        <v>0</v>
      </c>
      <c r="O93" s="11"/>
      <c r="P93" s="2">
        <f>--450</f>
        <v>450</v>
      </c>
      <c r="Q93" s="2"/>
      <c r="R93" s="19">
        <f t="shared" si="84"/>
        <v>0</v>
      </c>
      <c r="S93" s="2"/>
      <c r="T93" s="2">
        <f>0</f>
        <v>0</v>
      </c>
      <c r="U93" s="2"/>
      <c r="V93" s="19">
        <f t="shared" si="85"/>
        <v>0</v>
      </c>
      <c r="W93" s="2"/>
      <c r="X93" s="2">
        <f t="shared" si="86"/>
        <v>450</v>
      </c>
      <c r="Y93" s="2"/>
      <c r="Z93" s="19">
        <f t="shared" si="87"/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0">
        <f>+D16-D18+D90</f>
        <v>-94908.529999999984</v>
      </c>
      <c r="E95" s="14"/>
      <c r="F95" s="21">
        <f>IF(D$12=0,0,D95/D$12)</f>
        <v>0</v>
      </c>
      <c r="G95" s="14"/>
      <c r="H95" s="20">
        <f>+H16-H18+H90</f>
        <v>-107396.54999999999</v>
      </c>
      <c r="I95" s="14"/>
      <c r="J95" s="21">
        <f>IF(H$12=0,0,H95/H$12)</f>
        <v>0</v>
      </c>
      <c r="K95" s="15"/>
      <c r="L95" s="20">
        <f>+D95-H95</f>
        <v>12488.020000000004</v>
      </c>
      <c r="M95" s="15"/>
      <c r="N95" s="21">
        <f>IF(H95=0,0,L95/H95)</f>
        <v>-0.11627952667008395</v>
      </c>
      <c r="O95" s="28"/>
      <c r="P95" s="20">
        <f>+P16-P18+P90</f>
        <v>-682346.79000000027</v>
      </c>
      <c r="Q95" s="14"/>
      <c r="R95" s="21">
        <f>IF(P$12=0,0,P95/P$12)</f>
        <v>0</v>
      </c>
      <c r="S95" s="14"/>
      <c r="T95" s="20">
        <f>+T16-T18+T90</f>
        <v>-611267.44999999995</v>
      </c>
      <c r="U95" s="14"/>
      <c r="V95" s="21">
        <f>IF(T$12=0,0,T95/T$12)</f>
        <v>0</v>
      </c>
      <c r="W95" s="15"/>
      <c r="X95" s="20">
        <f>+P95-T95</f>
        <v>-71079.340000000317</v>
      </c>
      <c r="Y95" s="15"/>
      <c r="Z95" s="21">
        <f>IF(T95=0,0,X95/T95)</f>
        <v>0.11628189919159007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13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2">
        <f>+D95-D97</f>
        <v>-94908.529999999984</v>
      </c>
      <c r="E99" s="14"/>
      <c r="F99" s="30">
        <f>IF(D$12=0,0,D99/D$12)</f>
        <v>0</v>
      </c>
      <c r="G99" s="14"/>
      <c r="H99" s="32">
        <f>+H95-H97</f>
        <v>-107396.54999999999</v>
      </c>
      <c r="I99" s="14"/>
      <c r="J99" s="30">
        <f>IF(H$12=0,0,H99/H$12)</f>
        <v>0</v>
      </c>
      <c r="K99" s="15"/>
      <c r="L99" s="32">
        <f>D99-H99</f>
        <v>12488.020000000004</v>
      </c>
      <c r="M99" s="15"/>
      <c r="N99" s="30">
        <f>IF(H99=0,0,L99/H99)</f>
        <v>-0.11627952667008395</v>
      </c>
      <c r="O99" s="28"/>
      <c r="P99" s="32">
        <f>+P95-P97</f>
        <v>-682346.79000000027</v>
      </c>
      <c r="Q99" s="14"/>
      <c r="R99" s="30">
        <f>IF(P$12=0,0,P99/P$12)</f>
        <v>0</v>
      </c>
      <c r="S99" s="14"/>
      <c r="T99" s="32">
        <f>+T95-T97</f>
        <v>-611267.44999999995</v>
      </c>
      <c r="U99" s="14"/>
      <c r="V99" s="30">
        <f>IF(T$12=0,0,T99/T$12)</f>
        <v>0</v>
      </c>
      <c r="W99" s="15"/>
      <c r="X99" s="32">
        <f>P99-T99</f>
        <v>-71079.340000000317</v>
      </c>
      <c r="Y99" s="15"/>
      <c r="Z99" s="30">
        <f>IF(T99=0,0,X99/T99)</f>
        <v>0.11628189919159007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6">
        <f>SUM(D99:D101)</f>
        <v>-94908.529999999984</v>
      </c>
      <c r="E102" s="14"/>
      <c r="F102" s="31">
        <f>IF(D$12=0,0,D102/D$12)</f>
        <v>0</v>
      </c>
      <c r="G102" s="14"/>
      <c r="H102" s="36">
        <f>SUM(H99:H101)</f>
        <v>-107396.54999999999</v>
      </c>
      <c r="I102" s="14"/>
      <c r="J102" s="31">
        <f>IF(H$12=0,0,H102/H$12)</f>
        <v>0</v>
      </c>
      <c r="K102" s="15"/>
      <c r="L102" s="36">
        <f>+D102-H102</f>
        <v>12488.020000000004</v>
      </c>
      <c r="M102" s="15"/>
      <c r="N102" s="31">
        <f>IF(H102=0,0,L102/H102)</f>
        <v>-0.11627952667008395</v>
      </c>
      <c r="O102" s="28"/>
      <c r="P102" s="36">
        <f>SUM(P99:P101)</f>
        <v>-682346.79000000027</v>
      </c>
      <c r="Q102" s="14"/>
      <c r="R102" s="31">
        <f>IF(P$12=0,0,P102/P$12)</f>
        <v>0</v>
      </c>
      <c r="S102" s="14"/>
      <c r="T102" s="36">
        <f>SUM(T99:T101)</f>
        <v>-611267.44999999995</v>
      </c>
      <c r="U102" s="14"/>
      <c r="V102" s="31">
        <f>IF(T$12=0,0,T102/T$12)</f>
        <v>0</v>
      </c>
      <c r="W102" s="15"/>
      <c r="X102" s="36">
        <f>+P102-T102</f>
        <v>-71079.340000000317</v>
      </c>
      <c r="Y102" s="15"/>
      <c r="Z102" s="31">
        <f>IF(T102=0,0,X102/T102)</f>
        <v>0.11628189919159007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62">
        <v>43847.45358105324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6" t="s">
        <v>313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4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","306", " - ", "Warehouse")</f>
        <v>Department 306 - Warehouse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38670.5</v>
      </c>
      <c r="E18" s="22"/>
      <c r="F18" s="33">
        <f t="shared" ref="F18:F28" si="0">IF(D$12=0,0,D18/D$12)</f>
        <v>0</v>
      </c>
      <c r="G18" s="22"/>
      <c r="H18" s="22">
        <f>SUM(OSRRefH22x_0)</f>
        <v>38223.1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447.40000000000146</v>
      </c>
      <c r="M18" s="4"/>
      <c r="N18" s="33">
        <f t="shared" ref="N18:N28" si="3">IF(H18=0,0,L18/H18)</f>
        <v>1.170496375228596E-2</v>
      </c>
      <c r="O18" s="10"/>
      <c r="P18" s="22">
        <f>SUM(OSRRefP22x_0)</f>
        <v>251135.78</v>
      </c>
      <c r="Q18" s="22"/>
      <c r="R18" s="33">
        <f t="shared" ref="R18:R28" si="4">IF(P$12=0,0,P18/P$12)</f>
        <v>0</v>
      </c>
      <c r="S18" s="22"/>
      <c r="T18" s="22">
        <f>SUM(OSRRefT22x_0)</f>
        <v>269276.82000000007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-18141.040000000066</v>
      </c>
      <c r="Y18" s="4"/>
      <c r="Z18" s="33">
        <f t="shared" ref="Z18:Z28" si="7">IF(T18=0,0,X18/T18)</f>
        <v>-6.7369482453038712E-2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5284.9199999999992</v>
      </c>
      <c r="E19" s="1"/>
      <c r="F19" s="5">
        <f t="shared" si="0"/>
        <v>0</v>
      </c>
      <c r="G19" s="1"/>
      <c r="H19" s="1">
        <f>SUM(OSRRefH22_0x_0)</f>
        <v>5146.29</v>
      </c>
      <c r="I19" s="1"/>
      <c r="J19" s="5">
        <f t="shared" si="1"/>
        <v>0</v>
      </c>
      <c r="K19" s="1"/>
      <c r="L19" s="1">
        <f t="shared" si="2"/>
        <v>138.6299999999992</v>
      </c>
      <c r="M19" s="1"/>
      <c r="N19" s="5">
        <f t="shared" si="3"/>
        <v>2.6937852316911641E-2</v>
      </c>
      <c r="O19" s="13"/>
      <c r="P19" s="1">
        <f>SUM(OSRRefP22_0x_0)</f>
        <v>37627.18</v>
      </c>
      <c r="Q19" s="1"/>
      <c r="R19" s="5">
        <f t="shared" si="4"/>
        <v>0</v>
      </c>
      <c r="S19" s="1"/>
      <c r="T19" s="1">
        <f>SUM(OSRRefT22_0x_0)</f>
        <v>39360.39</v>
      </c>
      <c r="U19" s="1"/>
      <c r="V19" s="5">
        <f t="shared" si="5"/>
        <v>0</v>
      </c>
      <c r="W19" s="1"/>
      <c r="X19" s="1">
        <f t="shared" si="6"/>
        <v>-1733.2099999999991</v>
      </c>
      <c r="Y19" s="1"/>
      <c r="Z19" s="5">
        <f t="shared" si="7"/>
        <v>-4.4034370594397035E-2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701.44</v>
      </c>
      <c r="E20" s="2"/>
      <c r="F20" s="7">
        <f t="shared" si="0"/>
        <v>0</v>
      </c>
      <c r="G20" s="2"/>
      <c r="H20" s="6">
        <v>757.1</v>
      </c>
      <c r="I20" s="2"/>
      <c r="J20" s="7">
        <f t="shared" si="1"/>
        <v>0</v>
      </c>
      <c r="K20" s="2"/>
      <c r="L20" s="6">
        <f t="shared" si="2"/>
        <v>-55.659999999999968</v>
      </c>
      <c r="M20" s="2"/>
      <c r="N20" s="7">
        <f t="shared" si="3"/>
        <v>-7.3517368907673977E-2</v>
      </c>
      <c r="O20" s="11"/>
      <c r="P20" s="6">
        <v>9945.7800000000007</v>
      </c>
      <c r="Q20" s="2"/>
      <c r="R20" s="7">
        <f t="shared" si="4"/>
        <v>0</v>
      </c>
      <c r="S20" s="2"/>
      <c r="T20" s="6">
        <v>11392.38</v>
      </c>
      <c r="U20" s="2"/>
      <c r="V20" s="7">
        <f t="shared" si="5"/>
        <v>0</v>
      </c>
      <c r="W20" s="2"/>
      <c r="X20" s="6">
        <f t="shared" si="6"/>
        <v>-1446.5999999999985</v>
      </c>
      <c r="Y20" s="2"/>
      <c r="Z20" s="7">
        <f t="shared" si="7"/>
        <v>-0.12697961268848112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823.5</v>
      </c>
      <c r="E21" s="2"/>
      <c r="F21" s="7">
        <f t="shared" si="0"/>
        <v>0</v>
      </c>
      <c r="G21" s="2"/>
      <c r="H21" s="6">
        <v>476.88</v>
      </c>
      <c r="I21" s="2"/>
      <c r="J21" s="7">
        <f t="shared" si="1"/>
        <v>0</v>
      </c>
      <c r="K21" s="2"/>
      <c r="L21" s="6">
        <f t="shared" si="2"/>
        <v>346.62</v>
      </c>
      <c r="M21" s="2"/>
      <c r="N21" s="7">
        <f t="shared" si="3"/>
        <v>0.72684952189230001</v>
      </c>
      <c r="O21" s="11"/>
      <c r="P21" s="6">
        <v>3464.4</v>
      </c>
      <c r="Q21" s="2"/>
      <c r="R21" s="7">
        <f t="shared" si="4"/>
        <v>0</v>
      </c>
      <c r="S21" s="2"/>
      <c r="T21" s="6">
        <v>2799.65</v>
      </c>
      <c r="U21" s="2"/>
      <c r="V21" s="7">
        <f t="shared" si="5"/>
        <v>0</v>
      </c>
      <c r="W21" s="2"/>
      <c r="X21" s="6">
        <f t="shared" si="6"/>
        <v>664.75</v>
      </c>
      <c r="Y21" s="2"/>
      <c r="Z21" s="7">
        <f t="shared" si="7"/>
        <v>0.23744039433500616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1949.27</v>
      </c>
      <c r="E22" s="2"/>
      <c r="F22" s="7">
        <f t="shared" si="0"/>
        <v>0</v>
      </c>
      <c r="G22" s="2"/>
      <c r="H22" s="6">
        <v>2104.1999999999998</v>
      </c>
      <c r="I22" s="2"/>
      <c r="J22" s="7">
        <f t="shared" si="1"/>
        <v>0</v>
      </c>
      <c r="K22" s="2"/>
      <c r="L22" s="6">
        <f t="shared" si="2"/>
        <v>-154.92999999999984</v>
      </c>
      <c r="M22" s="2"/>
      <c r="N22" s="7">
        <f t="shared" si="3"/>
        <v>-7.3628932610968464E-2</v>
      </c>
      <c r="O22" s="11"/>
      <c r="P22" s="6">
        <v>11695.62</v>
      </c>
      <c r="Q22" s="2"/>
      <c r="R22" s="7">
        <f t="shared" si="4"/>
        <v>0</v>
      </c>
      <c r="S22" s="2"/>
      <c r="T22" s="6">
        <v>11311.97</v>
      </c>
      <c r="U22" s="2"/>
      <c r="V22" s="7">
        <f t="shared" si="5"/>
        <v>0</v>
      </c>
      <c r="W22" s="2"/>
      <c r="X22" s="6">
        <f t="shared" si="6"/>
        <v>383.65000000000146</v>
      </c>
      <c r="Y22" s="2"/>
      <c r="Z22" s="7">
        <f t="shared" si="7"/>
        <v>3.3915401119345392E-2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112.69</v>
      </c>
      <c r="E23" s="2"/>
      <c r="F23" s="7">
        <f t="shared" si="0"/>
        <v>0</v>
      </c>
      <c r="G23" s="2"/>
      <c r="H23" s="6">
        <v>104.19</v>
      </c>
      <c r="I23" s="2"/>
      <c r="J23" s="7">
        <f t="shared" si="1"/>
        <v>0</v>
      </c>
      <c r="K23" s="2"/>
      <c r="L23" s="6">
        <f t="shared" si="2"/>
        <v>8.5</v>
      </c>
      <c r="M23" s="2"/>
      <c r="N23" s="7">
        <f t="shared" si="3"/>
        <v>8.1581725693444671E-2</v>
      </c>
      <c r="O23" s="11"/>
      <c r="P23" s="6">
        <v>569.94000000000005</v>
      </c>
      <c r="Q23" s="2"/>
      <c r="R23" s="7">
        <f t="shared" si="4"/>
        <v>0</v>
      </c>
      <c r="S23" s="2"/>
      <c r="T23" s="6">
        <v>631.54</v>
      </c>
      <c r="U23" s="2"/>
      <c r="V23" s="7">
        <f t="shared" si="5"/>
        <v>0</v>
      </c>
      <c r="W23" s="2"/>
      <c r="X23" s="6">
        <f t="shared" si="6"/>
        <v>-61.599999999999909</v>
      </c>
      <c r="Y23" s="2"/>
      <c r="Z23" s="7">
        <f t="shared" si="7"/>
        <v>-9.7539348259809214E-2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691.3</v>
      </c>
      <c r="E24" s="2"/>
      <c r="F24" s="7">
        <f t="shared" si="0"/>
        <v>0</v>
      </c>
      <c r="G24" s="2"/>
      <c r="H24" s="6">
        <v>616.78</v>
      </c>
      <c r="I24" s="2"/>
      <c r="J24" s="7">
        <f t="shared" si="1"/>
        <v>0</v>
      </c>
      <c r="K24" s="2"/>
      <c r="L24" s="6">
        <f t="shared" si="2"/>
        <v>74.519999999999982</v>
      </c>
      <c r="M24" s="2"/>
      <c r="N24" s="7">
        <f t="shared" si="3"/>
        <v>0.12082103829566455</v>
      </c>
      <c r="O24" s="11"/>
      <c r="P24" s="6">
        <v>4428.42</v>
      </c>
      <c r="Q24" s="2"/>
      <c r="R24" s="7">
        <f t="shared" si="4"/>
        <v>0</v>
      </c>
      <c r="S24" s="2"/>
      <c r="T24" s="6">
        <v>4310.5200000000004</v>
      </c>
      <c r="U24" s="2"/>
      <c r="V24" s="7">
        <f t="shared" si="5"/>
        <v>0</v>
      </c>
      <c r="W24" s="2"/>
      <c r="X24" s="6">
        <f t="shared" si="6"/>
        <v>117.89999999999964</v>
      </c>
      <c r="Y24" s="2"/>
      <c r="Z24" s="7">
        <f t="shared" si="7"/>
        <v>2.7351688427382222E-2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302.08</v>
      </c>
      <c r="U25" s="2"/>
      <c r="V25" s="7">
        <f t="shared" si="5"/>
        <v>0</v>
      </c>
      <c r="W25" s="2"/>
      <c r="X25" s="6">
        <f t="shared" si="6"/>
        <v>-302.08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286.44</v>
      </c>
      <c r="E26" s="2"/>
      <c r="F26" s="7">
        <f t="shared" si="0"/>
        <v>0</v>
      </c>
      <c r="G26" s="2"/>
      <c r="H26" s="6">
        <v>559.72</v>
      </c>
      <c r="I26" s="2"/>
      <c r="J26" s="7">
        <f t="shared" si="1"/>
        <v>0</v>
      </c>
      <c r="K26" s="2"/>
      <c r="L26" s="6">
        <f t="shared" si="2"/>
        <v>-273.28000000000003</v>
      </c>
      <c r="M26" s="2"/>
      <c r="N26" s="7">
        <f t="shared" si="3"/>
        <v>-0.48824412206103052</v>
      </c>
      <c r="O26" s="11"/>
      <c r="P26" s="6">
        <v>2306.4299999999998</v>
      </c>
      <c r="Q26" s="2"/>
      <c r="R26" s="7">
        <f t="shared" si="4"/>
        <v>0</v>
      </c>
      <c r="S26" s="2"/>
      <c r="T26" s="6">
        <v>3755.79</v>
      </c>
      <c r="U26" s="2"/>
      <c r="V26" s="7">
        <f t="shared" si="5"/>
        <v>0</v>
      </c>
      <c r="W26" s="2"/>
      <c r="X26" s="6">
        <f t="shared" si="6"/>
        <v>-1449.3600000000001</v>
      </c>
      <c r="Y26" s="2"/>
      <c r="Z26" s="7">
        <f t="shared" si="7"/>
        <v>-0.38590017013730804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374.44</v>
      </c>
      <c r="E27" s="2"/>
      <c r="F27" s="7">
        <f t="shared" si="0"/>
        <v>0</v>
      </c>
      <c r="G27" s="2"/>
      <c r="H27" s="6">
        <v>353.06</v>
      </c>
      <c r="I27" s="2"/>
      <c r="J27" s="7">
        <f t="shared" si="1"/>
        <v>0</v>
      </c>
      <c r="K27" s="2"/>
      <c r="L27" s="6">
        <f t="shared" si="2"/>
        <v>21.379999999999995</v>
      </c>
      <c r="M27" s="2"/>
      <c r="N27" s="7">
        <f t="shared" si="3"/>
        <v>6.0556279385940055E-2</v>
      </c>
      <c r="O27" s="11"/>
      <c r="P27" s="6">
        <v>3312.49</v>
      </c>
      <c r="Q27" s="2"/>
      <c r="R27" s="7">
        <f t="shared" si="4"/>
        <v>0</v>
      </c>
      <c r="S27" s="2"/>
      <c r="T27" s="6">
        <v>3467.69</v>
      </c>
      <c r="U27" s="2"/>
      <c r="V27" s="7">
        <f t="shared" si="5"/>
        <v>0</v>
      </c>
      <c r="W27" s="2"/>
      <c r="X27" s="6">
        <f t="shared" si="6"/>
        <v>-155.20000000000027</v>
      </c>
      <c r="Y27" s="2"/>
      <c r="Z27" s="7">
        <f t="shared" si="7"/>
        <v>-4.4756019136658776E-2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345.84</v>
      </c>
      <c r="E28" s="2"/>
      <c r="F28" s="7">
        <f t="shared" si="0"/>
        <v>0</v>
      </c>
      <c r="G28" s="2"/>
      <c r="H28" s="6">
        <v>174.36</v>
      </c>
      <c r="I28" s="2"/>
      <c r="J28" s="7">
        <f t="shared" si="1"/>
        <v>0</v>
      </c>
      <c r="K28" s="2"/>
      <c r="L28" s="6">
        <f t="shared" si="2"/>
        <v>171.47999999999996</v>
      </c>
      <c r="M28" s="2"/>
      <c r="N28" s="7">
        <f t="shared" si="3"/>
        <v>0.98348245010323443</v>
      </c>
      <c r="O28" s="11"/>
      <c r="P28" s="6">
        <v>1904.1</v>
      </c>
      <c r="Q28" s="2"/>
      <c r="R28" s="7">
        <f t="shared" si="4"/>
        <v>0</v>
      </c>
      <c r="S28" s="2"/>
      <c r="T28" s="6">
        <v>1388.77</v>
      </c>
      <c r="U28" s="2"/>
      <c r="V28" s="7">
        <f t="shared" si="5"/>
        <v>0</v>
      </c>
      <c r="W28" s="2"/>
      <c r="X28" s="6">
        <f t="shared" si="6"/>
        <v>515.32999999999993</v>
      </c>
      <c r="Y28" s="2"/>
      <c r="Z28" s="7">
        <f t="shared" si="7"/>
        <v>0.37106936353751874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31955.96</v>
      </c>
      <c r="E29" s="1"/>
      <c r="F29" s="5">
        <f t="shared" ref="F29:F34" si="8">IF(D$12=0,0,D29/D$12)</f>
        <v>0</v>
      </c>
      <c r="G29" s="1"/>
      <c r="H29" s="1">
        <f>SUM(OSRRefH22_1x_0)</f>
        <v>31120.720000000001</v>
      </c>
      <c r="I29" s="1"/>
      <c r="J29" s="5">
        <f t="shared" ref="J29:J34" si="9">IF(H$12=0,0,H29/H$12)</f>
        <v>0</v>
      </c>
      <c r="K29" s="1"/>
      <c r="L29" s="1">
        <f t="shared" ref="L29:L34" si="10">+D29-H29</f>
        <v>835.23999999999796</v>
      </c>
      <c r="M29" s="1"/>
      <c r="N29" s="5">
        <f t="shared" ref="N29:N34" si="11">IF(H29=0,0,L29/H29)</f>
        <v>2.6838710672503655E-2</v>
      </c>
      <c r="O29" s="13"/>
      <c r="P29" s="1">
        <f>SUM(OSRRefP22_1x_0)</f>
        <v>208746.55</v>
      </c>
      <c r="Q29" s="1"/>
      <c r="R29" s="5">
        <f t="shared" ref="R29:R34" si="12">IF(P$12=0,0,P29/P$12)</f>
        <v>0</v>
      </c>
      <c r="S29" s="1"/>
      <c r="T29" s="1">
        <f>SUM(OSRRefT22_1x_0)</f>
        <v>222512.74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-13766.190000000002</v>
      </c>
      <c r="Y29" s="1"/>
      <c r="Z29" s="5">
        <f t="shared" ref="Z29:Z34" si="15">IF(T29=0,0,X29/T29)</f>
        <v>-6.1866974448294525E-2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7783.22</v>
      </c>
      <c r="E30" s="2"/>
      <c r="F30" s="7">
        <f t="shared" si="8"/>
        <v>0</v>
      </c>
      <c r="G30" s="2"/>
      <c r="H30" s="6">
        <v>7541.12</v>
      </c>
      <c r="I30" s="2"/>
      <c r="J30" s="7">
        <f t="shared" si="9"/>
        <v>0</v>
      </c>
      <c r="K30" s="2"/>
      <c r="L30" s="6">
        <f t="shared" si="10"/>
        <v>242.10000000000036</v>
      </c>
      <c r="M30" s="2"/>
      <c r="N30" s="7">
        <f t="shared" si="11"/>
        <v>3.2103984554018548E-2</v>
      </c>
      <c r="O30" s="11"/>
      <c r="P30" s="6">
        <v>50467.56</v>
      </c>
      <c r="Q30" s="2"/>
      <c r="R30" s="7">
        <f t="shared" si="12"/>
        <v>0</v>
      </c>
      <c r="S30" s="2"/>
      <c r="T30" s="6">
        <v>45531.23</v>
      </c>
      <c r="U30" s="2"/>
      <c r="V30" s="7">
        <f t="shared" si="13"/>
        <v>0</v>
      </c>
      <c r="W30" s="2"/>
      <c r="X30" s="6">
        <f t="shared" si="14"/>
        <v>4936.3299999999945</v>
      </c>
      <c r="Y30" s="2"/>
      <c r="Z30" s="7">
        <f t="shared" si="15"/>
        <v>0.10841635510395818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6">
        <v>1049.79</v>
      </c>
      <c r="E31" s="2"/>
      <c r="F31" s="7">
        <f t="shared" si="8"/>
        <v>0</v>
      </c>
      <c r="G31" s="2"/>
      <c r="H31" s="6">
        <v>2255.5100000000002</v>
      </c>
      <c r="I31" s="2"/>
      <c r="J31" s="7">
        <f t="shared" si="9"/>
        <v>0</v>
      </c>
      <c r="K31" s="2"/>
      <c r="L31" s="6">
        <f t="shared" si="10"/>
        <v>-1205.7200000000003</v>
      </c>
      <c r="M31" s="2"/>
      <c r="N31" s="7">
        <f t="shared" si="11"/>
        <v>-0.53456646168715727</v>
      </c>
      <c r="O31" s="11"/>
      <c r="P31" s="6">
        <v>11089.38</v>
      </c>
      <c r="Q31" s="2"/>
      <c r="R31" s="7">
        <f t="shared" si="12"/>
        <v>0</v>
      </c>
      <c r="S31" s="2"/>
      <c r="T31" s="6">
        <v>19361.809999999998</v>
      </c>
      <c r="U31" s="2"/>
      <c r="V31" s="7">
        <f t="shared" si="13"/>
        <v>0</v>
      </c>
      <c r="W31" s="2"/>
      <c r="X31" s="6">
        <f t="shared" si="14"/>
        <v>-8272.4299999999985</v>
      </c>
      <c r="Y31" s="2"/>
      <c r="Z31" s="7">
        <f t="shared" si="15"/>
        <v>-0.42725499320569715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9085.3700000000008</v>
      </c>
      <c r="Q32" s="2"/>
      <c r="R32" s="7">
        <f t="shared" si="12"/>
        <v>0</v>
      </c>
      <c r="S32" s="2"/>
      <c r="T32" s="6">
        <v>16734.89</v>
      </c>
      <c r="U32" s="2"/>
      <c r="V32" s="7">
        <f t="shared" si="13"/>
        <v>0</v>
      </c>
      <c r="W32" s="2"/>
      <c r="X32" s="6">
        <f t="shared" si="14"/>
        <v>-7649.5199999999986</v>
      </c>
      <c r="Y32" s="2"/>
      <c r="Z32" s="7">
        <f t="shared" si="15"/>
        <v>-0.45710010642436244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21962.7</v>
      </c>
      <c r="E33" s="2"/>
      <c r="F33" s="7">
        <f t="shared" si="8"/>
        <v>0</v>
      </c>
      <c r="G33" s="2"/>
      <c r="H33" s="6">
        <v>19341.59</v>
      </c>
      <c r="I33" s="2"/>
      <c r="J33" s="7">
        <f t="shared" si="9"/>
        <v>0</v>
      </c>
      <c r="K33" s="2"/>
      <c r="L33" s="6">
        <f t="shared" si="10"/>
        <v>2621.1100000000006</v>
      </c>
      <c r="M33" s="2"/>
      <c r="N33" s="7">
        <f t="shared" si="11"/>
        <v>0.13551678016130012</v>
      </c>
      <c r="O33" s="11"/>
      <c r="P33" s="6">
        <v>132407.99</v>
      </c>
      <c r="Q33" s="2"/>
      <c r="R33" s="7">
        <f t="shared" si="12"/>
        <v>0</v>
      </c>
      <c r="S33" s="2"/>
      <c r="T33" s="6">
        <v>128749.31000000001</v>
      </c>
      <c r="U33" s="2"/>
      <c r="V33" s="7">
        <f t="shared" si="13"/>
        <v>0</v>
      </c>
      <c r="W33" s="2"/>
      <c r="X33" s="6">
        <f t="shared" si="14"/>
        <v>3658.6799999999785</v>
      </c>
      <c r="Y33" s="2"/>
      <c r="Z33" s="7">
        <f t="shared" si="15"/>
        <v>2.841708433233528E-2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>
        <v>1160.25</v>
      </c>
      <c r="E34" s="2"/>
      <c r="F34" s="7">
        <f t="shared" si="8"/>
        <v>0</v>
      </c>
      <c r="G34" s="2"/>
      <c r="H34" s="6">
        <v>1982.5</v>
      </c>
      <c r="I34" s="2"/>
      <c r="J34" s="7">
        <f t="shared" si="9"/>
        <v>0</v>
      </c>
      <c r="K34" s="2"/>
      <c r="L34" s="6">
        <f t="shared" si="10"/>
        <v>-822.25</v>
      </c>
      <c r="M34" s="2"/>
      <c r="N34" s="7">
        <f t="shared" si="11"/>
        <v>-0.41475409836065574</v>
      </c>
      <c r="O34" s="11"/>
      <c r="P34" s="6">
        <v>5696.25</v>
      </c>
      <c r="Q34" s="2"/>
      <c r="R34" s="7">
        <f t="shared" si="12"/>
        <v>0</v>
      </c>
      <c r="S34" s="2"/>
      <c r="T34" s="6">
        <v>12135.5</v>
      </c>
      <c r="U34" s="2"/>
      <c r="V34" s="7">
        <f t="shared" si="13"/>
        <v>0</v>
      </c>
      <c r="W34" s="2"/>
      <c r="X34" s="6">
        <f t="shared" si="14"/>
        <v>-6439.25</v>
      </c>
      <c r="Y34" s="2"/>
      <c r="Z34" s="7">
        <f t="shared" si="15"/>
        <v>-0.53061266532075313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36</v>
      </c>
      <c r="E35" s="1"/>
      <c r="F35" s="5">
        <f t="shared" ref="F35:F47" si="16">IF(D$12=0,0,D35/D$12)</f>
        <v>0</v>
      </c>
      <c r="G35" s="1"/>
      <c r="H35" s="1">
        <f>SUM(OSRRefH22_2x_0)</f>
        <v>336</v>
      </c>
      <c r="I35" s="1"/>
      <c r="J35" s="5">
        <f t="shared" ref="J35:J47" si="17">IF(H$12=0,0,H35/H$12)</f>
        <v>0</v>
      </c>
      <c r="K35" s="1"/>
      <c r="L35" s="1">
        <f t="shared" ref="L35:L47" si="18">+D35-H35</f>
        <v>-300</v>
      </c>
      <c r="M35" s="1"/>
      <c r="N35" s="5">
        <f t="shared" ref="N35:N47" si="19">IF(H35=0,0,L35/H35)</f>
        <v>-0.8928571428571429</v>
      </c>
      <c r="O35" s="13"/>
      <c r="P35" s="1">
        <f>SUM(OSRRefP22_2x_0)</f>
        <v>186</v>
      </c>
      <c r="Q35" s="1"/>
      <c r="R35" s="5">
        <f t="shared" ref="R35:R47" si="20">IF(P$12=0,0,P35/P$12)</f>
        <v>0</v>
      </c>
      <c r="S35" s="1"/>
      <c r="T35" s="1">
        <f>SUM(OSRRefT22_2x_0)</f>
        <v>762</v>
      </c>
      <c r="U35" s="1"/>
      <c r="V35" s="5">
        <f t="shared" ref="V35:V47" si="21">IF(T$12=0,0,T35/T$12)</f>
        <v>0</v>
      </c>
      <c r="W35" s="1"/>
      <c r="X35" s="1">
        <f t="shared" ref="X35:X47" si="22">+P35-T35</f>
        <v>-576</v>
      </c>
      <c r="Y35" s="1"/>
      <c r="Z35" s="5">
        <f t="shared" ref="Z35:Z47" si="23">IF(T35=0,0,X35/T35)</f>
        <v>-0.75590551181102361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>
        <v>36</v>
      </c>
      <c r="E36" s="2"/>
      <c r="F36" s="7">
        <f t="shared" si="16"/>
        <v>0</v>
      </c>
      <c r="G36" s="2"/>
      <c r="H36" s="6">
        <v>336</v>
      </c>
      <c r="I36" s="2"/>
      <c r="J36" s="7">
        <f t="shared" si="17"/>
        <v>0</v>
      </c>
      <c r="K36" s="2"/>
      <c r="L36" s="6">
        <f t="shared" si="18"/>
        <v>-300</v>
      </c>
      <c r="M36" s="2"/>
      <c r="N36" s="7">
        <f t="shared" si="19"/>
        <v>-0.8928571428571429</v>
      </c>
      <c r="O36" s="11"/>
      <c r="P36" s="6">
        <v>186</v>
      </c>
      <c r="Q36" s="2"/>
      <c r="R36" s="7">
        <f t="shared" si="20"/>
        <v>0</v>
      </c>
      <c r="S36" s="2"/>
      <c r="T36" s="6">
        <v>762</v>
      </c>
      <c r="U36" s="2"/>
      <c r="V36" s="7">
        <f t="shared" si="21"/>
        <v>0</v>
      </c>
      <c r="W36" s="2"/>
      <c r="X36" s="6">
        <f t="shared" si="22"/>
        <v>-576</v>
      </c>
      <c r="Y36" s="2"/>
      <c r="Z36" s="7">
        <f t="shared" si="23"/>
        <v>-0.75590551181102361</v>
      </c>
    </row>
    <row r="37" spans="1:26" s="27" customFormat="1" outlineLevel="1" collapsed="1" x14ac:dyDescent="0.25">
      <c r="A37" s="25"/>
      <c r="B37" s="13" t="str">
        <f>CONCATENATE("     ","Employees' Appreciation                           ")</f>
        <v xml:space="preserve">     Employees' Appreciation                           </v>
      </c>
      <c r="C37" s="13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19.07</v>
      </c>
      <c r="U37" s="1"/>
      <c r="V37" s="5">
        <f t="shared" si="21"/>
        <v>0</v>
      </c>
      <c r="W37" s="1"/>
      <c r="X37" s="1">
        <f t="shared" si="22"/>
        <v>-19.07</v>
      </c>
      <c r="Y37" s="1"/>
      <c r="Z37" s="5">
        <f t="shared" si="23"/>
        <v>-1</v>
      </c>
    </row>
    <row r="38" spans="1:26" s="24" customFormat="1" hidden="1" outlineLevel="2" x14ac:dyDescent="0.25">
      <c r="A38" s="26"/>
      <c r="B38" s="11" t="str">
        <f>CONCATENATE("          ", "6277", " - ", "EMPLOYEE APPRECIATION")</f>
        <v xml:space="preserve">          6277 - EMPLOYEE APPRECIATION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19.07</v>
      </c>
      <c r="U38" s="2"/>
      <c r="V38" s="7">
        <f t="shared" si="21"/>
        <v>0</v>
      </c>
      <c r="W38" s="2"/>
      <c r="X38" s="6">
        <f t="shared" si="22"/>
        <v>-19.07</v>
      </c>
      <c r="Y38" s="2"/>
      <c r="Z38" s="7">
        <f t="shared" si="23"/>
        <v>-1</v>
      </c>
    </row>
    <row r="39" spans="1:26" s="27" customFormat="1" outlineLevel="1" collapsed="1" x14ac:dyDescent="0.25">
      <c r="A39" s="25"/>
      <c r="B39" s="13" t="str">
        <f>CONCATENATE("     ","Equipment Rental                                  ")</f>
        <v xml:space="preserve">     Equipment Rental                                  </v>
      </c>
      <c r="C39" s="13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SUM(OSRRefP22_4x_0)</f>
        <v>610.41999999999996</v>
      </c>
      <c r="Q39" s="1"/>
      <c r="R39" s="5">
        <f t="shared" si="20"/>
        <v>0</v>
      </c>
      <c r="S39" s="1"/>
      <c r="T39" s="1">
        <f>SUM(OSRRefT22_4x_0)</f>
        <v>664.96</v>
      </c>
      <c r="U39" s="1"/>
      <c r="V39" s="5">
        <f t="shared" si="21"/>
        <v>0</v>
      </c>
      <c r="W39" s="1"/>
      <c r="X39" s="1">
        <f t="shared" si="22"/>
        <v>-54.540000000000077</v>
      </c>
      <c r="Y39" s="1"/>
      <c r="Z39" s="5">
        <f t="shared" si="23"/>
        <v>-8.2019971126082877E-2</v>
      </c>
    </row>
    <row r="40" spans="1:26" s="24" customFormat="1" hidden="1" outlineLevel="2" x14ac:dyDescent="0.25">
      <c r="A40" s="26"/>
      <c r="B40" s="11" t="str">
        <f>CONCATENATE("          ", "6351", " - ", "EQUIPMENT RENTAL")</f>
        <v xml:space="preserve">          6351 - EQUIPMENT RENTAL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610.41999999999996</v>
      </c>
      <c r="Q40" s="2"/>
      <c r="R40" s="7">
        <f t="shared" si="20"/>
        <v>0</v>
      </c>
      <c r="S40" s="2"/>
      <c r="T40" s="6">
        <v>664.96</v>
      </c>
      <c r="U40" s="2"/>
      <c r="V40" s="7">
        <f t="shared" si="21"/>
        <v>0</v>
      </c>
      <c r="W40" s="2"/>
      <c r="X40" s="6">
        <f t="shared" si="22"/>
        <v>-54.540000000000077</v>
      </c>
      <c r="Y40" s="2"/>
      <c r="Z40" s="7">
        <f t="shared" si="23"/>
        <v>-8.2019971126082877E-2</v>
      </c>
    </row>
    <row r="41" spans="1:26" s="27" customFormat="1" outlineLevel="1" collapsed="1" x14ac:dyDescent="0.25">
      <c r="A41" s="25"/>
      <c r="B41" s="13" t="str">
        <f>CONCATENATE("     ","Freight out/Postage                               ")</f>
        <v xml:space="preserve">     Freight out/Postage                               </v>
      </c>
      <c r="C41" s="13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SUM(OSRRefP22_5x_0)</f>
        <v>400</v>
      </c>
      <c r="Q41" s="1"/>
      <c r="R41" s="5">
        <f t="shared" si="20"/>
        <v>0</v>
      </c>
      <c r="S41" s="1"/>
      <c r="T41" s="1">
        <f>SUM(OSRRefT22_5x_0)</f>
        <v>0</v>
      </c>
      <c r="U41" s="1"/>
      <c r="V41" s="5">
        <f t="shared" si="21"/>
        <v>0</v>
      </c>
      <c r="W41" s="1"/>
      <c r="X41" s="1">
        <f t="shared" si="22"/>
        <v>400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"6307", " - ", "POSTAGE")</f>
        <v xml:space="preserve">          6307 - POSTAGE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400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400</v>
      </c>
      <c r="Y42" s="2"/>
      <c r="Z42" s="7">
        <f t="shared" si="23"/>
        <v>0</v>
      </c>
    </row>
    <row r="43" spans="1:26" s="27" customFormat="1" outlineLevel="1" collapsed="1" x14ac:dyDescent="0.25">
      <c r="A43" s="25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SUM(OSRRefD22_6x_0)</f>
        <v>0</v>
      </c>
      <c r="E43" s="1"/>
      <c r="F43" s="5">
        <f t="shared" si="16"/>
        <v>0</v>
      </c>
      <c r="G43" s="1"/>
      <c r="H43" s="1">
        <f>SUM(OSRRefH22_6x_0)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SUM(OSRRefP22_6x_0)</f>
        <v>89.45</v>
      </c>
      <c r="Q43" s="1"/>
      <c r="R43" s="5">
        <f t="shared" si="20"/>
        <v>0</v>
      </c>
      <c r="S43" s="1"/>
      <c r="T43" s="1">
        <f>SUM(OSRRefT22_6x_0)</f>
        <v>0</v>
      </c>
      <c r="U43" s="1"/>
      <c r="V43" s="5">
        <f t="shared" si="21"/>
        <v>0</v>
      </c>
      <c r="W43" s="1"/>
      <c r="X43" s="1">
        <f t="shared" si="22"/>
        <v>89.45</v>
      </c>
      <c r="Y43" s="1"/>
      <c r="Z43" s="5">
        <f t="shared" si="23"/>
        <v>0</v>
      </c>
    </row>
    <row r="44" spans="1:26" s="24" customFormat="1" hidden="1" outlineLevel="2" x14ac:dyDescent="0.25">
      <c r="A44" s="26"/>
      <c r="B44" s="11" t="str">
        <f>CONCATENATE("          ", "6279", " - ", "GENERAL EXPENSE")</f>
        <v xml:space="preserve">          6279 - GENERAL EXPENSE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89.45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89.45</v>
      </c>
      <c r="Y44" s="2"/>
      <c r="Z44" s="7">
        <f t="shared" si="23"/>
        <v>0</v>
      </c>
    </row>
    <row r="45" spans="1:26" s="27" customFormat="1" outlineLevel="1" collapsed="1" x14ac:dyDescent="0.25">
      <c r="A45" s="25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SUM(OSRRefD22_7x_0)</f>
        <v>9.14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9.14</v>
      </c>
      <c r="M45" s="1"/>
      <c r="N45" s="5">
        <f t="shared" si="19"/>
        <v>0</v>
      </c>
      <c r="O45" s="13"/>
      <c r="P45" s="1">
        <f>SUM(OSRRefP22_7x_0)</f>
        <v>251.55</v>
      </c>
      <c r="Q45" s="1"/>
      <c r="R45" s="5">
        <f t="shared" si="20"/>
        <v>0</v>
      </c>
      <c r="S45" s="1"/>
      <c r="T45" s="1">
        <f>SUM(OSRRefT22_7x_0)</f>
        <v>390.78</v>
      </c>
      <c r="U45" s="1"/>
      <c r="V45" s="5">
        <f t="shared" si="21"/>
        <v>0</v>
      </c>
      <c r="W45" s="1"/>
      <c r="X45" s="1">
        <f t="shared" si="22"/>
        <v>-139.22999999999996</v>
      </c>
      <c r="Y45" s="1"/>
      <c r="Z45" s="5">
        <f t="shared" si="23"/>
        <v>-0.35628742514970052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6">
        <v>9.14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9.14</v>
      </c>
      <c r="M46" s="2"/>
      <c r="N46" s="7">
        <f t="shared" si="19"/>
        <v>0</v>
      </c>
      <c r="O46" s="11"/>
      <c r="P46" s="6">
        <v>59.22</v>
      </c>
      <c r="Q46" s="2"/>
      <c r="R46" s="7">
        <f t="shared" si="20"/>
        <v>0</v>
      </c>
      <c r="S46" s="2"/>
      <c r="T46" s="6">
        <v>390.78</v>
      </c>
      <c r="U46" s="2"/>
      <c r="V46" s="7">
        <f t="shared" si="21"/>
        <v>0</v>
      </c>
      <c r="W46" s="2"/>
      <c r="X46" s="6">
        <f t="shared" si="22"/>
        <v>-331.55999999999995</v>
      </c>
      <c r="Y46" s="2"/>
      <c r="Z46" s="7">
        <f t="shared" si="23"/>
        <v>-0.84845693228926755</v>
      </c>
    </row>
    <row r="47" spans="1:26" s="24" customFormat="1" hidden="1" outlineLevel="2" x14ac:dyDescent="0.25">
      <c r="A47" s="26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192.33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192.33</v>
      </c>
      <c r="Y47" s="2"/>
      <c r="Z47" s="7">
        <f t="shared" si="23"/>
        <v>0</v>
      </c>
    </row>
    <row r="48" spans="1:26" s="27" customFormat="1" outlineLevel="1" collapsed="1" x14ac:dyDescent="0.25">
      <c r="A48" s="25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SUM(OSRRefD22_8x_0)</f>
        <v>1224.78</v>
      </c>
      <c r="E48" s="1"/>
      <c r="F48" s="5">
        <f t="shared" ref="F48:F53" si="24">IF(D$12=0,0,D48/D$12)</f>
        <v>0</v>
      </c>
      <c r="G48" s="1"/>
      <c r="H48" s="1">
        <f>SUM(OSRRefH22_8x_0)</f>
        <v>922.15</v>
      </c>
      <c r="I48" s="1"/>
      <c r="J48" s="5">
        <f t="shared" ref="J48:J53" si="25">IF(H$12=0,0,H48/H$12)</f>
        <v>0</v>
      </c>
      <c r="K48" s="1"/>
      <c r="L48" s="1">
        <f t="shared" ref="L48:L53" si="26">+D48-H48</f>
        <v>302.63</v>
      </c>
      <c r="M48" s="1"/>
      <c r="N48" s="5">
        <f t="shared" ref="N48:N53" si="27">IF(H48=0,0,L48/H48)</f>
        <v>0.32817871279076072</v>
      </c>
      <c r="O48" s="13"/>
      <c r="P48" s="1">
        <f>SUM(OSRRefP22_8x_0)</f>
        <v>2212.73</v>
      </c>
      <c r="Q48" s="1"/>
      <c r="R48" s="5">
        <f t="shared" ref="R48:R53" si="28">IF(P$12=0,0,P48/P$12)</f>
        <v>0</v>
      </c>
      <c r="S48" s="1"/>
      <c r="T48" s="1">
        <f>SUM(OSRRefT22_8x_0)</f>
        <v>3638.34</v>
      </c>
      <c r="U48" s="1"/>
      <c r="V48" s="5">
        <f t="shared" ref="V48:V53" si="29">IF(T$12=0,0,T48/T$12)</f>
        <v>0</v>
      </c>
      <c r="W48" s="1"/>
      <c r="X48" s="1">
        <f t="shared" ref="X48:X53" si="30">+P48-T48</f>
        <v>-1425.6100000000001</v>
      </c>
      <c r="Y48" s="1"/>
      <c r="Z48" s="5">
        <f t="shared" ref="Z48:Z53" si="31">IF(T48=0,0,X48/T48)</f>
        <v>-0.39182979050885847</v>
      </c>
    </row>
    <row r="49" spans="1:26" s="24" customFormat="1" hidden="1" outlineLevel="2" x14ac:dyDescent="0.25">
      <c r="A49" s="26"/>
      <c r="B49" s="11" t="str">
        <f>CONCATENATE("          ", "6234", " - ", "EXPENDABLE SUPPLIES &amp; EQUIPMEN")</f>
        <v xml:space="preserve">          6234 - EXPENDABLE SUPPLIES &amp; EQUIPMEN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858</v>
      </c>
      <c r="U49" s="2"/>
      <c r="V49" s="7">
        <f t="shared" si="29"/>
        <v>0</v>
      </c>
      <c r="W49" s="2"/>
      <c r="X49" s="6">
        <f t="shared" si="30"/>
        <v>-858</v>
      </c>
      <c r="Y49" s="2"/>
      <c r="Z49" s="7">
        <f t="shared" si="31"/>
        <v>-1</v>
      </c>
    </row>
    <row r="50" spans="1:26" s="24" customFormat="1" hidden="1" outlineLevel="2" x14ac:dyDescent="0.25">
      <c r="A50" s="26"/>
      <c r="B50" s="11" t="str">
        <f>CONCATENATE("          ", "6237", " - ", "JANITORIAL SUPPLIES")</f>
        <v xml:space="preserve">          6237 - JANITORIAL SUPPLIES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226.95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226.95</v>
      </c>
      <c r="Y50" s="2"/>
      <c r="Z50" s="7">
        <f t="shared" si="31"/>
        <v>0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6">
        <v>1037.18</v>
      </c>
      <c r="E51" s="2"/>
      <c r="F51" s="7">
        <f t="shared" si="24"/>
        <v>0</v>
      </c>
      <c r="G51" s="2"/>
      <c r="H51" s="6">
        <v>830.64</v>
      </c>
      <c r="I51" s="2"/>
      <c r="J51" s="7">
        <f t="shared" si="25"/>
        <v>0</v>
      </c>
      <c r="K51" s="2"/>
      <c r="L51" s="6">
        <f t="shared" si="26"/>
        <v>206.54000000000008</v>
      </c>
      <c r="M51" s="2"/>
      <c r="N51" s="7">
        <f t="shared" si="27"/>
        <v>0.24865164210729085</v>
      </c>
      <c r="O51" s="11"/>
      <c r="P51" s="6">
        <v>1351.05</v>
      </c>
      <c r="Q51" s="2"/>
      <c r="R51" s="7">
        <f t="shared" si="28"/>
        <v>0</v>
      </c>
      <c r="S51" s="2"/>
      <c r="T51" s="6">
        <v>1898.85</v>
      </c>
      <c r="U51" s="2"/>
      <c r="V51" s="7">
        <f t="shared" si="29"/>
        <v>0</v>
      </c>
      <c r="W51" s="2"/>
      <c r="X51" s="6">
        <f t="shared" si="30"/>
        <v>-547.79999999999995</v>
      </c>
      <c r="Y51" s="2"/>
      <c r="Z51" s="7">
        <f t="shared" si="31"/>
        <v>-0.28849040208547277</v>
      </c>
    </row>
    <row r="52" spans="1:26" s="24" customFormat="1" hidden="1" outlineLevel="2" x14ac:dyDescent="0.25">
      <c r="A52" s="26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24"/>
        <v>0</v>
      </c>
      <c r="G52" s="2"/>
      <c r="H52" s="6">
        <v>91.51</v>
      </c>
      <c r="I52" s="2"/>
      <c r="J52" s="7">
        <f t="shared" si="25"/>
        <v>0</v>
      </c>
      <c r="K52" s="2"/>
      <c r="L52" s="6">
        <f t="shared" si="26"/>
        <v>-91.51</v>
      </c>
      <c r="M52" s="2"/>
      <c r="N52" s="7">
        <f t="shared" si="27"/>
        <v>-1</v>
      </c>
      <c r="O52" s="11"/>
      <c r="P52" s="6"/>
      <c r="Q52" s="2"/>
      <c r="R52" s="7">
        <f t="shared" si="28"/>
        <v>0</v>
      </c>
      <c r="S52" s="2"/>
      <c r="T52" s="6">
        <v>95.57</v>
      </c>
      <c r="U52" s="2"/>
      <c r="V52" s="7">
        <f t="shared" si="29"/>
        <v>0</v>
      </c>
      <c r="W52" s="2"/>
      <c r="X52" s="6">
        <f t="shared" si="30"/>
        <v>-95.57</v>
      </c>
      <c r="Y52" s="2"/>
      <c r="Z52" s="7">
        <f t="shared" si="31"/>
        <v>-1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6">
        <v>187.6</v>
      </c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187.6</v>
      </c>
      <c r="M53" s="2"/>
      <c r="N53" s="7">
        <f t="shared" si="27"/>
        <v>0</v>
      </c>
      <c r="O53" s="11"/>
      <c r="P53" s="6">
        <v>634.73</v>
      </c>
      <c r="Q53" s="2"/>
      <c r="R53" s="7">
        <f t="shared" si="28"/>
        <v>0</v>
      </c>
      <c r="S53" s="2"/>
      <c r="T53" s="6">
        <v>785.92</v>
      </c>
      <c r="U53" s="2"/>
      <c r="V53" s="7">
        <f t="shared" si="29"/>
        <v>0</v>
      </c>
      <c r="W53" s="2"/>
      <c r="X53" s="6">
        <f t="shared" si="30"/>
        <v>-151.18999999999994</v>
      </c>
      <c r="Y53" s="2"/>
      <c r="Z53" s="7">
        <f t="shared" si="31"/>
        <v>-0.19237326954397388</v>
      </c>
    </row>
    <row r="54" spans="1:26" s="27" customFormat="1" outlineLevel="1" collapsed="1" x14ac:dyDescent="0.25">
      <c r="A54" s="25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SUM(OSRRefD22_9x_0)</f>
        <v>159.69999999999999</v>
      </c>
      <c r="E54" s="1"/>
      <c r="F54" s="5">
        <f t="shared" ref="F54:F57" si="32">IF(D$12=0,0,D54/D$12)</f>
        <v>0</v>
      </c>
      <c r="G54" s="1"/>
      <c r="H54" s="1">
        <f>SUM(OSRRefH22_9x_0)</f>
        <v>169.85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-10.150000000000006</v>
      </c>
      <c r="M54" s="1"/>
      <c r="N54" s="5">
        <f t="shared" ref="N54:N57" si="35">IF(H54=0,0,L54/H54)</f>
        <v>-5.9758610538710663E-2</v>
      </c>
      <c r="O54" s="13"/>
      <c r="P54" s="1">
        <f>SUM(OSRRefP22_9x_0)</f>
        <v>931.9</v>
      </c>
      <c r="Q54" s="1"/>
      <c r="R54" s="5">
        <f t="shared" ref="R54:R57" si="36">IF(P$12=0,0,P54/P$12)</f>
        <v>0</v>
      </c>
      <c r="S54" s="1"/>
      <c r="T54" s="1">
        <f>SUM(OSRRefT22_9x_0)</f>
        <v>930.45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1.4499999999999318</v>
      </c>
      <c r="Y54" s="1"/>
      <c r="Z54" s="5">
        <f t="shared" ref="Z54:Z57" si="39">IF(T54=0,0,X54/T54)</f>
        <v>1.5583857273361618E-3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6">
        <v>159.69999999999999</v>
      </c>
      <c r="E55" s="2"/>
      <c r="F55" s="7">
        <f t="shared" si="32"/>
        <v>0</v>
      </c>
      <c r="G55" s="2"/>
      <c r="H55" s="6">
        <v>169.85</v>
      </c>
      <c r="I55" s="2"/>
      <c r="J55" s="7">
        <f t="shared" si="33"/>
        <v>0</v>
      </c>
      <c r="K55" s="2"/>
      <c r="L55" s="6">
        <f t="shared" si="34"/>
        <v>-10.150000000000006</v>
      </c>
      <c r="M55" s="2"/>
      <c r="N55" s="7">
        <f t="shared" si="35"/>
        <v>-5.9758610538710663E-2</v>
      </c>
      <c r="O55" s="11"/>
      <c r="P55" s="6">
        <v>931.9</v>
      </c>
      <c r="Q55" s="2"/>
      <c r="R55" s="7">
        <f t="shared" si="36"/>
        <v>0</v>
      </c>
      <c r="S55" s="2"/>
      <c r="T55" s="6">
        <v>930.45</v>
      </c>
      <c r="U55" s="2"/>
      <c r="V55" s="7">
        <f t="shared" si="37"/>
        <v>0</v>
      </c>
      <c r="W55" s="2"/>
      <c r="X55" s="6">
        <f t="shared" si="38"/>
        <v>1.4499999999999318</v>
      </c>
      <c r="Y55" s="2"/>
      <c r="Z55" s="7">
        <f t="shared" si="39"/>
        <v>1.5583857273361618E-3</v>
      </c>
    </row>
    <row r="56" spans="1:26" s="27" customFormat="1" outlineLevel="1" collapsed="1" x14ac:dyDescent="0.25">
      <c r="A56" s="25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SUM(OSRRefD22_10x_0)</f>
        <v>0</v>
      </c>
      <c r="E56" s="1"/>
      <c r="F56" s="5">
        <f t="shared" si="32"/>
        <v>0</v>
      </c>
      <c r="G56" s="1"/>
      <c r="H56" s="1">
        <f>SUM(OSRRefH22_10x_0)</f>
        <v>528.09</v>
      </c>
      <c r="I56" s="1"/>
      <c r="J56" s="5">
        <f t="shared" si="33"/>
        <v>0</v>
      </c>
      <c r="K56" s="1"/>
      <c r="L56" s="1">
        <f t="shared" si="34"/>
        <v>-528.09</v>
      </c>
      <c r="M56" s="1"/>
      <c r="N56" s="5">
        <f t="shared" si="35"/>
        <v>-1</v>
      </c>
      <c r="O56" s="13"/>
      <c r="P56" s="1">
        <f>SUM(OSRRefP22_10x_0)</f>
        <v>80</v>
      </c>
      <c r="Q56" s="1"/>
      <c r="R56" s="5">
        <f t="shared" si="36"/>
        <v>0</v>
      </c>
      <c r="S56" s="1"/>
      <c r="T56" s="1">
        <f>SUM(OSRRefT22_10x_0)</f>
        <v>998.09</v>
      </c>
      <c r="U56" s="1"/>
      <c r="V56" s="5">
        <f t="shared" si="37"/>
        <v>0</v>
      </c>
      <c r="W56" s="1"/>
      <c r="X56" s="1">
        <f t="shared" si="38"/>
        <v>-918.09</v>
      </c>
      <c r="Y56" s="1"/>
      <c r="Z56" s="5">
        <f t="shared" si="39"/>
        <v>-0.91984690759350363</v>
      </c>
    </row>
    <row r="57" spans="1:26" s="24" customFormat="1" hidden="1" outlineLevel="2" x14ac:dyDescent="0.25">
      <c r="A57" s="26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32"/>
        <v>0</v>
      </c>
      <c r="G57" s="2"/>
      <c r="H57" s="6">
        <v>528.09</v>
      </c>
      <c r="I57" s="2"/>
      <c r="J57" s="7">
        <f t="shared" si="33"/>
        <v>0</v>
      </c>
      <c r="K57" s="2"/>
      <c r="L57" s="6">
        <f t="shared" si="34"/>
        <v>-528.09</v>
      </c>
      <c r="M57" s="2"/>
      <c r="N57" s="7">
        <f t="shared" si="35"/>
        <v>-1</v>
      </c>
      <c r="O57" s="11"/>
      <c r="P57" s="6">
        <v>80</v>
      </c>
      <c r="Q57" s="2"/>
      <c r="R57" s="7">
        <f t="shared" si="36"/>
        <v>0</v>
      </c>
      <c r="S57" s="2"/>
      <c r="T57" s="6">
        <v>998.09</v>
      </c>
      <c r="U57" s="2"/>
      <c r="V57" s="7">
        <f t="shared" si="37"/>
        <v>0</v>
      </c>
      <c r="W57" s="2"/>
      <c r="X57" s="6">
        <f t="shared" si="38"/>
        <v>-918.09</v>
      </c>
      <c r="Y57" s="2"/>
      <c r="Z57" s="7">
        <f t="shared" si="39"/>
        <v>-0.91984690759350363</v>
      </c>
    </row>
    <row r="58" spans="1:26" s="61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3</v>
      </c>
      <c r="C61" s="29"/>
      <c r="D61" s="20">
        <f>+D16-D18+D59</f>
        <v>-38670.5</v>
      </c>
      <c r="E61" s="14"/>
      <c r="F61" s="21">
        <f>IF(D$12=0,0,D61/D$12)</f>
        <v>0</v>
      </c>
      <c r="G61" s="14"/>
      <c r="H61" s="20">
        <f>+H16-H18+H59</f>
        <v>-38223.1</v>
      </c>
      <c r="I61" s="14"/>
      <c r="J61" s="21">
        <f>IF(H$12=0,0,H61/H$12)</f>
        <v>0</v>
      </c>
      <c r="K61" s="15"/>
      <c r="L61" s="20">
        <f>+D61-H61</f>
        <v>-447.40000000000146</v>
      </c>
      <c r="M61" s="15"/>
      <c r="N61" s="21">
        <f>IF(H61=0,0,L61/H61)</f>
        <v>1.170496375228596E-2</v>
      </c>
      <c r="O61" s="28"/>
      <c r="P61" s="20">
        <f>+P16-P18+P59</f>
        <v>-251135.78</v>
      </c>
      <c r="Q61" s="14"/>
      <c r="R61" s="21">
        <f>IF(P$12=0,0,P61/P$12)</f>
        <v>0</v>
      </c>
      <c r="S61" s="14"/>
      <c r="T61" s="20">
        <f>+T16-T18+T59</f>
        <v>-269276.82000000007</v>
      </c>
      <c r="U61" s="14"/>
      <c r="V61" s="21">
        <f>IF(T$12=0,0,T61/T$12)</f>
        <v>0</v>
      </c>
      <c r="W61" s="15"/>
      <c r="X61" s="20">
        <f>+P61-T61</f>
        <v>18141.040000000066</v>
      </c>
      <c r="Y61" s="15"/>
      <c r="Z61" s="21">
        <f>IF(T61=0,0,X61/T61)</f>
        <v>-6.7369482453038712E-2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4</v>
      </c>
      <c r="C65" s="29"/>
      <c r="D65" s="32">
        <f>+D61-D63</f>
        <v>-38670.5</v>
      </c>
      <c r="E65" s="14"/>
      <c r="F65" s="30">
        <f>IF(D$12=0,0,D65/D$12)</f>
        <v>0</v>
      </c>
      <c r="G65" s="14"/>
      <c r="H65" s="32">
        <f>+H61-H63</f>
        <v>-38223.1</v>
      </c>
      <c r="I65" s="14"/>
      <c r="J65" s="30">
        <f>IF(H$12=0,0,H65/H$12)</f>
        <v>0</v>
      </c>
      <c r="K65" s="15"/>
      <c r="L65" s="32">
        <f>D65-H65</f>
        <v>-447.40000000000146</v>
      </c>
      <c r="M65" s="15"/>
      <c r="N65" s="30">
        <f>IF(H65=0,0,L65/H65)</f>
        <v>1.170496375228596E-2</v>
      </c>
      <c r="O65" s="28"/>
      <c r="P65" s="32">
        <f>+P61-P63</f>
        <v>-251135.78</v>
      </c>
      <c r="Q65" s="14"/>
      <c r="R65" s="30">
        <f>IF(P$12=0,0,P65/P$12)</f>
        <v>0</v>
      </c>
      <c r="S65" s="14"/>
      <c r="T65" s="32">
        <f>+T61-T63</f>
        <v>-269276.82000000007</v>
      </c>
      <c r="U65" s="14"/>
      <c r="V65" s="30">
        <f>IF(T$12=0,0,T65/T$12)</f>
        <v>0</v>
      </c>
      <c r="W65" s="15"/>
      <c r="X65" s="32">
        <f>P65-T65</f>
        <v>18141.040000000066</v>
      </c>
      <c r="Y65" s="15"/>
      <c r="Z65" s="30">
        <f>IF(T65=0,0,X65/T65)</f>
        <v>-6.7369482453038712E-2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5</v>
      </c>
      <c r="C68" s="29"/>
      <c r="D68" s="36">
        <f>SUM(D65:D67)</f>
        <v>-38670.5</v>
      </c>
      <c r="E68" s="14"/>
      <c r="F68" s="31">
        <f>IF(D$12=0,0,D68/D$12)</f>
        <v>0</v>
      </c>
      <c r="G68" s="14"/>
      <c r="H68" s="36">
        <f>SUM(H65:H67)</f>
        <v>-38223.1</v>
      </c>
      <c r="I68" s="14"/>
      <c r="J68" s="31">
        <f>IF(H$12=0,0,H68/H$12)</f>
        <v>0</v>
      </c>
      <c r="K68" s="15"/>
      <c r="L68" s="36">
        <f>+D68-H68</f>
        <v>-447.40000000000146</v>
      </c>
      <c r="M68" s="15"/>
      <c r="N68" s="31">
        <f>IF(H68=0,0,L68/H68)</f>
        <v>1.170496375228596E-2</v>
      </c>
      <c r="O68" s="28"/>
      <c r="P68" s="36">
        <f>SUM(P65:P67)</f>
        <v>-251135.78</v>
      </c>
      <c r="Q68" s="14"/>
      <c r="R68" s="31">
        <f>IF(P$12=0,0,P68/P$12)</f>
        <v>0</v>
      </c>
      <c r="S68" s="14"/>
      <c r="T68" s="36">
        <f>SUM(T65:T67)</f>
        <v>-269276.82000000007</v>
      </c>
      <c r="U68" s="14"/>
      <c r="V68" s="31">
        <f>IF(T$12=0,0,T68/T$12)</f>
        <v>0</v>
      </c>
      <c r="W68" s="15"/>
      <c r="X68" s="36">
        <f>+P68-T68</f>
        <v>18141.040000000066</v>
      </c>
      <c r="Y68" s="15"/>
      <c r="Z68" s="31">
        <f>IF(T68=0,0,X68/T68)</f>
        <v>-6.7369482453038712E-2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62">
        <v>43847.453641168984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6" t="s">
        <v>313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4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","335", " - ", "Customer Service")</f>
        <v>Department 335 - Customer Service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0</v>
      </c>
      <c r="E18" s="22"/>
      <c r="F18" s="33">
        <f t="shared" ref="F18:F20" si="0">IF(D$12=0,0,D18/D$12)</f>
        <v>0</v>
      </c>
      <c r="G18" s="22"/>
      <c r="H18" s="22">
        <f>SUM(OSRRefH22x_0)</f>
        <v>50</v>
      </c>
      <c r="I18" s="22"/>
      <c r="J18" s="33">
        <f t="shared" ref="J18:J20" si="1">IF(H$12=0,0,H18/H$12)</f>
        <v>0</v>
      </c>
      <c r="K18" s="4"/>
      <c r="L18" s="22">
        <f t="shared" ref="L18:L20" si="2">+D18-H18</f>
        <v>-50</v>
      </c>
      <c r="M18" s="4"/>
      <c r="N18" s="33">
        <f t="shared" ref="N18:N20" si="3">IF(H18=0,0,L18/H18)</f>
        <v>-1</v>
      </c>
      <c r="O18" s="10"/>
      <c r="P18" s="22">
        <f>SUM(OSRRefP22x_0)</f>
        <v>0</v>
      </c>
      <c r="Q18" s="22"/>
      <c r="R18" s="33">
        <f t="shared" ref="R18:R20" si="4">IF(P$12=0,0,P18/P$12)</f>
        <v>0</v>
      </c>
      <c r="S18" s="22"/>
      <c r="T18" s="22">
        <f>SUM(OSRRefT22x_0)</f>
        <v>100</v>
      </c>
      <c r="U18" s="22"/>
      <c r="V18" s="33">
        <f t="shared" ref="V18:V20" si="5">IF(T$12=0,0,T18/T$12)</f>
        <v>0</v>
      </c>
      <c r="W18" s="4"/>
      <c r="X18" s="22">
        <f t="shared" ref="X18:X20" si="6">+P18-T18</f>
        <v>-100</v>
      </c>
      <c r="Y18" s="4"/>
      <c r="Z18" s="33">
        <f t="shared" ref="Z18:Z20" si="7">IF(T18=0,0,X18/T18)</f>
        <v>-1</v>
      </c>
    </row>
    <row r="19" spans="1:26" s="27" customFormat="1" outlineLevel="1" collapsed="1" x14ac:dyDescent="0.25">
      <c r="A19" s="25"/>
      <c r="B19" s="13" t="str">
        <f>CONCATENATE("     ","Telephone/Data Lines                              ")</f>
        <v xml:space="preserve">     Telephone/Data Lines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50</v>
      </c>
      <c r="I19" s="1"/>
      <c r="J19" s="5">
        <f t="shared" si="1"/>
        <v>0</v>
      </c>
      <c r="K19" s="1"/>
      <c r="L19" s="1">
        <f t="shared" si="2"/>
        <v>-50</v>
      </c>
      <c r="M19" s="1"/>
      <c r="N19" s="5">
        <f t="shared" si="3"/>
        <v>-1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100</v>
      </c>
      <c r="U19" s="1"/>
      <c r="V19" s="5">
        <f t="shared" si="5"/>
        <v>0</v>
      </c>
      <c r="W19" s="1"/>
      <c r="X19" s="1">
        <f t="shared" si="6"/>
        <v>-100</v>
      </c>
      <c r="Y19" s="1"/>
      <c r="Z19" s="5">
        <f t="shared" si="7"/>
        <v>-1</v>
      </c>
    </row>
    <row r="20" spans="1:26" s="24" customFormat="1" hidden="1" outlineLevel="2" x14ac:dyDescent="0.25">
      <c r="A20" s="26"/>
      <c r="B20" s="11" t="str">
        <f>CONCATENATE("          ", "6309", " - ", "TELEPHONE")</f>
        <v xml:space="preserve">          6309 - TELEPHONE</v>
      </c>
      <c r="C20" s="11"/>
      <c r="D20" s="6"/>
      <c r="E20" s="2"/>
      <c r="F20" s="7">
        <f t="shared" si="0"/>
        <v>0</v>
      </c>
      <c r="G20" s="2"/>
      <c r="H20" s="6">
        <v>50</v>
      </c>
      <c r="I20" s="2"/>
      <c r="J20" s="7">
        <f t="shared" si="1"/>
        <v>0</v>
      </c>
      <c r="K20" s="2"/>
      <c r="L20" s="6">
        <f t="shared" si="2"/>
        <v>-50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100</v>
      </c>
      <c r="U20" s="2"/>
      <c r="V20" s="7">
        <f t="shared" si="5"/>
        <v>0</v>
      </c>
      <c r="W20" s="2"/>
      <c r="X20" s="6">
        <f t="shared" si="6"/>
        <v>-100</v>
      </c>
      <c r="Y20" s="2"/>
      <c r="Z20" s="7">
        <f t="shared" si="7"/>
        <v>-1</v>
      </c>
    </row>
    <row r="21" spans="1:26" s="61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3</v>
      </c>
      <c r="C24" s="29"/>
      <c r="D24" s="20">
        <f>+D16-D18+D22</f>
        <v>0</v>
      </c>
      <c r="E24" s="14"/>
      <c r="F24" s="21">
        <f>IF(D$12=0,0,D24/D$12)</f>
        <v>0</v>
      </c>
      <c r="G24" s="14"/>
      <c r="H24" s="20">
        <f>+H16-H18+H22</f>
        <v>-50</v>
      </c>
      <c r="I24" s="14"/>
      <c r="J24" s="21">
        <f>IF(H$12=0,0,H24/H$12)</f>
        <v>0</v>
      </c>
      <c r="K24" s="15"/>
      <c r="L24" s="20">
        <f>+D24-H24</f>
        <v>50</v>
      </c>
      <c r="M24" s="15"/>
      <c r="N24" s="21">
        <f>IF(H24=0,0,L24/H24)</f>
        <v>-1</v>
      </c>
      <c r="O24" s="28"/>
      <c r="P24" s="20">
        <f>+P16-P18+P22</f>
        <v>0</v>
      </c>
      <c r="Q24" s="14"/>
      <c r="R24" s="21">
        <f>IF(P$12=0,0,P24/P$12)</f>
        <v>0</v>
      </c>
      <c r="S24" s="14"/>
      <c r="T24" s="20">
        <f>+T16-T18+T22</f>
        <v>-100</v>
      </c>
      <c r="U24" s="14"/>
      <c r="V24" s="21">
        <f>IF(T$12=0,0,T24/T$12)</f>
        <v>0</v>
      </c>
      <c r="W24" s="15"/>
      <c r="X24" s="20">
        <f>+P24-T24</f>
        <v>100</v>
      </c>
      <c r="Y24" s="15"/>
      <c r="Z24" s="21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9" t="s">
        <v>4</v>
      </c>
      <c r="C28" s="29"/>
      <c r="D28" s="32">
        <f>+D24-D26</f>
        <v>0</v>
      </c>
      <c r="E28" s="14"/>
      <c r="F28" s="30">
        <f>IF(D$12=0,0,D28/D$12)</f>
        <v>0</v>
      </c>
      <c r="G28" s="14"/>
      <c r="H28" s="32">
        <f>+H24-H26</f>
        <v>-50</v>
      </c>
      <c r="I28" s="14"/>
      <c r="J28" s="30">
        <f>IF(H$12=0,0,H28/H$12)</f>
        <v>0</v>
      </c>
      <c r="K28" s="15"/>
      <c r="L28" s="32">
        <f>D28-H28</f>
        <v>50</v>
      </c>
      <c r="M28" s="15"/>
      <c r="N28" s="30">
        <f>IF(H28=0,0,L28/H28)</f>
        <v>-1</v>
      </c>
      <c r="O28" s="28"/>
      <c r="P28" s="32">
        <f>+P24-P26</f>
        <v>0</v>
      </c>
      <c r="Q28" s="14"/>
      <c r="R28" s="30">
        <f>IF(P$12=0,0,P28/P$12)</f>
        <v>0</v>
      </c>
      <c r="S28" s="14"/>
      <c r="T28" s="32">
        <f>+T24-T26</f>
        <v>-100</v>
      </c>
      <c r="U28" s="14"/>
      <c r="V28" s="30">
        <f>IF(T$12=0,0,T28/T$12)</f>
        <v>0</v>
      </c>
      <c r="W28" s="15"/>
      <c r="X28" s="32">
        <f>P28-T28</f>
        <v>100</v>
      </c>
      <c r="Y28" s="15"/>
      <c r="Z28" s="30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6">
        <f>SUM(D28:D30)</f>
        <v>0</v>
      </c>
      <c r="E31" s="14"/>
      <c r="F31" s="31">
        <f>IF(D$12=0,0,D31/D$12)</f>
        <v>0</v>
      </c>
      <c r="G31" s="14"/>
      <c r="H31" s="36">
        <f>SUM(H28:H30)</f>
        <v>-50</v>
      </c>
      <c r="I31" s="14"/>
      <c r="J31" s="31">
        <f>IF(H$12=0,0,H31/H$12)</f>
        <v>0</v>
      </c>
      <c r="K31" s="15"/>
      <c r="L31" s="36">
        <f>+D31-H31</f>
        <v>50</v>
      </c>
      <c r="M31" s="15"/>
      <c r="N31" s="31">
        <f>IF(H31=0,0,L31/H31)</f>
        <v>-1</v>
      </c>
      <c r="O31" s="28"/>
      <c r="P31" s="36">
        <f>SUM(P28:P30)</f>
        <v>0</v>
      </c>
      <c r="Q31" s="14"/>
      <c r="R31" s="31">
        <f>IF(P$12=0,0,P31/P$12)</f>
        <v>0</v>
      </c>
      <c r="S31" s="14"/>
      <c r="T31" s="36">
        <f>SUM(T28:T30)</f>
        <v>-100</v>
      </c>
      <c r="U31" s="14"/>
      <c r="V31" s="31">
        <f>IF(T$12=0,0,T31/T$12)</f>
        <v>0</v>
      </c>
      <c r="W31" s="15"/>
      <c r="X31" s="36">
        <f>+P31-T31</f>
        <v>100</v>
      </c>
      <c r="Y31" s="15"/>
      <c r="Z31" s="31">
        <f>IF(T31=0,0,X31/T31)</f>
        <v>-1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2">
        <v>43847.453945914349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6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4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304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44196.45</v>
      </c>
      <c r="E12" s="4"/>
      <c r="F12" s="12"/>
      <c r="G12" s="4"/>
      <c r="H12" s="4">
        <f>SUM(OSRRefH13x_0)</f>
        <v>48630.359999999993</v>
      </c>
      <c r="I12" s="4"/>
      <c r="J12" s="12"/>
      <c r="K12" s="4"/>
      <c r="L12" s="4">
        <f t="shared" ref="L12:L50" si="0">+D12-H12</f>
        <v>-4433.9099999999962</v>
      </c>
      <c r="M12" s="4"/>
      <c r="N12" s="12">
        <f t="shared" ref="N12:N50" si="1">IF(H12=0,0,L12/H12)</f>
        <v>-9.1175759340461321E-2</v>
      </c>
      <c r="O12" s="10"/>
      <c r="P12" s="4">
        <f>SUM(OSRRefP13x_0)</f>
        <v>515977.31000000017</v>
      </c>
      <c r="Q12" s="4"/>
      <c r="R12" s="12"/>
      <c r="S12" s="4"/>
      <c r="T12" s="4">
        <f>SUM(OSRRefT13x_0)</f>
        <v>506450.31</v>
      </c>
      <c r="U12" s="4"/>
      <c r="V12" s="12"/>
      <c r="W12" s="4"/>
      <c r="X12" s="4">
        <f t="shared" ref="X12:X50" si="2">+P12-T12</f>
        <v>9527.0000000001746</v>
      </c>
      <c r="Y12" s="4"/>
      <c r="Z12" s="12">
        <f t="shared" ref="Z12:Z50" si="3">IF(T12=0,0,X12/T12)</f>
        <v>1.8811322279574032E-2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>
        <f>--7.45</f>
        <v>7.45</v>
      </c>
      <c r="I14" s="2"/>
      <c r="J14" s="19"/>
      <c r="K14" s="2"/>
      <c r="L14" s="2">
        <f t="shared" si="0"/>
        <v>3.5300000000000002</v>
      </c>
      <c r="M14" s="2"/>
      <c r="N14" s="19">
        <f t="shared" si="1"/>
        <v>0.47382550335570472</v>
      </c>
      <c r="O14" s="11"/>
      <c r="P14" s="2">
        <f>--242.14</f>
        <v>242.14</v>
      </c>
      <c r="Q14" s="2"/>
      <c r="R14" s="19"/>
      <c r="S14" s="2"/>
      <c r="T14" s="2">
        <f>--651.02</f>
        <v>651.02</v>
      </c>
      <c r="U14" s="2"/>
      <c r="V14" s="19"/>
      <c r="W14" s="2"/>
      <c r="X14" s="2">
        <f t="shared" si="2"/>
        <v>-408.88</v>
      </c>
      <c r="Y14" s="2"/>
      <c r="Z14" s="19">
        <f t="shared" si="3"/>
        <v>-0.6280605818561642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>
        <f>--5.97</f>
        <v>5.97</v>
      </c>
      <c r="I15" s="2"/>
      <c r="J15" s="19"/>
      <c r="K15" s="2"/>
      <c r="L15" s="2">
        <f t="shared" si="0"/>
        <v>-5.97</v>
      </c>
      <c r="M15" s="2"/>
      <c r="N15" s="19">
        <f t="shared" si="1"/>
        <v>-1</v>
      </c>
      <c r="O15" s="11"/>
      <c r="P15" s="2">
        <f>--33.88</f>
        <v>33.880000000000003</v>
      </c>
      <c r="Q15" s="2"/>
      <c r="R15" s="19"/>
      <c r="S15" s="2"/>
      <c r="T15" s="2">
        <f>--60.45</f>
        <v>60.45</v>
      </c>
      <c r="U15" s="2"/>
      <c r="V15" s="19"/>
      <c r="W15" s="2"/>
      <c r="X15" s="2">
        <f t="shared" si="2"/>
        <v>-26.57</v>
      </c>
      <c r="Y15" s="2"/>
      <c r="Z15" s="19">
        <f t="shared" si="3"/>
        <v>-0.43953680727874272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--5588.38</f>
        <v>5588.38</v>
      </c>
      <c r="E16" s="2"/>
      <c r="F16" s="19"/>
      <c r="G16" s="2"/>
      <c r="H16" s="2">
        <f>--5824.07</f>
        <v>5824.07</v>
      </c>
      <c r="I16" s="2"/>
      <c r="J16" s="19"/>
      <c r="K16" s="2"/>
      <c r="L16" s="2">
        <f t="shared" si="0"/>
        <v>-235.6899999999996</v>
      </c>
      <c r="M16" s="2"/>
      <c r="N16" s="19">
        <f t="shared" si="1"/>
        <v>-4.0468263602600862E-2</v>
      </c>
      <c r="O16" s="11"/>
      <c r="P16" s="2">
        <f>--35133.1</f>
        <v>35133.1</v>
      </c>
      <c r="Q16" s="2"/>
      <c r="R16" s="19"/>
      <c r="S16" s="2"/>
      <c r="T16" s="2">
        <f>--33876.75</f>
        <v>33876.75</v>
      </c>
      <c r="U16" s="2"/>
      <c r="V16" s="19"/>
      <c r="W16" s="2"/>
      <c r="X16" s="2">
        <f t="shared" si="2"/>
        <v>1256.3499999999985</v>
      </c>
      <c r="Y16" s="2"/>
      <c r="Z16" s="19">
        <f t="shared" si="3"/>
        <v>3.7085907001114291E-2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--6227.76</f>
        <v>6227.76</v>
      </c>
      <c r="E17" s="2"/>
      <c r="F17" s="19"/>
      <c r="G17" s="2"/>
      <c r="H17" s="2">
        <f>--4599.58</f>
        <v>4599.58</v>
      </c>
      <c r="I17" s="2"/>
      <c r="J17" s="19"/>
      <c r="K17" s="2"/>
      <c r="L17" s="2">
        <f t="shared" si="0"/>
        <v>1628.1800000000003</v>
      </c>
      <c r="M17" s="2"/>
      <c r="N17" s="19">
        <f t="shared" si="1"/>
        <v>0.35398449423643036</v>
      </c>
      <c r="O17" s="11"/>
      <c r="P17" s="2">
        <f>--49778.52</f>
        <v>49778.52</v>
      </c>
      <c r="Q17" s="2"/>
      <c r="R17" s="19"/>
      <c r="S17" s="2"/>
      <c r="T17" s="2">
        <f>--41766.26</f>
        <v>41766.26</v>
      </c>
      <c r="U17" s="2"/>
      <c r="V17" s="19"/>
      <c r="W17" s="2"/>
      <c r="X17" s="2">
        <f t="shared" si="2"/>
        <v>8012.2599999999948</v>
      </c>
      <c r="Y17" s="2"/>
      <c r="Z17" s="19">
        <f t="shared" si="3"/>
        <v>0.19183570662060703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--10568.39</f>
        <v>10568.39</v>
      </c>
      <c r="E18" s="2"/>
      <c r="F18" s="19"/>
      <c r="G18" s="2"/>
      <c r="H18" s="2">
        <f>--8999.91</f>
        <v>8999.91</v>
      </c>
      <c r="I18" s="2"/>
      <c r="J18" s="19"/>
      <c r="K18" s="2"/>
      <c r="L18" s="2">
        <f t="shared" si="0"/>
        <v>1568.4799999999996</v>
      </c>
      <c r="M18" s="2"/>
      <c r="N18" s="19">
        <f t="shared" si="1"/>
        <v>0.1742772983285388</v>
      </c>
      <c r="O18" s="11"/>
      <c r="P18" s="2">
        <f>--165309.56</f>
        <v>165309.56</v>
      </c>
      <c r="Q18" s="2"/>
      <c r="R18" s="19"/>
      <c r="S18" s="2"/>
      <c r="T18" s="2">
        <f>--150897.52</f>
        <v>150897.51999999999</v>
      </c>
      <c r="U18" s="2"/>
      <c r="V18" s="19"/>
      <c r="W18" s="2"/>
      <c r="X18" s="2">
        <f t="shared" si="2"/>
        <v>14412.040000000008</v>
      </c>
      <c r="Y18" s="2"/>
      <c r="Z18" s="19">
        <f t="shared" si="3"/>
        <v>9.550879298745274E-2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--13684.86</f>
        <v>13684.86</v>
      </c>
      <c r="E19" s="2"/>
      <c r="F19" s="19"/>
      <c r="G19" s="2"/>
      <c r="H19" s="2">
        <f>--17860.47</f>
        <v>17860.47</v>
      </c>
      <c r="I19" s="2"/>
      <c r="J19" s="19"/>
      <c r="K19" s="2"/>
      <c r="L19" s="2">
        <f t="shared" si="0"/>
        <v>-4175.6100000000006</v>
      </c>
      <c r="M19" s="2"/>
      <c r="N19" s="19">
        <f t="shared" si="1"/>
        <v>-0.2337906001353828</v>
      </c>
      <c r="O19" s="11"/>
      <c r="P19" s="2">
        <f>--189637.57</f>
        <v>189637.57</v>
      </c>
      <c r="Q19" s="2"/>
      <c r="R19" s="19"/>
      <c r="S19" s="2"/>
      <c r="T19" s="2">
        <f>--196228.95</f>
        <v>196228.95</v>
      </c>
      <c r="U19" s="2"/>
      <c r="V19" s="19"/>
      <c r="W19" s="2"/>
      <c r="X19" s="2">
        <f t="shared" si="2"/>
        <v>-6591.3800000000047</v>
      </c>
      <c r="Y19" s="2"/>
      <c r="Z19" s="19">
        <f t="shared" si="3"/>
        <v>-3.3590252610534811E-2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--26.89</f>
        <v>26.89</v>
      </c>
      <c r="E20" s="2"/>
      <c r="F20" s="19"/>
      <c r="G20" s="2"/>
      <c r="H20" s="2">
        <f>--35.23</f>
        <v>35.229999999999997</v>
      </c>
      <c r="I20" s="2"/>
      <c r="J20" s="19"/>
      <c r="K20" s="2"/>
      <c r="L20" s="2">
        <f t="shared" si="0"/>
        <v>-8.3399999999999963</v>
      </c>
      <c r="M20" s="2"/>
      <c r="N20" s="19">
        <f t="shared" si="1"/>
        <v>-0.2367300596082883</v>
      </c>
      <c r="O20" s="11"/>
      <c r="P20" s="2">
        <f>--306.94</f>
        <v>306.94</v>
      </c>
      <c r="Q20" s="2"/>
      <c r="R20" s="19"/>
      <c r="S20" s="2"/>
      <c r="T20" s="2">
        <f>--323.52</f>
        <v>323.52</v>
      </c>
      <c r="U20" s="2"/>
      <c r="V20" s="19"/>
      <c r="W20" s="2"/>
      <c r="X20" s="2">
        <f t="shared" si="2"/>
        <v>-16.579999999999984</v>
      </c>
      <c r="Y20" s="2"/>
      <c r="Z20" s="19">
        <f t="shared" si="3"/>
        <v>-5.1248763600395604E-2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--203.26</f>
        <v>203.26</v>
      </c>
      <c r="E21" s="2"/>
      <c r="F21" s="19"/>
      <c r="G21" s="2"/>
      <c r="H21" s="2">
        <f>--27.67</f>
        <v>27.67</v>
      </c>
      <c r="I21" s="2"/>
      <c r="J21" s="19"/>
      <c r="K21" s="2"/>
      <c r="L21" s="2">
        <f t="shared" si="0"/>
        <v>175.58999999999997</v>
      </c>
      <c r="M21" s="2"/>
      <c r="N21" s="19">
        <f t="shared" si="1"/>
        <v>6.3458619443440538</v>
      </c>
      <c r="O21" s="11"/>
      <c r="P21" s="2">
        <f>--866.34</f>
        <v>866.34</v>
      </c>
      <c r="Q21" s="2"/>
      <c r="R21" s="19"/>
      <c r="S21" s="2"/>
      <c r="T21" s="2">
        <f>--243.61</f>
        <v>243.61</v>
      </c>
      <c r="U21" s="2"/>
      <c r="V21" s="19"/>
      <c r="W21" s="2"/>
      <c r="X21" s="2">
        <f t="shared" si="2"/>
        <v>622.73</v>
      </c>
      <c r="Y21" s="2"/>
      <c r="Z21" s="19">
        <f t="shared" si="3"/>
        <v>2.5562579532859897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--22.41</f>
        <v>22.41</v>
      </c>
      <c r="E22" s="2"/>
      <c r="F22" s="19"/>
      <c r="G22" s="2"/>
      <c r="H22" s="2">
        <f>--20.19</f>
        <v>20.190000000000001</v>
      </c>
      <c r="I22" s="2"/>
      <c r="J22" s="19"/>
      <c r="K22" s="2"/>
      <c r="L22" s="2">
        <f t="shared" si="0"/>
        <v>2.2199999999999989</v>
      </c>
      <c r="M22" s="2"/>
      <c r="N22" s="19">
        <f t="shared" si="1"/>
        <v>0.10995542347696874</v>
      </c>
      <c r="O22" s="11"/>
      <c r="P22" s="2">
        <f>--131.02</f>
        <v>131.02000000000001</v>
      </c>
      <c r="Q22" s="2"/>
      <c r="R22" s="19"/>
      <c r="S22" s="2"/>
      <c r="T22" s="2">
        <f>--112.45</f>
        <v>112.45</v>
      </c>
      <c r="U22" s="2"/>
      <c r="V22" s="19"/>
      <c r="W22" s="2"/>
      <c r="X22" s="2">
        <f t="shared" si="2"/>
        <v>18.570000000000007</v>
      </c>
      <c r="Y22" s="2"/>
      <c r="Z22" s="19">
        <f t="shared" si="3"/>
        <v>0.16514006224988889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--547.26</f>
        <v>547.26</v>
      </c>
      <c r="E23" s="2"/>
      <c r="F23" s="19"/>
      <c r="G23" s="2"/>
      <c r="H23" s="2">
        <f>--660.99</f>
        <v>660.99</v>
      </c>
      <c r="I23" s="2"/>
      <c r="J23" s="19"/>
      <c r="K23" s="2"/>
      <c r="L23" s="2">
        <f t="shared" si="0"/>
        <v>-113.73000000000002</v>
      </c>
      <c r="M23" s="2"/>
      <c r="N23" s="19">
        <f t="shared" si="1"/>
        <v>-0.17206009168066086</v>
      </c>
      <c r="O23" s="11"/>
      <c r="P23" s="2">
        <f>--5271.51</f>
        <v>5271.51</v>
      </c>
      <c r="Q23" s="2"/>
      <c r="R23" s="19"/>
      <c r="S23" s="2"/>
      <c r="T23" s="2">
        <f>--4358.93</f>
        <v>4358.93</v>
      </c>
      <c r="U23" s="2"/>
      <c r="V23" s="19"/>
      <c r="W23" s="2"/>
      <c r="X23" s="2">
        <f t="shared" si="2"/>
        <v>912.57999999999993</v>
      </c>
      <c r="Y23" s="2"/>
      <c r="Z23" s="19">
        <f t="shared" si="3"/>
        <v>0.20935871876813802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--133.49</f>
        <v>133.49</v>
      </c>
      <c r="E24" s="2"/>
      <c r="F24" s="19"/>
      <c r="G24" s="2"/>
      <c r="H24" s="2">
        <f>--199.7</f>
        <v>199.7</v>
      </c>
      <c r="I24" s="2"/>
      <c r="J24" s="19"/>
      <c r="K24" s="2"/>
      <c r="L24" s="2">
        <f t="shared" si="0"/>
        <v>-66.20999999999998</v>
      </c>
      <c r="M24" s="2"/>
      <c r="N24" s="19">
        <f t="shared" si="1"/>
        <v>-0.3315473209814721</v>
      </c>
      <c r="O24" s="11"/>
      <c r="P24" s="2">
        <f>--1267.09</f>
        <v>1267.0899999999999</v>
      </c>
      <c r="Q24" s="2"/>
      <c r="R24" s="19"/>
      <c r="S24" s="2"/>
      <c r="T24" s="2">
        <f>--1589.63</f>
        <v>1589.63</v>
      </c>
      <c r="U24" s="2"/>
      <c r="V24" s="19"/>
      <c r="W24" s="2"/>
      <c r="X24" s="2">
        <f t="shared" si="2"/>
        <v>-322.54000000000019</v>
      </c>
      <c r="Y24" s="2"/>
      <c r="Z24" s="19">
        <f t="shared" si="3"/>
        <v>-0.20290256223146277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--19.09</f>
        <v>19.09</v>
      </c>
      <c r="E25" s="2"/>
      <c r="F25" s="19"/>
      <c r="G25" s="2"/>
      <c r="H25" s="2">
        <f>--35.98</f>
        <v>35.979999999999997</v>
      </c>
      <c r="I25" s="2"/>
      <c r="J25" s="19"/>
      <c r="K25" s="2"/>
      <c r="L25" s="2">
        <f t="shared" si="0"/>
        <v>-16.889999999999997</v>
      </c>
      <c r="M25" s="2"/>
      <c r="N25" s="19">
        <f t="shared" si="1"/>
        <v>-0.46942745969983318</v>
      </c>
      <c r="O25" s="11"/>
      <c r="P25" s="2">
        <f>--396.26</f>
        <v>396.26</v>
      </c>
      <c r="Q25" s="2"/>
      <c r="R25" s="19"/>
      <c r="S25" s="2"/>
      <c r="T25" s="2">
        <f>--417.83</f>
        <v>417.83</v>
      </c>
      <c r="U25" s="2"/>
      <c r="V25" s="19"/>
      <c r="W25" s="2"/>
      <c r="X25" s="2">
        <f t="shared" si="2"/>
        <v>-21.569999999999993</v>
      </c>
      <c r="Y25" s="2"/>
      <c r="Z25" s="19">
        <f t="shared" si="3"/>
        <v>-5.1623866165665451E-2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>0</f>
        <v>0</v>
      </c>
      <c r="E26" s="2"/>
      <c r="F26" s="19"/>
      <c r="G26" s="2"/>
      <c r="H26" s="2">
        <f>--49.9</f>
        <v>49.9</v>
      </c>
      <c r="I26" s="2"/>
      <c r="J26" s="19"/>
      <c r="K26" s="2"/>
      <c r="L26" s="2">
        <f t="shared" si="0"/>
        <v>-49.9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--554.23</f>
        <v>554.23</v>
      </c>
      <c r="U26" s="2"/>
      <c r="V26" s="19"/>
      <c r="W26" s="2"/>
      <c r="X26" s="2">
        <f t="shared" si="2"/>
        <v>-554.23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"4081", " - ", "TAXABLE SALES-ELECTRONICS")</f>
        <v xml:space="preserve">          4081 - TAXABLE SALES-ELECTRONICS</v>
      </c>
      <c r="C27" s="11"/>
      <c r="D27" s="2">
        <f>--310.76</f>
        <v>310.76</v>
      </c>
      <c r="E27" s="2"/>
      <c r="F27" s="19"/>
      <c r="G27" s="2"/>
      <c r="H27" s="2">
        <f>--286.76</f>
        <v>286.76</v>
      </c>
      <c r="I27" s="2"/>
      <c r="J27" s="19"/>
      <c r="K27" s="2"/>
      <c r="L27" s="2">
        <f t="shared" si="0"/>
        <v>24</v>
      </c>
      <c r="M27" s="2"/>
      <c r="N27" s="19">
        <f t="shared" si="1"/>
        <v>8.3693681127074912E-2</v>
      </c>
      <c r="O27" s="11"/>
      <c r="P27" s="2">
        <f>--2534.43</f>
        <v>2534.4299999999998</v>
      </c>
      <c r="Q27" s="2"/>
      <c r="R27" s="19"/>
      <c r="S27" s="2"/>
      <c r="T27" s="2">
        <f>--2868.9</f>
        <v>2868.9</v>
      </c>
      <c r="U27" s="2"/>
      <c r="V27" s="19"/>
      <c r="W27" s="2"/>
      <c r="X27" s="2">
        <f t="shared" si="2"/>
        <v>-334.47000000000025</v>
      </c>
      <c r="Y27" s="2"/>
      <c r="Z27" s="19">
        <f t="shared" si="3"/>
        <v>-0.1165847537383667</v>
      </c>
    </row>
    <row r="28" spans="1:26" s="24" customFormat="1" hidden="1" outlineLevel="1" x14ac:dyDescent="0.25">
      <c r="A28" s="44"/>
      <c r="B28" s="11" t="str">
        <f>CONCATENATE("          ", "4082", " - ", "TAXABLE SALES-COMPUTER HARDWAR")</f>
        <v xml:space="preserve">          4082 - TAXABLE SALES-COMPUTER HARDWAR</v>
      </c>
      <c r="C28" s="11"/>
      <c r="D28" s="2">
        <f>--19</f>
        <v>19</v>
      </c>
      <c r="E28" s="2"/>
      <c r="F28" s="19"/>
      <c r="G28" s="2"/>
      <c r="H28" s="2">
        <f>--183</f>
        <v>183</v>
      </c>
      <c r="I28" s="2"/>
      <c r="J28" s="19"/>
      <c r="K28" s="2"/>
      <c r="L28" s="2">
        <f t="shared" si="0"/>
        <v>-164</v>
      </c>
      <c r="M28" s="2"/>
      <c r="N28" s="19">
        <f t="shared" si="1"/>
        <v>-0.89617486338797814</v>
      </c>
      <c r="O28" s="11"/>
      <c r="P28" s="2">
        <f>--181</f>
        <v>181</v>
      </c>
      <c r="Q28" s="2"/>
      <c r="R28" s="19"/>
      <c r="S28" s="2"/>
      <c r="T28" s="2">
        <f>--549</f>
        <v>549</v>
      </c>
      <c r="U28" s="2"/>
      <c r="V28" s="19"/>
      <c r="W28" s="2"/>
      <c r="X28" s="2">
        <f t="shared" si="2"/>
        <v>-368</v>
      </c>
      <c r="Y28" s="2"/>
      <c r="Z28" s="19">
        <f t="shared" si="3"/>
        <v>-0.67030965391621133</v>
      </c>
    </row>
    <row r="29" spans="1:26" s="24" customFormat="1" hidden="1" outlineLevel="1" x14ac:dyDescent="0.25">
      <c r="A29" s="44"/>
      <c r="B29" s="11" t="str">
        <f>CONCATENATE("          ", "4083", " - ", "TAXABLE SALES-COMPUTER EQUIPME")</f>
        <v xml:space="preserve">          4083 - TAXABLE SALES-COMPUTER EQUIPME</v>
      </c>
      <c r="C29" s="11"/>
      <c r="D29" s="2">
        <f>--129.88</f>
        <v>129.88</v>
      </c>
      <c r="E29" s="2"/>
      <c r="F29" s="19"/>
      <c r="G29" s="2"/>
      <c r="H29" s="2">
        <f>--154.89</f>
        <v>154.88999999999999</v>
      </c>
      <c r="I29" s="2"/>
      <c r="J29" s="19"/>
      <c r="K29" s="2"/>
      <c r="L29" s="2">
        <f t="shared" si="0"/>
        <v>-25.009999999999991</v>
      </c>
      <c r="M29" s="2"/>
      <c r="N29" s="19">
        <f t="shared" si="1"/>
        <v>-0.16146942991800628</v>
      </c>
      <c r="O29" s="11"/>
      <c r="P29" s="2">
        <f>--699.48</f>
        <v>699.48</v>
      </c>
      <c r="Q29" s="2"/>
      <c r="R29" s="19"/>
      <c r="S29" s="2"/>
      <c r="T29" s="2">
        <f>--844.33</f>
        <v>844.33</v>
      </c>
      <c r="U29" s="2"/>
      <c r="V29" s="19"/>
      <c r="W29" s="2"/>
      <c r="X29" s="2">
        <f t="shared" si="2"/>
        <v>-144.85000000000002</v>
      </c>
      <c r="Y29" s="2"/>
      <c r="Z29" s="19">
        <f t="shared" si="3"/>
        <v>-0.1715561451091398</v>
      </c>
    </row>
    <row r="30" spans="1:26" s="24" customFormat="1" hidden="1" outlineLevel="1" x14ac:dyDescent="0.25">
      <c r="A30" s="44"/>
      <c r="B30" s="11" t="str">
        <f>CONCATENATE("          ", "4086", " - ", "TAXABLE SALES-COMPUTER SUPPLIE")</f>
        <v xml:space="preserve">          4086 - TAXABLE SALES-COMPUTER SUPPLIE</v>
      </c>
      <c r="C30" s="11"/>
      <c r="D30" s="2">
        <f>--58.98</f>
        <v>58.98</v>
      </c>
      <c r="E30" s="2"/>
      <c r="F30" s="19"/>
      <c r="G30" s="2"/>
      <c r="H30" s="2">
        <f>--177.92</f>
        <v>177.92</v>
      </c>
      <c r="I30" s="2"/>
      <c r="J30" s="19"/>
      <c r="K30" s="2"/>
      <c r="L30" s="2">
        <f t="shared" si="0"/>
        <v>-118.94</v>
      </c>
      <c r="M30" s="2"/>
      <c r="N30" s="19">
        <f t="shared" si="1"/>
        <v>-0.66850269784172667</v>
      </c>
      <c r="O30" s="11"/>
      <c r="P30" s="2">
        <f>--698.77</f>
        <v>698.77</v>
      </c>
      <c r="Q30" s="2"/>
      <c r="R30" s="19"/>
      <c r="S30" s="2"/>
      <c r="T30" s="2">
        <f>--1273.32</f>
        <v>1273.32</v>
      </c>
      <c r="U30" s="2"/>
      <c r="V30" s="19"/>
      <c r="W30" s="2"/>
      <c r="X30" s="2">
        <f t="shared" si="2"/>
        <v>-574.54999999999995</v>
      </c>
      <c r="Y30" s="2"/>
      <c r="Z30" s="19">
        <f t="shared" si="3"/>
        <v>-0.45122200232463167</v>
      </c>
    </row>
    <row r="31" spans="1:26" s="24" customFormat="1" hidden="1" outlineLevel="1" x14ac:dyDescent="0.25">
      <c r="A31" s="44"/>
      <c r="B31" s="11" t="str">
        <f>CONCATENATE("          ", "4125", " - ", "NON-TAXABLE SALES-TEST FORMS")</f>
        <v xml:space="preserve">          4125 - NON-TAXABLE SALES-TEST FORMS</v>
      </c>
      <c r="C31" s="11"/>
      <c r="D31" s="2">
        <f>0</f>
        <v>0</v>
      </c>
      <c r="E31" s="2"/>
      <c r="F31" s="19"/>
      <c r="G31" s="2"/>
      <c r="H31" s="2">
        <f>--11.31</f>
        <v>11.31</v>
      </c>
      <c r="I31" s="2"/>
      <c r="J31" s="19"/>
      <c r="K31" s="2"/>
      <c r="L31" s="2">
        <f t="shared" si="0"/>
        <v>-11.31</v>
      </c>
      <c r="M31" s="2"/>
      <c r="N31" s="19">
        <f t="shared" si="1"/>
        <v>-1</v>
      </c>
      <c r="O31" s="11"/>
      <c r="P31" s="2">
        <f>--124.18</f>
        <v>124.18</v>
      </c>
      <c r="Q31" s="2"/>
      <c r="R31" s="19"/>
      <c r="S31" s="2"/>
      <c r="T31" s="2">
        <f>--172.04</f>
        <v>172.04</v>
      </c>
      <c r="U31" s="2"/>
      <c r="V31" s="19"/>
      <c r="W31" s="2"/>
      <c r="X31" s="2">
        <f t="shared" si="2"/>
        <v>-47.859999999999985</v>
      </c>
      <c r="Y31" s="2"/>
      <c r="Z31" s="19">
        <f t="shared" si="3"/>
        <v>-0.27819111834457094</v>
      </c>
    </row>
    <row r="32" spans="1:26" s="24" customFormat="1" hidden="1" outlineLevel="1" x14ac:dyDescent="0.25">
      <c r="A32" s="44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>--38.73</f>
        <v>38.729999999999997</v>
      </c>
      <c r="E32" s="2"/>
      <c r="F32" s="19"/>
      <c r="G32" s="2"/>
      <c r="H32" s="2">
        <f>--192.74</f>
        <v>192.74</v>
      </c>
      <c r="I32" s="2"/>
      <c r="J32" s="19"/>
      <c r="K32" s="2"/>
      <c r="L32" s="2">
        <f t="shared" si="0"/>
        <v>-154.01000000000002</v>
      </c>
      <c r="M32" s="2"/>
      <c r="N32" s="19">
        <f t="shared" si="1"/>
        <v>-0.79905572273529113</v>
      </c>
      <c r="O32" s="11"/>
      <c r="P32" s="2">
        <f>--1509.11</f>
        <v>1509.11</v>
      </c>
      <c r="Q32" s="2"/>
      <c r="R32" s="19"/>
      <c r="S32" s="2"/>
      <c r="T32" s="2">
        <f>--2005.43</f>
        <v>2005.43</v>
      </c>
      <c r="U32" s="2"/>
      <c r="V32" s="19"/>
      <c r="W32" s="2"/>
      <c r="X32" s="2">
        <f t="shared" si="2"/>
        <v>-496.32000000000016</v>
      </c>
      <c r="Y32" s="2"/>
      <c r="Z32" s="19">
        <f t="shared" si="3"/>
        <v>-0.24748806989024805</v>
      </c>
    </row>
    <row r="33" spans="1:26" s="24" customFormat="1" hidden="1" outlineLevel="1" x14ac:dyDescent="0.25">
      <c r="A33" s="44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 t="shared" ref="D33:D34" si="4">0</f>
        <v>0</v>
      </c>
      <c r="E33" s="2"/>
      <c r="F33" s="19"/>
      <c r="G33" s="2"/>
      <c r="H33" s="2">
        <f>--721.23</f>
        <v>721.23</v>
      </c>
      <c r="I33" s="2"/>
      <c r="J33" s="19"/>
      <c r="K33" s="2"/>
      <c r="L33" s="2">
        <f t="shared" si="0"/>
        <v>-721.23</v>
      </c>
      <c r="M33" s="2"/>
      <c r="N33" s="19">
        <f t="shared" si="1"/>
        <v>-1</v>
      </c>
      <c r="O33" s="11"/>
      <c r="P33" s="2">
        <f>--2603.4</f>
        <v>2603.4</v>
      </c>
      <c r="Q33" s="2"/>
      <c r="R33" s="19"/>
      <c r="S33" s="2"/>
      <c r="T33" s="2">
        <f>--9446.53</f>
        <v>9446.5300000000007</v>
      </c>
      <c r="U33" s="2"/>
      <c r="V33" s="19"/>
      <c r="W33" s="2"/>
      <c r="X33" s="2">
        <f t="shared" si="2"/>
        <v>-6843.130000000001</v>
      </c>
      <c r="Y33" s="2"/>
      <c r="Z33" s="19">
        <f t="shared" si="3"/>
        <v>-0.72440673982933423</v>
      </c>
    </row>
    <row r="34" spans="1:26" s="24" customFormat="1" hidden="1" outlineLevel="1" x14ac:dyDescent="0.25">
      <c r="A34" s="44"/>
      <c r="B34" s="11" t="str">
        <f>CONCATENATE("          ", "4128", " - ", "NON-TAXABLE SALES-ART/TECH")</f>
        <v xml:space="preserve">          4128 - NON-TAXABLE SALES-ART/TECH</v>
      </c>
      <c r="C34" s="11"/>
      <c r="D34" s="2">
        <f t="shared" si="4"/>
        <v>0</v>
      </c>
      <c r="E34" s="2"/>
      <c r="F34" s="19"/>
      <c r="G34" s="2"/>
      <c r="H34" s="2">
        <f>--31.29</f>
        <v>31.29</v>
      </c>
      <c r="I34" s="2"/>
      <c r="J34" s="19"/>
      <c r="K34" s="2"/>
      <c r="L34" s="2">
        <f t="shared" si="0"/>
        <v>-31.29</v>
      </c>
      <c r="M34" s="2"/>
      <c r="N34" s="19">
        <f t="shared" si="1"/>
        <v>-1</v>
      </c>
      <c r="O34" s="11"/>
      <c r="P34" s="2">
        <f>--348.72</f>
        <v>348.72</v>
      </c>
      <c r="Q34" s="2"/>
      <c r="R34" s="19"/>
      <c r="S34" s="2"/>
      <c r="T34" s="2">
        <f>--656.99</f>
        <v>656.99</v>
      </c>
      <c r="U34" s="2"/>
      <c r="V34" s="19"/>
      <c r="W34" s="2"/>
      <c r="X34" s="2">
        <f t="shared" si="2"/>
        <v>-308.27</v>
      </c>
      <c r="Y34" s="2"/>
      <c r="Z34" s="19">
        <f t="shared" si="3"/>
        <v>-0.46921566538303472</v>
      </c>
    </row>
    <row r="35" spans="1:26" s="24" customFormat="1" hidden="1" outlineLevel="1" x14ac:dyDescent="0.25">
      <c r="A35" s="44"/>
      <c r="B35" s="11" t="str">
        <f>CONCATENATE("          ", "4131", " - ", "NON-TAXABLE SALES-FOOD")</f>
        <v xml:space="preserve">          4131 - NON-TAXABLE SALES-FOOD</v>
      </c>
      <c r="C35" s="11"/>
      <c r="D35" s="2">
        <f>--4058.22</f>
        <v>4058.22</v>
      </c>
      <c r="E35" s="2"/>
      <c r="F35" s="19"/>
      <c r="G35" s="2"/>
      <c r="H35" s="2">
        <f>--5535.53</f>
        <v>5535.53</v>
      </c>
      <c r="I35" s="2"/>
      <c r="J35" s="19"/>
      <c r="K35" s="2"/>
      <c r="L35" s="2">
        <f t="shared" si="0"/>
        <v>-1477.31</v>
      </c>
      <c r="M35" s="2"/>
      <c r="N35" s="19">
        <f t="shared" si="1"/>
        <v>-0.26687778767344772</v>
      </c>
      <c r="O35" s="11"/>
      <c r="P35" s="2">
        <f>--39085.73</f>
        <v>39085.730000000003</v>
      </c>
      <c r="Q35" s="2"/>
      <c r="R35" s="19"/>
      <c r="S35" s="2"/>
      <c r="T35" s="2">
        <f>--39059.72</f>
        <v>39059.72</v>
      </c>
      <c r="U35" s="2"/>
      <c r="V35" s="19"/>
      <c r="W35" s="2"/>
      <c r="X35" s="2">
        <f t="shared" si="2"/>
        <v>26.010000000002037</v>
      </c>
      <c r="Y35" s="2"/>
      <c r="Z35" s="19">
        <f t="shared" si="3"/>
        <v>6.6590339101258366E-4</v>
      </c>
    </row>
    <row r="36" spans="1:26" s="24" customFormat="1" hidden="1" outlineLevel="1" x14ac:dyDescent="0.25">
      <c r="A36" s="44"/>
      <c r="B36" s="11" t="str">
        <f>CONCATENATE("          ", "4132", " - ", "NON-TAXABLE SALES-JUICE")</f>
        <v xml:space="preserve">          4132 - NON-TAXABLE SALES-JUICE</v>
      </c>
      <c r="C36" s="11"/>
      <c r="D36" s="2">
        <f>--1170.81</f>
        <v>1170.81</v>
      </c>
      <c r="E36" s="2"/>
      <c r="F36" s="19"/>
      <c r="G36" s="2"/>
      <c r="H36" s="2">
        <f>--1361.04</f>
        <v>1361.04</v>
      </c>
      <c r="I36" s="2"/>
      <c r="J36" s="19"/>
      <c r="K36" s="2"/>
      <c r="L36" s="2">
        <f t="shared" si="0"/>
        <v>-190.23000000000002</v>
      </c>
      <c r="M36" s="2"/>
      <c r="N36" s="19">
        <f t="shared" si="1"/>
        <v>-0.1397681184976195</v>
      </c>
      <c r="O36" s="11"/>
      <c r="P36" s="2">
        <f>--11445.2</f>
        <v>11445.2</v>
      </c>
      <c r="Q36" s="2"/>
      <c r="R36" s="19"/>
      <c r="S36" s="2"/>
      <c r="T36" s="2">
        <f>--9997.23</f>
        <v>9997.23</v>
      </c>
      <c r="U36" s="2"/>
      <c r="V36" s="19"/>
      <c r="W36" s="2"/>
      <c r="X36" s="2">
        <f t="shared" si="2"/>
        <v>1447.9700000000012</v>
      </c>
      <c r="Y36" s="2"/>
      <c r="Z36" s="19">
        <f t="shared" si="3"/>
        <v>0.14483711988220749</v>
      </c>
    </row>
    <row r="37" spans="1:26" s="24" customFormat="1" hidden="1" outlineLevel="1" x14ac:dyDescent="0.25">
      <c r="A37" s="44"/>
      <c r="B37" s="11" t="str">
        <f>CONCATENATE("          ", "4133", " - ", "NON-TAXABLE SALES-CANDY")</f>
        <v xml:space="preserve">          4133 - NON-TAXABLE SALES-CANDY</v>
      </c>
      <c r="C37" s="11"/>
      <c r="D37" s="2">
        <f>--1305.22</f>
        <v>1305.22</v>
      </c>
      <c r="E37" s="2"/>
      <c r="F37" s="19"/>
      <c r="G37" s="2"/>
      <c r="H37" s="2">
        <f>--1560.42</f>
        <v>1560.42</v>
      </c>
      <c r="I37" s="2"/>
      <c r="J37" s="19"/>
      <c r="K37" s="2"/>
      <c r="L37" s="2">
        <f t="shared" si="0"/>
        <v>-255.20000000000005</v>
      </c>
      <c r="M37" s="2"/>
      <c r="N37" s="19">
        <f t="shared" si="1"/>
        <v>-0.16354571205188348</v>
      </c>
      <c r="O37" s="11"/>
      <c r="P37" s="2">
        <f>--12121.78</f>
        <v>12121.78</v>
      </c>
      <c r="Q37" s="2"/>
      <c r="R37" s="19"/>
      <c r="S37" s="2"/>
      <c r="T37" s="2">
        <f>--10466.71</f>
        <v>10466.709999999999</v>
      </c>
      <c r="U37" s="2"/>
      <c r="V37" s="19"/>
      <c r="W37" s="2"/>
      <c r="X37" s="2">
        <f t="shared" si="2"/>
        <v>1655.0700000000015</v>
      </c>
      <c r="Y37" s="2"/>
      <c r="Z37" s="19">
        <f t="shared" si="3"/>
        <v>0.15812705234022933</v>
      </c>
    </row>
    <row r="38" spans="1:26" s="24" customFormat="1" hidden="1" outlineLevel="1" x14ac:dyDescent="0.25">
      <c r="A38" s="44"/>
      <c r="B38" s="11" t="str">
        <f>CONCATENATE("          ", "4134", " - ", "NON-TAXABLE SALES-SODA")</f>
        <v xml:space="preserve">          4134 - NON-TAXABLE SALES-SODA</v>
      </c>
      <c r="C38" s="11"/>
      <c r="D38" s="2">
        <f>0</f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--109.47</f>
        <v>109.47</v>
      </c>
      <c r="U38" s="2"/>
      <c r="V38" s="19"/>
      <c r="W38" s="2"/>
      <c r="X38" s="2">
        <f t="shared" si="2"/>
        <v>-109.47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"4135", " - ", "NON-TAXABLE SALES")</f>
        <v xml:space="preserve">          4135 - NON-TAXABLE SALES</v>
      </c>
      <c r="C39" s="11"/>
      <c r="D39" s="2">
        <f>--3.59</f>
        <v>3.59</v>
      </c>
      <c r="E39" s="2"/>
      <c r="F39" s="19"/>
      <c r="G39" s="2"/>
      <c r="H39" s="2">
        <f>--49.18</f>
        <v>49.18</v>
      </c>
      <c r="I39" s="2"/>
      <c r="J39" s="19"/>
      <c r="K39" s="2"/>
      <c r="L39" s="2">
        <f t="shared" si="0"/>
        <v>-45.59</v>
      </c>
      <c r="M39" s="2"/>
      <c r="N39" s="19">
        <f t="shared" si="1"/>
        <v>-0.9270028466856447</v>
      </c>
      <c r="O39" s="11"/>
      <c r="P39" s="2">
        <f>--118.32</f>
        <v>118.32</v>
      </c>
      <c r="Q39" s="2"/>
      <c r="R39" s="19"/>
      <c r="S39" s="2"/>
      <c r="T39" s="2">
        <f>--172.6</f>
        <v>172.6</v>
      </c>
      <c r="U39" s="2"/>
      <c r="V39" s="19"/>
      <c r="W39" s="2"/>
      <c r="X39" s="2">
        <f t="shared" si="2"/>
        <v>-54.28</v>
      </c>
      <c r="Y39" s="2"/>
      <c r="Z39" s="19">
        <f t="shared" si="3"/>
        <v>-0.3144843568945539</v>
      </c>
    </row>
    <row r="40" spans="1:26" s="24" customFormat="1" hidden="1" outlineLevel="1" x14ac:dyDescent="0.25">
      <c r="A40" s="44"/>
      <c r="B40" s="11" t="str">
        <f>CONCATENATE("          ", "4137", " - ", "NON-TAXABLE SALES-WATER")</f>
        <v xml:space="preserve">          4137 - NON-TAXABLE SALES-WATER</v>
      </c>
      <c r="C40" s="11"/>
      <c r="D40" s="2">
        <f>--617.73</f>
        <v>617.73</v>
      </c>
      <c r="E40" s="2"/>
      <c r="F40" s="19"/>
      <c r="G40" s="2"/>
      <c r="H40" s="2">
        <f>--747.15</f>
        <v>747.15</v>
      </c>
      <c r="I40" s="2"/>
      <c r="J40" s="19"/>
      <c r="K40" s="2"/>
      <c r="L40" s="2">
        <f t="shared" si="0"/>
        <v>-129.41999999999996</v>
      </c>
      <c r="M40" s="2"/>
      <c r="N40" s="19">
        <f t="shared" si="1"/>
        <v>-0.17321822927123062</v>
      </c>
      <c r="O40" s="11"/>
      <c r="P40" s="2">
        <f>--5820.07</f>
        <v>5820.07</v>
      </c>
      <c r="Q40" s="2"/>
      <c r="R40" s="19"/>
      <c r="S40" s="2"/>
      <c r="T40" s="2">
        <f>--5472.11</f>
        <v>5472.11</v>
      </c>
      <c r="U40" s="2"/>
      <c r="V40" s="19"/>
      <c r="W40" s="2"/>
      <c r="X40" s="2">
        <f t="shared" si="2"/>
        <v>347.96000000000004</v>
      </c>
      <c r="Y40" s="2"/>
      <c r="Z40" s="19">
        <f t="shared" si="3"/>
        <v>6.3587903020955364E-2</v>
      </c>
    </row>
    <row r="41" spans="1:26" s="24" customFormat="1" hidden="1" outlineLevel="1" x14ac:dyDescent="0.25">
      <c r="A41" s="44"/>
      <c r="B41" s="11" t="str">
        <f>CONCATENATE("          ", "4186", " - ", "NON-TAXABLE SALES-COMPUTER SUP")</f>
        <v xml:space="preserve">          4186 - NON-TAXABLE SALES-COMPUTER SUP</v>
      </c>
      <c r="C41" s="11"/>
      <c r="D41" s="2">
        <f t="shared" ref="D41:D42" si="5">0</f>
        <v>0</v>
      </c>
      <c r="E41" s="2"/>
      <c r="F41" s="19"/>
      <c r="G41" s="2"/>
      <c r="H41" s="2">
        <f>-44.97</f>
        <v>-44.97</v>
      </c>
      <c r="I41" s="2"/>
      <c r="J41" s="19"/>
      <c r="K41" s="2"/>
      <c r="L41" s="2">
        <f t="shared" si="0"/>
        <v>44.97</v>
      </c>
      <c r="M41" s="2"/>
      <c r="N41" s="19">
        <f t="shared" si="1"/>
        <v>-1</v>
      </c>
      <c r="O41" s="11"/>
      <c r="P41" s="2">
        <f>-30.97</f>
        <v>-30.97</v>
      </c>
      <c r="Q41" s="2"/>
      <c r="R41" s="19"/>
      <c r="S41" s="2"/>
      <c r="T41" s="2">
        <f>-127.94</f>
        <v>-127.94</v>
      </c>
      <c r="U41" s="2"/>
      <c r="V41" s="19"/>
      <c r="W41" s="2"/>
      <c r="X41" s="2">
        <f t="shared" si="2"/>
        <v>96.97</v>
      </c>
      <c r="Y41" s="2"/>
      <c r="Z41" s="19">
        <f t="shared" si="3"/>
        <v>-0.7579334062841957</v>
      </c>
    </row>
    <row r="42" spans="1:26" s="24" customFormat="1" hidden="1" outlineLevel="1" x14ac:dyDescent="0.25">
      <c r="A42" s="44"/>
      <c r="B42" s="11" t="str">
        <f>CONCATENATE("          ", "4217", " - ", "NON-TAXABLE SALES-DORM/HOUSEWA")</f>
        <v xml:space="preserve">          4217 - NON-TAXABLE SALES-DORM/HOUSEWA</v>
      </c>
      <c r="C42" s="11"/>
      <c r="D42" s="2">
        <f t="shared" si="5"/>
        <v>0</v>
      </c>
      <c r="E42" s="2"/>
      <c r="F42" s="19"/>
      <c r="G42" s="2"/>
      <c r="H42" s="2">
        <f t="shared" ref="H42:H43" si="6"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-2.98</f>
        <v>-2.98</v>
      </c>
      <c r="Q42" s="2"/>
      <c r="R42" s="19"/>
      <c r="S42" s="2"/>
      <c r="T42" s="2">
        <f>-1.5</f>
        <v>-1.5</v>
      </c>
      <c r="U42" s="2"/>
      <c r="V42" s="19"/>
      <c r="W42" s="2"/>
      <c r="X42" s="2">
        <f t="shared" si="2"/>
        <v>-1.48</v>
      </c>
      <c r="Y42" s="2"/>
      <c r="Z42" s="19">
        <f t="shared" si="3"/>
        <v>0.98666666666666669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>-15.51</f>
        <v>-15.51</v>
      </c>
      <c r="E43" s="2"/>
      <c r="F43" s="19"/>
      <c r="G43" s="2"/>
      <c r="H43" s="2">
        <f t="shared" si="6"/>
        <v>0</v>
      </c>
      <c r="I43" s="2"/>
      <c r="J43" s="19"/>
      <c r="K43" s="2"/>
      <c r="L43" s="2">
        <f t="shared" si="0"/>
        <v>-15.51</v>
      </c>
      <c r="M43" s="2"/>
      <c r="N43" s="19">
        <f t="shared" si="1"/>
        <v>0</v>
      </c>
      <c r="O43" s="11"/>
      <c r="P43" s="2">
        <f>-80.97</f>
        <v>-80.97</v>
      </c>
      <c r="Q43" s="2"/>
      <c r="R43" s="19"/>
      <c r="S43" s="2"/>
      <c r="T43" s="2">
        <f>-62.42</f>
        <v>-62.42</v>
      </c>
      <c r="U43" s="2"/>
      <c r="V43" s="19"/>
      <c r="W43" s="2"/>
      <c r="X43" s="2">
        <f t="shared" si="2"/>
        <v>-18.549999999999997</v>
      </c>
      <c r="Y43" s="2"/>
      <c r="Z43" s="19">
        <f t="shared" si="3"/>
        <v>0.29718039090035242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>-41.65</f>
        <v>-41.65</v>
      </c>
      <c r="E44" s="2"/>
      <c r="F44" s="19"/>
      <c r="G44" s="2"/>
      <c r="H44" s="2">
        <f>-18.04</f>
        <v>-18.04</v>
      </c>
      <c r="I44" s="2"/>
      <c r="J44" s="19"/>
      <c r="K44" s="2"/>
      <c r="L44" s="2">
        <f t="shared" si="0"/>
        <v>-23.61</v>
      </c>
      <c r="M44" s="2"/>
      <c r="N44" s="19">
        <f t="shared" si="1"/>
        <v>1.3087583148558759</v>
      </c>
      <c r="O44" s="11"/>
      <c r="P44" s="2">
        <f>-396.56</f>
        <v>-396.56</v>
      </c>
      <c r="Q44" s="2"/>
      <c r="R44" s="19"/>
      <c r="S44" s="2"/>
      <c r="T44" s="2">
        <f>-279.47</f>
        <v>-279.47000000000003</v>
      </c>
      <c r="U44" s="2"/>
      <c r="V44" s="19"/>
      <c r="W44" s="2"/>
      <c r="X44" s="2">
        <f t="shared" si="2"/>
        <v>-117.08999999999997</v>
      </c>
      <c r="Y44" s="2"/>
      <c r="Z44" s="19">
        <f t="shared" si="3"/>
        <v>0.41897162486134454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>-204.76</f>
        <v>-204.76</v>
      </c>
      <c r="E45" s="2"/>
      <c r="F45" s="19"/>
      <c r="G45" s="2"/>
      <c r="H45" s="2">
        <f>-195.37</f>
        <v>-195.37</v>
      </c>
      <c r="I45" s="2"/>
      <c r="J45" s="19"/>
      <c r="K45" s="2"/>
      <c r="L45" s="2">
        <f t="shared" si="0"/>
        <v>-9.3899999999999864</v>
      </c>
      <c r="M45" s="2"/>
      <c r="N45" s="19">
        <f t="shared" si="1"/>
        <v>4.8062650355735204E-2</v>
      </c>
      <c r="O45" s="11"/>
      <c r="P45" s="2">
        <f>-5948.58</f>
        <v>-5948.58</v>
      </c>
      <c r="Q45" s="2"/>
      <c r="R45" s="19"/>
      <c r="S45" s="2"/>
      <c r="T45" s="2">
        <f>-2689.38</f>
        <v>-2689.38</v>
      </c>
      <c r="U45" s="2"/>
      <c r="V45" s="19"/>
      <c r="W45" s="2"/>
      <c r="X45" s="2">
        <f t="shared" si="2"/>
        <v>-3259.2</v>
      </c>
      <c r="Y45" s="2"/>
      <c r="Z45" s="19">
        <f t="shared" si="3"/>
        <v>1.2118778305780513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>-277.33</f>
        <v>-277.33</v>
      </c>
      <c r="E46" s="2"/>
      <c r="F46" s="19"/>
      <c r="G46" s="2"/>
      <c r="H46" s="2">
        <f>-450.83</f>
        <v>-450.83</v>
      </c>
      <c r="I46" s="2"/>
      <c r="J46" s="19"/>
      <c r="K46" s="2"/>
      <c r="L46" s="2">
        <f t="shared" si="0"/>
        <v>173.5</v>
      </c>
      <c r="M46" s="2"/>
      <c r="N46" s="19">
        <f t="shared" si="1"/>
        <v>-0.38484572898875408</v>
      </c>
      <c r="O46" s="11"/>
      <c r="P46" s="2">
        <f>-3148.62</f>
        <v>-3148.62</v>
      </c>
      <c r="Q46" s="2"/>
      <c r="R46" s="19"/>
      <c r="S46" s="2"/>
      <c r="T46" s="2">
        <f>-4598.8</f>
        <v>-4598.8</v>
      </c>
      <c r="U46" s="2"/>
      <c r="V46" s="19"/>
      <c r="W46" s="2"/>
      <c r="X46" s="2">
        <f t="shared" si="2"/>
        <v>1450.1800000000003</v>
      </c>
      <c r="Y46" s="2"/>
      <c r="Z46" s="19">
        <f t="shared" si="3"/>
        <v>-0.31533878403061671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>0</f>
        <v>0</v>
      </c>
      <c r="E47" s="2"/>
      <c r="F47" s="19"/>
      <c r="G47" s="2"/>
      <c r="H47" s="2">
        <f t="shared" ref="H47:H50" si="7"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-1.29</f>
        <v>-1.29</v>
      </c>
      <c r="Q47" s="2"/>
      <c r="R47" s="19"/>
      <c r="S47" s="2"/>
      <c r="T47" s="2">
        <f>-1.89</f>
        <v>-1.89</v>
      </c>
      <c r="U47" s="2"/>
      <c r="V47" s="19"/>
      <c r="W47" s="2"/>
      <c r="X47" s="2">
        <f t="shared" si="2"/>
        <v>0.59999999999999987</v>
      </c>
      <c r="Y47" s="2"/>
      <c r="Z47" s="19">
        <f t="shared" si="3"/>
        <v>-0.31746031746031739</v>
      </c>
    </row>
    <row r="48" spans="1:26" s="24" customFormat="1" hidden="1" outlineLevel="1" x14ac:dyDescent="0.25">
      <c r="A48" s="44"/>
      <c r="B48" s="11" t="str">
        <f>CONCATENATE("          ", "4281", " - ", "SALES RETURN TAXABLE-ELECTRONI")</f>
        <v xml:space="preserve">          4281 - SALES RETURN TAXABLE-ELECTRONI</v>
      </c>
      <c r="C48" s="11"/>
      <c r="D48" s="2">
        <f>-9.99</f>
        <v>-9.99</v>
      </c>
      <c r="E48" s="2"/>
      <c r="F48" s="19"/>
      <c r="G48" s="2"/>
      <c r="H48" s="2">
        <f t="shared" si="7"/>
        <v>0</v>
      </c>
      <c r="I48" s="2"/>
      <c r="J48" s="19"/>
      <c r="K48" s="2"/>
      <c r="L48" s="2">
        <f t="shared" si="0"/>
        <v>-9.99</v>
      </c>
      <c r="M48" s="2"/>
      <c r="N48" s="19">
        <f t="shared" si="1"/>
        <v>0</v>
      </c>
      <c r="O48" s="11"/>
      <c r="P48" s="2">
        <f>-54.97</f>
        <v>-54.97</v>
      </c>
      <c r="Q48" s="2"/>
      <c r="R48" s="19"/>
      <c r="S48" s="2"/>
      <c r="T48" s="2">
        <f>-24.99</f>
        <v>-24.99</v>
      </c>
      <c r="U48" s="2"/>
      <c r="V48" s="19"/>
      <c r="W48" s="2"/>
      <c r="X48" s="2">
        <f t="shared" si="2"/>
        <v>-29.98</v>
      </c>
      <c r="Y48" s="2"/>
      <c r="Z48" s="19">
        <f t="shared" si="3"/>
        <v>1.1996798719487796</v>
      </c>
    </row>
    <row r="49" spans="1:26" s="24" customFormat="1" hidden="1" outlineLevel="1" x14ac:dyDescent="0.25">
      <c r="A49" s="44"/>
      <c r="B49" s="11" t="str">
        <f>CONCATENATE("          ", "4326", " - ", "SALES RETURN NON TAXABLE-WRITI")</f>
        <v xml:space="preserve">          4326 - SALES RETURN NON TAXABLE-WRITI</v>
      </c>
      <c r="C49" s="11"/>
      <c r="D49" s="2">
        <f t="shared" ref="D49:D50" si="8">0</f>
        <v>0</v>
      </c>
      <c r="E49" s="2"/>
      <c r="F49" s="19"/>
      <c r="G49" s="2"/>
      <c r="H49" s="2">
        <f t="shared" si="7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0</f>
        <v>0</v>
      </c>
      <c r="Q49" s="2"/>
      <c r="R49" s="19"/>
      <c r="S49" s="2"/>
      <c r="T49" s="2">
        <f>-8.08</f>
        <v>-8.08</v>
      </c>
      <c r="U49" s="2"/>
      <c r="V49" s="19"/>
      <c r="W49" s="2"/>
      <c r="X49" s="2">
        <f t="shared" si="2"/>
        <v>8.08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"4327", " - ", "SALES RETURN NON TAXABLE-SCHOO")</f>
        <v xml:space="preserve">          4327 - SALES RETURN NON TAXABLE-SCHOO</v>
      </c>
      <c r="C50" s="11"/>
      <c r="D50" s="2">
        <f t="shared" si="8"/>
        <v>0</v>
      </c>
      <c r="E50" s="2"/>
      <c r="F50" s="19"/>
      <c r="G50" s="2"/>
      <c r="H50" s="2">
        <f t="shared" si="7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-21.87</f>
        <v>-21.87</v>
      </c>
      <c r="Q50" s="2"/>
      <c r="R50" s="19"/>
      <c r="S50" s="2"/>
      <c r="T50" s="2">
        <f>0</f>
        <v>0</v>
      </c>
      <c r="U50" s="2"/>
      <c r="V50" s="19"/>
      <c r="W50" s="2"/>
      <c r="X50" s="2">
        <f t="shared" si="2"/>
        <v>-21.87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8" t="s">
        <v>8</v>
      </c>
      <c r="C52" s="10"/>
      <c r="D52" s="4">
        <f>SUM(OSRRefD16x_0)</f>
        <v>22262.880000000001</v>
      </c>
      <c r="E52" s="4"/>
      <c r="F52" s="12">
        <f t="shared" ref="F52:F75" si="9">IF(D$12=0,0,D52/D$12)</f>
        <v>0.50372552546641192</v>
      </c>
      <c r="G52" s="4"/>
      <c r="H52" s="4">
        <f>SUM(OSRRefH16x_0)</f>
        <v>25062.610000000011</v>
      </c>
      <c r="I52" s="4"/>
      <c r="J52" s="12">
        <f t="shared" ref="J52:J75" si="10">IF(H$12=0,0,H52/H$12)</f>
        <v>0.51536961684018001</v>
      </c>
      <c r="K52" s="4"/>
      <c r="L52" s="4">
        <f t="shared" ref="L52:L75" si="11">+D52-H52</f>
        <v>-2799.7300000000105</v>
      </c>
      <c r="M52" s="4"/>
      <c r="N52" s="12">
        <f t="shared" ref="N52:N75" si="12">IF(H52=0,0,L52/H52)</f>
        <v>-0.1117094348912587</v>
      </c>
      <c r="O52" s="10"/>
      <c r="P52" s="4">
        <f>SUM(OSRRefP16x_0)</f>
        <v>256592.71000000005</v>
      </c>
      <c r="Q52" s="4"/>
      <c r="R52" s="12">
        <f t="shared" ref="R52:R75" si="13">IF(P$12=0,0,P52/P$12)</f>
        <v>0.49729456126665716</v>
      </c>
      <c r="S52" s="4"/>
      <c r="T52" s="4">
        <f>SUM(OSRRefT16x_0)</f>
        <v>263460.41000000003</v>
      </c>
      <c r="U52" s="4"/>
      <c r="V52" s="12">
        <f t="shared" ref="V52:V75" si="14">IF(T$12=0,0,T52/T$12)</f>
        <v>0.52020979116391508</v>
      </c>
      <c r="W52" s="4"/>
      <c r="X52" s="4">
        <f t="shared" ref="X52:X75" si="15">+P52-T52</f>
        <v>-6867.6999999999825</v>
      </c>
      <c r="Y52" s="4"/>
      <c r="Z52" s="12">
        <f t="shared" ref="Z52:Z75" si="16">IF(T52=0,0,X52/T52)</f>
        <v>-2.6067294133490425E-2</v>
      </c>
    </row>
    <row r="53" spans="1:26" s="24" customFormat="1" hidden="1" outlineLevel="1" x14ac:dyDescent="0.25">
      <c r="A53" s="44"/>
      <c r="B53" s="11" t="str">
        <f>CONCATENATE("          ", "5014", " - ", "PURCHASES @ COST-REMAINDERS")</f>
        <v xml:space="preserve">          5014 - PURCHASES @ COST-REMAINDERS</v>
      </c>
      <c r="C53" s="11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1"/>
      <c r="P53" s="2">
        <v>14.46</v>
      </c>
      <c r="Q53" s="2"/>
      <c r="R53" s="19">
        <f t="shared" si="13"/>
        <v>2.8024488131076918E-5</v>
      </c>
      <c r="S53" s="2"/>
      <c r="T53" s="2"/>
      <c r="U53" s="2"/>
      <c r="V53" s="19">
        <f t="shared" si="14"/>
        <v>0</v>
      </c>
      <c r="W53" s="2"/>
      <c r="X53" s="2">
        <f t="shared" si="15"/>
        <v>14.46</v>
      </c>
      <c r="Y53" s="2"/>
      <c r="Z53" s="19">
        <f t="shared" si="16"/>
        <v>0</v>
      </c>
    </row>
    <row r="54" spans="1:26" s="24" customFormat="1" hidden="1" outlineLevel="1" x14ac:dyDescent="0.25">
      <c r="A54" s="44"/>
      <c r="B54" s="11" t="str">
        <f>CONCATENATE("          ", "5017", " - ", "PURCHASES @ COST-DORM/HOUSEWAR")</f>
        <v xml:space="preserve">          5017 - PURCHASES @ COST-DORM/HOUSEWAR</v>
      </c>
      <c r="C54" s="11"/>
      <c r="D54" s="2"/>
      <c r="E54" s="2"/>
      <c r="F54" s="19">
        <f t="shared" si="9"/>
        <v>0</v>
      </c>
      <c r="G54" s="2"/>
      <c r="H54" s="2"/>
      <c r="I54" s="2"/>
      <c r="J54" s="19">
        <f t="shared" si="10"/>
        <v>0</v>
      </c>
      <c r="K54" s="2"/>
      <c r="L54" s="2">
        <f t="shared" si="11"/>
        <v>0</v>
      </c>
      <c r="M54" s="2"/>
      <c r="N54" s="19">
        <f t="shared" si="12"/>
        <v>0</v>
      </c>
      <c r="O54" s="11"/>
      <c r="P54" s="2">
        <v>0</v>
      </c>
      <c r="Q54" s="2"/>
      <c r="R54" s="19">
        <f t="shared" si="13"/>
        <v>0</v>
      </c>
      <c r="S54" s="2"/>
      <c r="T54" s="2">
        <v>239.9</v>
      </c>
      <c r="U54" s="2"/>
      <c r="V54" s="19">
        <f t="shared" si="14"/>
        <v>4.7368911670722446E-4</v>
      </c>
      <c r="W54" s="2"/>
      <c r="X54" s="2">
        <f t="shared" si="15"/>
        <v>-239.9</v>
      </c>
      <c r="Y54" s="2"/>
      <c r="Z54" s="19">
        <f t="shared" si="16"/>
        <v>-1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>
        <v>0</v>
      </c>
      <c r="E55" s="2"/>
      <c r="F55" s="19">
        <f t="shared" si="9"/>
        <v>0</v>
      </c>
      <c r="G55" s="2"/>
      <c r="H55" s="2">
        <v>12949.15</v>
      </c>
      <c r="I55" s="2"/>
      <c r="J55" s="19">
        <f t="shared" si="10"/>
        <v>0.26627707465048583</v>
      </c>
      <c r="K55" s="2"/>
      <c r="L55" s="2">
        <f t="shared" si="11"/>
        <v>-12949.15</v>
      </c>
      <c r="M55" s="2"/>
      <c r="N55" s="19">
        <f t="shared" si="12"/>
        <v>-1</v>
      </c>
      <c r="O55" s="11"/>
      <c r="P55" s="2">
        <v>22098.390000000003</v>
      </c>
      <c r="Q55" s="2"/>
      <c r="R55" s="19">
        <f t="shared" si="13"/>
        <v>4.2828220488997849E-2</v>
      </c>
      <c r="S55" s="2"/>
      <c r="T55" s="2">
        <v>14985.950000000003</v>
      </c>
      <c r="U55" s="2"/>
      <c r="V55" s="19">
        <f t="shared" si="14"/>
        <v>2.9590168480694588E-2</v>
      </c>
      <c r="W55" s="2"/>
      <c r="X55" s="2">
        <f t="shared" si="15"/>
        <v>7112.4400000000005</v>
      </c>
      <c r="Y55" s="2"/>
      <c r="Z55" s="19">
        <f t="shared" si="16"/>
        <v>0.4746072154251148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4328.17</v>
      </c>
      <c r="E56" s="2"/>
      <c r="F56" s="19">
        <f t="shared" si="9"/>
        <v>9.7930263629771183E-2</v>
      </c>
      <c r="G56" s="2"/>
      <c r="H56" s="2">
        <v>3649.22</v>
      </c>
      <c r="I56" s="2"/>
      <c r="J56" s="19">
        <f t="shared" si="10"/>
        <v>7.5039954464659525E-2</v>
      </c>
      <c r="K56" s="2"/>
      <c r="L56" s="2">
        <f t="shared" si="11"/>
        <v>678.95000000000027</v>
      </c>
      <c r="M56" s="2"/>
      <c r="N56" s="19">
        <f t="shared" si="12"/>
        <v>0.18605345799924375</v>
      </c>
      <c r="O56" s="11"/>
      <c r="P56" s="2">
        <v>34316.009999999995</v>
      </c>
      <c r="Q56" s="2"/>
      <c r="R56" s="19">
        <f t="shared" si="13"/>
        <v>6.6506819844461731E-2</v>
      </c>
      <c r="S56" s="2"/>
      <c r="T56" s="2">
        <v>31331.939999999995</v>
      </c>
      <c r="U56" s="2"/>
      <c r="V56" s="19">
        <f t="shared" si="14"/>
        <v>6.186577316933619E-2</v>
      </c>
      <c r="W56" s="2"/>
      <c r="X56" s="2">
        <f t="shared" si="15"/>
        <v>2984.0699999999997</v>
      </c>
      <c r="Y56" s="2"/>
      <c r="Z56" s="19">
        <f t="shared" si="16"/>
        <v>9.5240511758927157E-2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2493.64</v>
      </c>
      <c r="E57" s="2"/>
      <c r="F57" s="19">
        <f t="shared" si="9"/>
        <v>5.6421726179365084E-2</v>
      </c>
      <c r="G57" s="2"/>
      <c r="H57" s="2">
        <v>15673.230000000001</v>
      </c>
      <c r="I57" s="2"/>
      <c r="J57" s="19">
        <f t="shared" si="10"/>
        <v>0.3222931107234247</v>
      </c>
      <c r="K57" s="2"/>
      <c r="L57" s="2">
        <f t="shared" si="11"/>
        <v>-13179.590000000002</v>
      </c>
      <c r="M57" s="2"/>
      <c r="N57" s="19">
        <f t="shared" si="12"/>
        <v>-0.8408981428843959</v>
      </c>
      <c r="O57" s="11"/>
      <c r="P57" s="2">
        <v>77948.710000000006</v>
      </c>
      <c r="Q57" s="2"/>
      <c r="R57" s="19">
        <f t="shared" si="13"/>
        <v>0.15107003445558484</v>
      </c>
      <c r="S57" s="2"/>
      <c r="T57" s="2">
        <v>97389.959999999992</v>
      </c>
      <c r="U57" s="2"/>
      <c r="V57" s="19">
        <f t="shared" si="14"/>
        <v>0.19229914184473496</v>
      </c>
      <c r="W57" s="2"/>
      <c r="X57" s="2">
        <f t="shared" si="15"/>
        <v>-19441.249999999985</v>
      </c>
      <c r="Y57" s="2"/>
      <c r="Z57" s="19">
        <f t="shared" si="16"/>
        <v>-0.19962273318522758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7730.31</v>
      </c>
      <c r="E58" s="2"/>
      <c r="F58" s="19">
        <f t="shared" si="9"/>
        <v>0.17490793943857483</v>
      </c>
      <c r="G58" s="2"/>
      <c r="H58" s="2">
        <v>12127.84</v>
      </c>
      <c r="I58" s="2"/>
      <c r="J58" s="19">
        <f t="shared" si="10"/>
        <v>0.24938824224208914</v>
      </c>
      <c r="K58" s="2"/>
      <c r="L58" s="2">
        <f t="shared" si="11"/>
        <v>-4397.53</v>
      </c>
      <c r="M58" s="2"/>
      <c r="N58" s="19">
        <f t="shared" si="12"/>
        <v>-0.36259795643741999</v>
      </c>
      <c r="O58" s="11"/>
      <c r="P58" s="2">
        <v>103000.81999999999</v>
      </c>
      <c r="Q58" s="2"/>
      <c r="R58" s="19">
        <f t="shared" si="13"/>
        <v>0.19962277023383054</v>
      </c>
      <c r="S58" s="2"/>
      <c r="T58" s="2">
        <v>97793.52</v>
      </c>
      <c r="U58" s="2"/>
      <c r="V58" s="19">
        <f t="shared" si="14"/>
        <v>0.19309598211125589</v>
      </c>
      <c r="W58" s="2"/>
      <c r="X58" s="2">
        <f t="shared" si="15"/>
        <v>5207.2999999999884</v>
      </c>
      <c r="Y58" s="2"/>
      <c r="Z58" s="19">
        <f t="shared" si="16"/>
        <v>5.3247904360125171E-2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1695.24</v>
      </c>
      <c r="E59" s="2"/>
      <c r="F59" s="19">
        <f t="shared" si="9"/>
        <v>3.8356926857247585E-2</v>
      </c>
      <c r="G59" s="2"/>
      <c r="H59" s="2">
        <v>1711.02</v>
      </c>
      <c r="I59" s="2"/>
      <c r="J59" s="19">
        <f t="shared" si="10"/>
        <v>3.5184193577839036E-2</v>
      </c>
      <c r="K59" s="2"/>
      <c r="L59" s="2">
        <f t="shared" si="11"/>
        <v>-15.779999999999973</v>
      </c>
      <c r="M59" s="2"/>
      <c r="N59" s="19">
        <f t="shared" si="12"/>
        <v>-9.2225689939334273E-3</v>
      </c>
      <c r="O59" s="11"/>
      <c r="P59" s="2">
        <v>22509.73</v>
      </c>
      <c r="Q59" s="2"/>
      <c r="R59" s="19">
        <f t="shared" si="13"/>
        <v>4.3625426087050209E-2</v>
      </c>
      <c r="S59" s="2"/>
      <c r="T59" s="2">
        <v>19133.79</v>
      </c>
      <c r="U59" s="2"/>
      <c r="V59" s="19">
        <f t="shared" si="14"/>
        <v>3.7780192098213941E-2</v>
      </c>
      <c r="W59" s="2"/>
      <c r="X59" s="2">
        <f t="shared" si="15"/>
        <v>3375.9399999999987</v>
      </c>
      <c r="Y59" s="2"/>
      <c r="Z59" s="19">
        <f t="shared" si="16"/>
        <v>0.17643864597656808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>
        <v>358.99</v>
      </c>
      <c r="E60" s="2"/>
      <c r="F60" s="19">
        <f t="shared" si="9"/>
        <v>8.1225980819726474E-3</v>
      </c>
      <c r="G60" s="2"/>
      <c r="H60" s="2">
        <v>891.9</v>
      </c>
      <c r="I60" s="2"/>
      <c r="J60" s="19">
        <f t="shared" si="10"/>
        <v>1.8340394765738937E-2</v>
      </c>
      <c r="K60" s="2"/>
      <c r="L60" s="2">
        <f t="shared" si="11"/>
        <v>-532.91</v>
      </c>
      <c r="M60" s="2"/>
      <c r="N60" s="19">
        <f t="shared" si="12"/>
        <v>-0.59749971969951787</v>
      </c>
      <c r="O60" s="11"/>
      <c r="P60" s="2">
        <v>5021.4799999999996</v>
      </c>
      <c r="Q60" s="2"/>
      <c r="R60" s="19">
        <f t="shared" si="13"/>
        <v>9.7319783305975169E-3</v>
      </c>
      <c r="S60" s="2"/>
      <c r="T60" s="2">
        <v>5570.25</v>
      </c>
      <c r="U60" s="2"/>
      <c r="V60" s="19">
        <f t="shared" si="14"/>
        <v>1.099861109770078E-2</v>
      </c>
      <c r="W60" s="2"/>
      <c r="X60" s="2">
        <f t="shared" si="15"/>
        <v>-548.77000000000044</v>
      </c>
      <c r="Y60" s="2"/>
      <c r="Z60" s="19">
        <f t="shared" si="16"/>
        <v>-9.8518019837529808E-2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260.19</v>
      </c>
      <c r="E61" s="2"/>
      <c r="F61" s="19">
        <f t="shared" si="9"/>
        <v>5.8871244183639187E-3</v>
      </c>
      <c r="G61" s="2"/>
      <c r="H61" s="2">
        <v>143.51</v>
      </c>
      <c r="I61" s="2"/>
      <c r="J61" s="19">
        <f t="shared" si="10"/>
        <v>2.9510371710182695E-3</v>
      </c>
      <c r="K61" s="2"/>
      <c r="L61" s="2">
        <f t="shared" si="11"/>
        <v>116.68</v>
      </c>
      <c r="M61" s="2"/>
      <c r="N61" s="19">
        <f t="shared" si="12"/>
        <v>0.81304438715072125</v>
      </c>
      <c r="O61" s="11"/>
      <c r="P61" s="2">
        <v>6197.93</v>
      </c>
      <c r="Q61" s="2"/>
      <c r="R61" s="19">
        <f t="shared" si="13"/>
        <v>1.2012020451054328E-2</v>
      </c>
      <c r="S61" s="2"/>
      <c r="T61" s="2">
        <v>4581.87</v>
      </c>
      <c r="U61" s="2"/>
      <c r="V61" s="19">
        <f t="shared" si="14"/>
        <v>9.0470277330859956E-3</v>
      </c>
      <c r="W61" s="2"/>
      <c r="X61" s="2">
        <f t="shared" si="15"/>
        <v>1616.0600000000004</v>
      </c>
      <c r="Y61" s="2"/>
      <c r="Z61" s="19">
        <f t="shared" si="16"/>
        <v>0.35270751898242431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>
        <v>42.24</v>
      </c>
      <c r="E62" s="2"/>
      <c r="F62" s="19">
        <f t="shared" si="9"/>
        <v>9.5573286994769953E-4</v>
      </c>
      <c r="G62" s="2"/>
      <c r="H62" s="2">
        <v>360.44</v>
      </c>
      <c r="I62" s="2"/>
      <c r="J62" s="19">
        <f t="shared" si="10"/>
        <v>7.4118307987027041E-3</v>
      </c>
      <c r="K62" s="2"/>
      <c r="L62" s="2">
        <f t="shared" si="11"/>
        <v>-318.2</v>
      </c>
      <c r="M62" s="2"/>
      <c r="N62" s="19">
        <f t="shared" si="12"/>
        <v>-0.88280989901231821</v>
      </c>
      <c r="O62" s="11"/>
      <c r="P62" s="2">
        <v>2124.16</v>
      </c>
      <c r="Q62" s="2"/>
      <c r="R62" s="19">
        <f t="shared" si="13"/>
        <v>4.1167701734791387E-3</v>
      </c>
      <c r="S62" s="2"/>
      <c r="T62" s="2">
        <v>2030.04</v>
      </c>
      <c r="U62" s="2"/>
      <c r="V62" s="19">
        <f t="shared" si="14"/>
        <v>4.0083695476462438E-3</v>
      </c>
      <c r="W62" s="2"/>
      <c r="X62" s="2">
        <f t="shared" si="15"/>
        <v>94.119999999999891</v>
      </c>
      <c r="Y62" s="2"/>
      <c r="Z62" s="19">
        <f t="shared" si="16"/>
        <v>4.6363618450867908E-2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>
        <v>23.17</v>
      </c>
      <c r="E63" s="2"/>
      <c r="F63" s="19">
        <f t="shared" si="9"/>
        <v>5.2425025086856526E-4</v>
      </c>
      <c r="G63" s="2"/>
      <c r="H63" s="2">
        <v>42.48</v>
      </c>
      <c r="I63" s="2"/>
      <c r="J63" s="19">
        <f t="shared" si="10"/>
        <v>8.7352838843882715E-4</v>
      </c>
      <c r="K63" s="2"/>
      <c r="L63" s="2">
        <f t="shared" si="11"/>
        <v>-19.309999999999995</v>
      </c>
      <c r="M63" s="2"/>
      <c r="N63" s="19">
        <f t="shared" si="12"/>
        <v>-0.45456685499058375</v>
      </c>
      <c r="O63" s="11"/>
      <c r="P63" s="2">
        <v>824.38</v>
      </c>
      <c r="Q63" s="2"/>
      <c r="R63" s="19">
        <f t="shared" si="13"/>
        <v>1.5977059146263617E-3</v>
      </c>
      <c r="S63" s="2"/>
      <c r="T63" s="2">
        <v>600.35</v>
      </c>
      <c r="U63" s="2"/>
      <c r="V63" s="19">
        <f t="shared" si="14"/>
        <v>1.1854075081916724E-3</v>
      </c>
      <c r="W63" s="2"/>
      <c r="X63" s="2">
        <f t="shared" si="15"/>
        <v>224.02999999999997</v>
      </c>
      <c r="Y63" s="2"/>
      <c r="Z63" s="19">
        <f t="shared" si="16"/>
        <v>0.37316565336886809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>
        <v>235.9</v>
      </c>
      <c r="E64" s="2"/>
      <c r="F64" s="19">
        <f t="shared" si="9"/>
        <v>5.3375327656406801E-3</v>
      </c>
      <c r="G64" s="2"/>
      <c r="H64" s="2">
        <v>390.37</v>
      </c>
      <c r="I64" s="2"/>
      <c r="J64" s="19">
        <f t="shared" si="10"/>
        <v>8.0272899480900422E-3</v>
      </c>
      <c r="K64" s="2"/>
      <c r="L64" s="2">
        <f t="shared" si="11"/>
        <v>-154.47</v>
      </c>
      <c r="M64" s="2"/>
      <c r="N64" s="19">
        <f t="shared" si="12"/>
        <v>-0.39570151394830544</v>
      </c>
      <c r="O64" s="11"/>
      <c r="P64" s="2">
        <v>3729.51</v>
      </c>
      <c r="Q64" s="2"/>
      <c r="R64" s="19">
        <f t="shared" si="13"/>
        <v>7.2280503962470731E-3</v>
      </c>
      <c r="S64" s="2"/>
      <c r="T64" s="2">
        <v>3845.34</v>
      </c>
      <c r="U64" s="2"/>
      <c r="V64" s="19">
        <f t="shared" si="14"/>
        <v>7.5927290872820283E-3</v>
      </c>
      <c r="W64" s="2"/>
      <c r="X64" s="2">
        <f t="shared" si="15"/>
        <v>-115.82999999999993</v>
      </c>
      <c r="Y64" s="2"/>
      <c r="Z64" s="19">
        <f t="shared" si="16"/>
        <v>-3.0122173851987059E-2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>
        <v>526.74</v>
      </c>
      <c r="E65" s="2"/>
      <c r="F65" s="19">
        <f t="shared" si="9"/>
        <v>1.1918151797259736E-2</v>
      </c>
      <c r="G65" s="2"/>
      <c r="H65" s="2">
        <v>84.08</v>
      </c>
      <c r="I65" s="2"/>
      <c r="J65" s="19">
        <f t="shared" si="10"/>
        <v>1.7289610852150798E-3</v>
      </c>
      <c r="K65" s="2"/>
      <c r="L65" s="2">
        <f t="shared" si="11"/>
        <v>442.66</v>
      </c>
      <c r="M65" s="2"/>
      <c r="N65" s="19">
        <f t="shared" si="12"/>
        <v>5.2647478591817318</v>
      </c>
      <c r="O65" s="11"/>
      <c r="P65" s="2">
        <v>1771.55</v>
      </c>
      <c r="Q65" s="2"/>
      <c r="R65" s="19">
        <f t="shared" si="13"/>
        <v>3.4333874100006441E-3</v>
      </c>
      <c r="S65" s="2"/>
      <c r="T65" s="2">
        <v>1928.88</v>
      </c>
      <c r="U65" s="2"/>
      <c r="V65" s="19">
        <f t="shared" si="14"/>
        <v>3.8086263586253905E-3</v>
      </c>
      <c r="W65" s="2"/>
      <c r="X65" s="2">
        <f t="shared" si="15"/>
        <v>-157.33000000000015</v>
      </c>
      <c r="Y65" s="2"/>
      <c r="Z65" s="19">
        <f t="shared" si="16"/>
        <v>-8.1565468043631614E-2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>
        <v>105</v>
      </c>
      <c r="E66" s="2"/>
      <c r="F66" s="19">
        <f t="shared" si="9"/>
        <v>2.3757564238756734E-3</v>
      </c>
      <c r="G66" s="2"/>
      <c r="H66" s="2">
        <v>183</v>
      </c>
      <c r="I66" s="2"/>
      <c r="J66" s="19">
        <f t="shared" si="10"/>
        <v>3.7630813343763037E-3</v>
      </c>
      <c r="K66" s="2"/>
      <c r="L66" s="2">
        <f t="shared" si="11"/>
        <v>-78</v>
      </c>
      <c r="M66" s="2"/>
      <c r="N66" s="19">
        <f t="shared" si="12"/>
        <v>-0.42622950819672129</v>
      </c>
      <c r="O66" s="11"/>
      <c r="P66" s="2">
        <v>349.6</v>
      </c>
      <c r="Q66" s="2"/>
      <c r="R66" s="19">
        <f t="shared" si="13"/>
        <v>6.7754917362548351E-4</v>
      </c>
      <c r="S66" s="2"/>
      <c r="T66" s="2">
        <v>683</v>
      </c>
      <c r="U66" s="2"/>
      <c r="V66" s="19">
        <f t="shared" si="14"/>
        <v>1.3486021955441197E-3</v>
      </c>
      <c r="W66" s="2"/>
      <c r="X66" s="2">
        <f t="shared" si="15"/>
        <v>-333.4</v>
      </c>
      <c r="Y66" s="2"/>
      <c r="Z66" s="19">
        <f t="shared" si="16"/>
        <v>-0.48814055636896042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>
        <v>147.19999999999999</v>
      </c>
      <c r="E67" s="2"/>
      <c r="F67" s="19">
        <f t="shared" si="9"/>
        <v>3.3305842437571344E-3</v>
      </c>
      <c r="G67" s="2"/>
      <c r="H67" s="2">
        <v>95.15</v>
      </c>
      <c r="I67" s="2"/>
      <c r="J67" s="19">
        <f t="shared" si="10"/>
        <v>1.9565966610158763E-3</v>
      </c>
      <c r="K67" s="2"/>
      <c r="L67" s="2">
        <f t="shared" si="11"/>
        <v>52.049999999999983</v>
      </c>
      <c r="M67" s="2"/>
      <c r="N67" s="19">
        <f t="shared" si="12"/>
        <v>0.54703100367840229</v>
      </c>
      <c r="O67" s="11"/>
      <c r="P67" s="2">
        <v>339.4</v>
      </c>
      <c r="Q67" s="2"/>
      <c r="R67" s="19">
        <f t="shared" si="13"/>
        <v>6.5778086249567813E-4</v>
      </c>
      <c r="S67" s="2"/>
      <c r="T67" s="2">
        <v>518.04</v>
      </c>
      <c r="U67" s="2"/>
      <c r="V67" s="19">
        <f t="shared" si="14"/>
        <v>1.0228841601459381E-3</v>
      </c>
      <c r="W67" s="2"/>
      <c r="X67" s="2">
        <f t="shared" si="15"/>
        <v>-178.64</v>
      </c>
      <c r="Y67" s="2"/>
      <c r="Z67" s="19">
        <f t="shared" si="16"/>
        <v>-0.3448382364296193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>
        <v>151.26</v>
      </c>
      <c r="E68" s="2"/>
      <c r="F68" s="19">
        <f t="shared" si="9"/>
        <v>3.4224468254803269E-3</v>
      </c>
      <c r="G68" s="2"/>
      <c r="H68" s="2">
        <v>146.41999999999999</v>
      </c>
      <c r="I68" s="2"/>
      <c r="J68" s="19">
        <f t="shared" si="10"/>
        <v>3.0108763332206468E-3</v>
      </c>
      <c r="K68" s="2"/>
      <c r="L68" s="2">
        <f t="shared" si="11"/>
        <v>4.8400000000000034</v>
      </c>
      <c r="M68" s="2"/>
      <c r="N68" s="19">
        <f t="shared" si="12"/>
        <v>3.3055593498156018E-2</v>
      </c>
      <c r="O68" s="11"/>
      <c r="P68" s="2">
        <v>379.26</v>
      </c>
      <c r="Q68" s="2"/>
      <c r="R68" s="19">
        <f t="shared" si="13"/>
        <v>7.3503232147940738E-4</v>
      </c>
      <c r="S68" s="2"/>
      <c r="T68" s="2">
        <v>635.17999999999995</v>
      </c>
      <c r="U68" s="2"/>
      <c r="V68" s="19">
        <f t="shared" si="14"/>
        <v>1.2541802965823042E-3</v>
      </c>
      <c r="W68" s="2"/>
      <c r="X68" s="2">
        <f t="shared" si="15"/>
        <v>-255.91999999999996</v>
      </c>
      <c r="Y68" s="2"/>
      <c r="Z68" s="19">
        <f t="shared" si="16"/>
        <v>-0.40290941150539999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-18600</v>
      </c>
      <c r="E69" s="2"/>
      <c r="F69" s="19">
        <f t="shared" si="9"/>
        <v>-0.42084828080083359</v>
      </c>
      <c r="G69" s="2"/>
      <c r="H69" s="2">
        <v>-48828</v>
      </c>
      <c r="I69" s="2"/>
      <c r="J69" s="19">
        <f t="shared" si="10"/>
        <v>-1.0040641278411266</v>
      </c>
      <c r="K69" s="2"/>
      <c r="L69" s="2">
        <f t="shared" si="11"/>
        <v>30228</v>
      </c>
      <c r="M69" s="2"/>
      <c r="N69" s="19">
        <f t="shared" si="12"/>
        <v>-0.61907102482182352</v>
      </c>
      <c r="O69" s="11"/>
      <c r="P69" s="2">
        <v>-283520</v>
      </c>
      <c r="Q69" s="2"/>
      <c r="R69" s="19">
        <f t="shared" si="13"/>
        <v>-0.54948152661984284</v>
      </c>
      <c r="S69" s="2"/>
      <c r="T69" s="2">
        <v>-287313</v>
      </c>
      <c r="U69" s="2"/>
      <c r="V69" s="19">
        <f t="shared" si="14"/>
        <v>-0.5673073830283567</v>
      </c>
      <c r="W69" s="2"/>
      <c r="X69" s="2">
        <f t="shared" si="15"/>
        <v>3793</v>
      </c>
      <c r="Y69" s="2"/>
      <c r="Z69" s="19">
        <f t="shared" si="16"/>
        <v>-1.3201630277780678E-2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22182</v>
      </c>
      <c r="E70" s="2"/>
      <c r="F70" s="19">
        <f t="shared" si="9"/>
        <v>0.50189551423247802</v>
      </c>
      <c r="G70" s="2"/>
      <c r="H70" s="2">
        <v>25060</v>
      </c>
      <c r="I70" s="2"/>
      <c r="J70" s="19">
        <f t="shared" si="10"/>
        <v>0.51531594666377145</v>
      </c>
      <c r="K70" s="2"/>
      <c r="L70" s="2">
        <f t="shared" si="11"/>
        <v>-2878</v>
      </c>
      <c r="M70" s="2"/>
      <c r="N70" s="19">
        <f t="shared" si="12"/>
        <v>-0.11484437350359138</v>
      </c>
      <c r="O70" s="11"/>
      <c r="P70" s="2">
        <v>256510</v>
      </c>
      <c r="Q70" s="2"/>
      <c r="R70" s="19">
        <f t="shared" si="13"/>
        <v>0.49713426352023099</v>
      </c>
      <c r="S70" s="2"/>
      <c r="T70" s="2">
        <v>263457</v>
      </c>
      <c r="U70" s="2"/>
      <c r="V70" s="19">
        <f t="shared" si="14"/>
        <v>0.52020305802557409</v>
      </c>
      <c r="W70" s="2"/>
      <c r="X70" s="2">
        <f t="shared" si="15"/>
        <v>-6947</v>
      </c>
      <c r="Y70" s="2"/>
      <c r="Z70" s="19">
        <f t="shared" si="16"/>
        <v>-2.6368629415805995E-2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>
        <v>80</v>
      </c>
      <c r="E71" s="2"/>
      <c r="F71" s="19">
        <f t="shared" si="9"/>
        <v>1.8101001324767035E-3</v>
      </c>
      <c r="G71" s="2"/>
      <c r="H71" s="2"/>
      <c r="I71" s="2"/>
      <c r="J71" s="19">
        <f t="shared" si="10"/>
        <v>0</v>
      </c>
      <c r="K71" s="2"/>
      <c r="L71" s="2">
        <f t="shared" si="11"/>
        <v>80</v>
      </c>
      <c r="M71" s="2"/>
      <c r="N71" s="19">
        <f t="shared" si="12"/>
        <v>0</v>
      </c>
      <c r="O71" s="11"/>
      <c r="P71" s="2">
        <v>86</v>
      </c>
      <c r="Q71" s="2"/>
      <c r="R71" s="19">
        <f t="shared" si="13"/>
        <v>1.6667399580031915E-4</v>
      </c>
      <c r="S71" s="2"/>
      <c r="T71" s="2"/>
      <c r="U71" s="2"/>
      <c r="V71" s="19">
        <f t="shared" si="14"/>
        <v>0</v>
      </c>
      <c r="W71" s="2"/>
      <c r="X71" s="2">
        <f t="shared" si="15"/>
        <v>86</v>
      </c>
      <c r="Y71" s="2"/>
      <c r="Z71" s="19">
        <f t="shared" si="16"/>
        <v>0</v>
      </c>
    </row>
    <row r="72" spans="1:26" s="24" customFormat="1" hidden="1" outlineLevel="1" x14ac:dyDescent="0.25">
      <c r="A72" s="44"/>
      <c r="B72" s="11" t="str">
        <f>CONCATENATE("          ", "5525", " - ", "FREIGHT-IN-TEST FORMS")</f>
        <v xml:space="preserve">          5525 - FREIGHT-IN-TEST FORMS</v>
      </c>
      <c r="C72" s="11"/>
      <c r="D72" s="2">
        <v>247.49</v>
      </c>
      <c r="E72" s="2"/>
      <c r="F72" s="19">
        <f t="shared" si="9"/>
        <v>5.5997710223332419E-3</v>
      </c>
      <c r="G72" s="2"/>
      <c r="H72" s="2"/>
      <c r="I72" s="2"/>
      <c r="J72" s="19">
        <f t="shared" si="10"/>
        <v>0</v>
      </c>
      <c r="K72" s="2"/>
      <c r="L72" s="2">
        <f t="shared" si="11"/>
        <v>247.49</v>
      </c>
      <c r="M72" s="2"/>
      <c r="N72" s="19">
        <f t="shared" si="12"/>
        <v>0</v>
      </c>
      <c r="O72" s="11"/>
      <c r="P72" s="2">
        <v>622.41</v>
      </c>
      <c r="Q72" s="2"/>
      <c r="R72" s="19">
        <f t="shared" si="13"/>
        <v>1.2062739735590306E-3</v>
      </c>
      <c r="S72" s="2"/>
      <c r="T72" s="2">
        <v>50.92</v>
      </c>
      <c r="U72" s="2"/>
      <c r="V72" s="19">
        <f t="shared" si="14"/>
        <v>1.0054293381713993E-4</v>
      </c>
      <c r="W72" s="2"/>
      <c r="X72" s="2">
        <f t="shared" si="15"/>
        <v>571.49</v>
      </c>
      <c r="Y72" s="2"/>
      <c r="Z72" s="19">
        <f t="shared" si="16"/>
        <v>11.223291437549097</v>
      </c>
    </row>
    <row r="73" spans="1:26" s="24" customFormat="1" hidden="1" outlineLevel="1" x14ac:dyDescent="0.25">
      <c r="A73" s="44"/>
      <c r="B73" s="11" t="str">
        <f>CONCATENATE("          ", "5526", " - ", "FREIGHT-IN-WRITING INSTRUMENTS")</f>
        <v xml:space="preserve">          5526 - FREIGHT-IN-WRITING INSTRUMENTS</v>
      </c>
      <c r="C73" s="11"/>
      <c r="D73" s="2">
        <v>42.86</v>
      </c>
      <c r="E73" s="2"/>
      <c r="F73" s="19">
        <f t="shared" si="9"/>
        <v>9.697611459743939E-4</v>
      </c>
      <c r="G73" s="2"/>
      <c r="H73" s="2">
        <v>13.98</v>
      </c>
      <c r="I73" s="2"/>
      <c r="J73" s="19">
        <f t="shared" si="10"/>
        <v>2.8747473800317335E-4</v>
      </c>
      <c r="K73" s="2"/>
      <c r="L73" s="2">
        <f t="shared" si="11"/>
        <v>28.88</v>
      </c>
      <c r="M73" s="2"/>
      <c r="N73" s="19">
        <f t="shared" si="12"/>
        <v>2.0658082975679539</v>
      </c>
      <c r="O73" s="11"/>
      <c r="P73" s="2">
        <v>260.35000000000002</v>
      </c>
      <c r="Q73" s="2"/>
      <c r="R73" s="19">
        <f t="shared" si="13"/>
        <v>5.0457645123968718E-4</v>
      </c>
      <c r="S73" s="2"/>
      <c r="T73" s="2">
        <v>114.3</v>
      </c>
      <c r="U73" s="2"/>
      <c r="V73" s="19">
        <f t="shared" si="14"/>
        <v>2.2568847869793978E-4</v>
      </c>
      <c r="W73" s="2"/>
      <c r="X73" s="2">
        <f t="shared" si="15"/>
        <v>146.05000000000001</v>
      </c>
      <c r="Y73" s="2"/>
      <c r="Z73" s="19">
        <f t="shared" si="16"/>
        <v>1.2777777777777779</v>
      </c>
    </row>
    <row r="74" spans="1:26" s="24" customFormat="1" hidden="1" outlineLevel="1" x14ac:dyDescent="0.25">
      <c r="A74" s="44"/>
      <c r="B74" s="11" t="str">
        <f>CONCATENATE("          ", "5527", " - ", "FREIGHT-IN-SCHOOL SUPPLIES")</f>
        <v xml:space="preserve">          5527 - FREIGHT-IN-SCHOOL SUPPLIES</v>
      </c>
      <c r="C74" s="11"/>
      <c r="D74" s="2">
        <v>25.34</v>
      </c>
      <c r="E74" s="2"/>
      <c r="F74" s="19">
        <f t="shared" si="9"/>
        <v>5.733492169619958E-4</v>
      </c>
      <c r="G74" s="2"/>
      <c r="H74" s="2">
        <v>215.94</v>
      </c>
      <c r="I74" s="2"/>
      <c r="J74" s="19">
        <f t="shared" si="10"/>
        <v>4.4404359745640384E-3</v>
      </c>
      <c r="K74" s="2"/>
      <c r="L74" s="2">
        <f t="shared" si="11"/>
        <v>-190.6</v>
      </c>
      <c r="M74" s="2"/>
      <c r="N74" s="19">
        <f t="shared" si="12"/>
        <v>-0.88265258868204133</v>
      </c>
      <c r="O74" s="11"/>
      <c r="P74" s="2">
        <v>897.92</v>
      </c>
      <c r="Q74" s="2"/>
      <c r="R74" s="19">
        <f t="shared" si="13"/>
        <v>1.7402315617328205E-3</v>
      </c>
      <c r="S74" s="2"/>
      <c r="T74" s="2">
        <v>1225.6500000000001</v>
      </c>
      <c r="U74" s="2"/>
      <c r="V74" s="19">
        <f t="shared" si="14"/>
        <v>2.4200794743318454E-3</v>
      </c>
      <c r="W74" s="2"/>
      <c r="X74" s="2">
        <f t="shared" si="15"/>
        <v>-327.73000000000013</v>
      </c>
      <c r="Y74" s="2"/>
      <c r="Z74" s="19">
        <f t="shared" si="16"/>
        <v>-0.26739281197731823</v>
      </c>
    </row>
    <row r="75" spans="1:26" s="24" customFormat="1" hidden="1" outlineLevel="1" x14ac:dyDescent="0.25">
      <c r="A75" s="44"/>
      <c r="B75" s="11" t="str">
        <f>CONCATENATE("          ", "5528", " - ", "FREIGHT-IN-ART/TECH")</f>
        <v xml:space="preserve">          5528 - FREIGHT-IN-ART/TECH</v>
      </c>
      <c r="C75" s="11"/>
      <c r="D75" s="2">
        <v>187.14</v>
      </c>
      <c r="E75" s="2"/>
      <c r="F75" s="19">
        <f t="shared" si="9"/>
        <v>4.2342767348961287E-3</v>
      </c>
      <c r="G75" s="2"/>
      <c r="H75" s="2">
        <v>152.88</v>
      </c>
      <c r="I75" s="2"/>
      <c r="J75" s="19">
        <f t="shared" si="10"/>
        <v>3.1437151606527286E-3</v>
      </c>
      <c r="K75" s="2"/>
      <c r="L75" s="2">
        <f t="shared" si="11"/>
        <v>34.259999999999991</v>
      </c>
      <c r="M75" s="2"/>
      <c r="N75" s="19">
        <f t="shared" si="12"/>
        <v>0.22409733124018832</v>
      </c>
      <c r="O75" s="11"/>
      <c r="P75" s="2">
        <v>1110.6400000000001</v>
      </c>
      <c r="Q75" s="2"/>
      <c r="R75" s="19">
        <f t="shared" si="13"/>
        <v>2.1524977522751915E-3</v>
      </c>
      <c r="S75" s="2"/>
      <c r="T75" s="2">
        <v>4657.53</v>
      </c>
      <c r="U75" s="2"/>
      <c r="V75" s="19">
        <f t="shared" si="14"/>
        <v>9.1964204741033714E-3</v>
      </c>
      <c r="W75" s="2"/>
      <c r="X75" s="2">
        <f t="shared" si="15"/>
        <v>-3546.8899999999994</v>
      </c>
      <c r="Y75" s="2"/>
      <c r="Z75" s="19">
        <f t="shared" si="16"/>
        <v>-0.76153884140306116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6</v>
      </c>
      <c r="C77" s="29"/>
      <c r="D77" s="20">
        <f>D12-D52</f>
        <v>21933.569999999996</v>
      </c>
      <c r="E77" s="14"/>
      <c r="F77" s="21">
        <f>IF(D$12=0,0,D77/D$12)</f>
        <v>0.49627447453358803</v>
      </c>
      <c r="G77" s="14"/>
      <c r="H77" s="20">
        <f>H12-H52</f>
        <v>23567.749999999982</v>
      </c>
      <c r="I77" s="14"/>
      <c r="J77" s="21">
        <f>IF(H$12=0,0,H77/H$12)</f>
        <v>0.48463038315982004</v>
      </c>
      <c r="K77" s="15"/>
      <c r="L77" s="20">
        <f>+D77-H77</f>
        <v>-1634.1799999999857</v>
      </c>
      <c r="M77" s="15"/>
      <c r="N77" s="21">
        <f>IF(H77=0,0,L77/H77)</f>
        <v>-6.9339669675721569E-2</v>
      </c>
      <c r="O77" s="28"/>
      <c r="P77" s="20">
        <f>P12-P52</f>
        <v>259384.60000000012</v>
      </c>
      <c r="Q77" s="14"/>
      <c r="R77" s="21">
        <f>IF(P$12=0,0,P77/P$12)</f>
        <v>0.50270543873334284</v>
      </c>
      <c r="S77" s="14"/>
      <c r="T77" s="20">
        <f>T12-T52</f>
        <v>242989.89999999997</v>
      </c>
      <c r="U77" s="14"/>
      <c r="V77" s="21">
        <f>IF(T$12=0,0,T77/T$12)</f>
        <v>0.47979020883608497</v>
      </c>
      <c r="W77" s="15"/>
      <c r="X77" s="20">
        <f>+P77-T77</f>
        <v>16394.700000000157</v>
      </c>
      <c r="Y77" s="15"/>
      <c r="Z77" s="21">
        <f>IF(T77=0,0,X77/T77)</f>
        <v>6.7470705572536802E-2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9</v>
      </c>
      <c r="C79" s="10"/>
      <c r="D79" s="22">
        <f>SUM(OSRRefD22x_0)</f>
        <v>18784.78</v>
      </c>
      <c r="E79" s="22"/>
      <c r="F79" s="33">
        <f t="shared" ref="F79:F88" si="17">IF(D$12=0,0,D79/D$12)</f>
        <v>0.42502915958182164</v>
      </c>
      <c r="G79" s="22"/>
      <c r="H79" s="22">
        <f>SUM(OSRRefH22x_0)</f>
        <v>18204.529999999995</v>
      </c>
      <c r="I79" s="22"/>
      <c r="J79" s="33">
        <f t="shared" ref="J79:J88" si="18">IF(H$12=0,0,H79/H$12)</f>
        <v>0.37434495652510075</v>
      </c>
      <c r="K79" s="4"/>
      <c r="L79" s="22">
        <f t="shared" ref="L79:L88" si="19">+D79-H79</f>
        <v>580.25000000000364</v>
      </c>
      <c r="M79" s="4"/>
      <c r="N79" s="33">
        <f t="shared" ref="N79:N88" si="20">IF(H79=0,0,L79/H79)</f>
        <v>3.1873934674501551E-2</v>
      </c>
      <c r="O79" s="10"/>
      <c r="P79" s="22">
        <f>SUM(OSRRefP22x_0)</f>
        <v>130249.16000000002</v>
      </c>
      <c r="Q79" s="22"/>
      <c r="R79" s="33">
        <f t="shared" ref="R79:R88" si="21">IF(P$12=0,0,P79/P$12)</f>
        <v>0.25243195287017556</v>
      </c>
      <c r="S79" s="22"/>
      <c r="T79" s="22">
        <f>SUM(OSRRefT22x_0)</f>
        <v>118989.05</v>
      </c>
      <c r="U79" s="22"/>
      <c r="V79" s="33">
        <f t="shared" ref="V79:V88" si="22">IF(T$12=0,0,T79/T$12)</f>
        <v>0.23494713627483022</v>
      </c>
      <c r="W79" s="4"/>
      <c r="X79" s="22">
        <f t="shared" ref="X79:X88" si="23">+P79-T79</f>
        <v>11260.110000000015</v>
      </c>
      <c r="Y79" s="4"/>
      <c r="Z79" s="33">
        <f t="shared" ref="Z79:Z88" si="24">IF(T79=0,0,X79/T79)</f>
        <v>9.4631480795922096E-2</v>
      </c>
    </row>
    <row r="80" spans="1:26" s="27" customFormat="1" outlineLevel="1" collapsed="1" x14ac:dyDescent="0.25">
      <c r="A80" s="25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4145.38</v>
      </c>
      <c r="E80" s="1"/>
      <c r="F80" s="5">
        <f t="shared" si="17"/>
        <v>9.3794411089578464E-2</v>
      </c>
      <c r="G80" s="1"/>
      <c r="H80" s="1">
        <f>SUM(OSRRefH22_0x_0)</f>
        <v>3194.88</v>
      </c>
      <c r="I80" s="1"/>
      <c r="J80" s="5">
        <f t="shared" si="18"/>
        <v>6.569723111241621E-2</v>
      </c>
      <c r="K80" s="1"/>
      <c r="L80" s="1">
        <f t="shared" si="19"/>
        <v>950.5</v>
      </c>
      <c r="M80" s="1"/>
      <c r="N80" s="5">
        <f t="shared" si="20"/>
        <v>0.29750726161858976</v>
      </c>
      <c r="O80" s="13"/>
      <c r="P80" s="1">
        <f>SUM(OSRRefP22_0x_0)</f>
        <v>22243.99</v>
      </c>
      <c r="Q80" s="1"/>
      <c r="R80" s="5">
        <f t="shared" si="21"/>
        <v>4.3110403440027228E-2</v>
      </c>
      <c r="S80" s="1"/>
      <c r="T80" s="1">
        <f>SUM(OSRRefT22_0x_0)</f>
        <v>21459.930000000004</v>
      </c>
      <c r="U80" s="1"/>
      <c r="V80" s="5">
        <f t="shared" si="22"/>
        <v>4.2373219200912332E-2</v>
      </c>
      <c r="W80" s="1"/>
      <c r="X80" s="1">
        <f t="shared" si="23"/>
        <v>784.05999999999767</v>
      </c>
      <c r="Y80" s="1"/>
      <c r="Z80" s="5">
        <f t="shared" si="24"/>
        <v>3.653599988443567E-2</v>
      </c>
    </row>
    <row r="81" spans="1:26" s="24" customFormat="1" hidden="1" outlineLevel="2" x14ac:dyDescent="0.25">
      <c r="A81" s="26"/>
      <c r="B81" s="11" t="str">
        <f>CONCATENATE("          ", "6111", " - ", "F.I.C.A.")</f>
        <v xml:space="preserve">          6111 - F.I.C.A.</v>
      </c>
      <c r="C81" s="11"/>
      <c r="D81" s="6">
        <v>509.28</v>
      </c>
      <c r="E81" s="2"/>
      <c r="F81" s="7">
        <f t="shared" si="17"/>
        <v>1.1523097443346694E-2</v>
      </c>
      <c r="G81" s="2"/>
      <c r="H81" s="6">
        <v>435.38</v>
      </c>
      <c r="I81" s="2"/>
      <c r="J81" s="7">
        <f t="shared" si="18"/>
        <v>8.9528434500587718E-3</v>
      </c>
      <c r="K81" s="2"/>
      <c r="L81" s="6">
        <f t="shared" si="19"/>
        <v>73.899999999999977</v>
      </c>
      <c r="M81" s="2"/>
      <c r="N81" s="7">
        <f t="shared" si="20"/>
        <v>0.16973678166199638</v>
      </c>
      <c r="O81" s="11"/>
      <c r="P81" s="6">
        <v>3447.1</v>
      </c>
      <c r="Q81" s="2"/>
      <c r="R81" s="7">
        <f t="shared" si="21"/>
        <v>6.680720127014885E-3</v>
      </c>
      <c r="S81" s="2"/>
      <c r="T81" s="6">
        <v>4051.86</v>
      </c>
      <c r="U81" s="2"/>
      <c r="V81" s="7">
        <f t="shared" si="22"/>
        <v>8.0005084802890151E-3</v>
      </c>
      <c r="W81" s="2"/>
      <c r="X81" s="6">
        <f t="shared" si="23"/>
        <v>-604.76000000000022</v>
      </c>
      <c r="Y81" s="2"/>
      <c r="Z81" s="7">
        <f t="shared" si="24"/>
        <v>-0.14925491009067446</v>
      </c>
    </row>
    <row r="82" spans="1:26" s="24" customFormat="1" hidden="1" outlineLevel="2" x14ac:dyDescent="0.25">
      <c r="A82" s="26"/>
      <c r="B82" s="11" t="str">
        <f>CONCATENATE("          ", "6112", " - ", "COMPENSATION INSURANCE")</f>
        <v xml:space="preserve">          6112 - COMPENSATION INSURANCE</v>
      </c>
      <c r="C82" s="11"/>
      <c r="D82" s="6">
        <v>404.73</v>
      </c>
      <c r="E82" s="2"/>
      <c r="F82" s="7">
        <f t="shared" si="17"/>
        <v>9.1575228327162028E-3</v>
      </c>
      <c r="G82" s="2"/>
      <c r="H82" s="6">
        <v>193.52</v>
      </c>
      <c r="I82" s="2"/>
      <c r="J82" s="7">
        <f t="shared" si="18"/>
        <v>3.9794071028879906E-3</v>
      </c>
      <c r="K82" s="2"/>
      <c r="L82" s="6">
        <f t="shared" si="19"/>
        <v>211.21</v>
      </c>
      <c r="M82" s="2"/>
      <c r="N82" s="7">
        <f t="shared" si="20"/>
        <v>1.0914117403885903</v>
      </c>
      <c r="O82" s="11"/>
      <c r="P82" s="6">
        <v>1515.85</v>
      </c>
      <c r="Q82" s="2"/>
      <c r="R82" s="7">
        <f t="shared" si="21"/>
        <v>2.9378229829524856E-3</v>
      </c>
      <c r="S82" s="2"/>
      <c r="T82" s="6">
        <v>1069.08</v>
      </c>
      <c r="U82" s="2"/>
      <c r="V82" s="7">
        <f t="shared" si="22"/>
        <v>2.1109277235904938E-3</v>
      </c>
      <c r="W82" s="2"/>
      <c r="X82" s="6">
        <f t="shared" si="23"/>
        <v>446.77</v>
      </c>
      <c r="Y82" s="2"/>
      <c r="Z82" s="7">
        <f t="shared" si="24"/>
        <v>0.41790137314326337</v>
      </c>
    </row>
    <row r="83" spans="1:26" s="24" customFormat="1" hidden="1" outlineLevel="2" x14ac:dyDescent="0.25">
      <c r="A83" s="26"/>
      <c r="B83" s="11" t="str">
        <f>CONCATENATE("          ", "6113", " - ", "GROUP INSURANCE")</f>
        <v xml:space="preserve">          6113 - GROUP INSURANCE</v>
      </c>
      <c r="C83" s="11"/>
      <c r="D83" s="6">
        <v>2104.73</v>
      </c>
      <c r="E83" s="2"/>
      <c r="F83" s="7">
        <f t="shared" si="17"/>
        <v>4.7622150647846154E-2</v>
      </c>
      <c r="G83" s="2"/>
      <c r="H83" s="6">
        <v>1514.64</v>
      </c>
      <c r="I83" s="2"/>
      <c r="J83" s="7">
        <f t="shared" si="18"/>
        <v>3.1145975477047678E-2</v>
      </c>
      <c r="K83" s="2"/>
      <c r="L83" s="6">
        <f t="shared" si="19"/>
        <v>590.08999999999992</v>
      </c>
      <c r="M83" s="2"/>
      <c r="N83" s="7">
        <f t="shared" si="20"/>
        <v>0.38959092589658262</v>
      </c>
      <c r="O83" s="11"/>
      <c r="P83" s="6">
        <v>10080.24</v>
      </c>
      <c r="Q83" s="2"/>
      <c r="R83" s="7">
        <f t="shared" si="21"/>
        <v>1.9536207900304758E-2</v>
      </c>
      <c r="S83" s="2"/>
      <c r="T83" s="6">
        <v>8452.2999999999993</v>
      </c>
      <c r="U83" s="2"/>
      <c r="V83" s="7">
        <f t="shared" si="22"/>
        <v>1.66892977121487E-2</v>
      </c>
      <c r="W83" s="2"/>
      <c r="X83" s="6">
        <f t="shared" si="23"/>
        <v>1627.9400000000005</v>
      </c>
      <c r="Y83" s="2"/>
      <c r="Z83" s="7">
        <f t="shared" si="24"/>
        <v>0.19260319676301133</v>
      </c>
    </row>
    <row r="84" spans="1:26" s="24" customFormat="1" hidden="1" outlineLevel="2" x14ac:dyDescent="0.25">
      <c r="A84" s="26"/>
      <c r="B84" s="11" t="str">
        <f>CONCATENATE("          ", "6114", " - ", "STATE UNEMPLOYMENT INSURANCE")</f>
        <v xml:space="preserve">          6114 - STATE UNEMPLOYMENT INSURANCE</v>
      </c>
      <c r="C84" s="11"/>
      <c r="D84" s="6">
        <v>55.38</v>
      </c>
      <c r="E84" s="2"/>
      <c r="F84" s="7">
        <f t="shared" si="17"/>
        <v>1.2530418167069981E-3</v>
      </c>
      <c r="G84" s="2"/>
      <c r="H84" s="6">
        <v>42.28</v>
      </c>
      <c r="I84" s="2"/>
      <c r="J84" s="7">
        <f t="shared" si="18"/>
        <v>8.6941573124278758E-4</v>
      </c>
      <c r="K84" s="2"/>
      <c r="L84" s="6">
        <f t="shared" si="19"/>
        <v>13.100000000000001</v>
      </c>
      <c r="M84" s="2"/>
      <c r="N84" s="7">
        <f t="shared" si="20"/>
        <v>0.30983916745506151</v>
      </c>
      <c r="O84" s="11"/>
      <c r="P84" s="6">
        <v>249.4</v>
      </c>
      <c r="Q84" s="2"/>
      <c r="R84" s="7">
        <f t="shared" si="21"/>
        <v>4.8335458782092553E-4</v>
      </c>
      <c r="S84" s="2"/>
      <c r="T84" s="6">
        <v>233.59</v>
      </c>
      <c r="U84" s="2"/>
      <c r="V84" s="7">
        <f t="shared" si="22"/>
        <v>4.6122984898557966E-4</v>
      </c>
      <c r="W84" s="2"/>
      <c r="X84" s="6">
        <f t="shared" si="23"/>
        <v>15.810000000000002</v>
      </c>
      <c r="Y84" s="2"/>
      <c r="Z84" s="7">
        <f t="shared" si="24"/>
        <v>6.7682691896057204E-2</v>
      </c>
    </row>
    <row r="85" spans="1:26" s="24" customFormat="1" hidden="1" outlineLevel="2" x14ac:dyDescent="0.25">
      <c r="A85" s="26"/>
      <c r="B85" s="11" t="str">
        <f>CONCATENATE("          ", "6115", " - ", "P.E.R.S.")</f>
        <v xml:space="preserve">          6115 - P.E.R.S.</v>
      </c>
      <c r="C85" s="11"/>
      <c r="D85" s="6">
        <v>438.35</v>
      </c>
      <c r="E85" s="2"/>
      <c r="F85" s="7">
        <f t="shared" si="17"/>
        <v>9.9182174133895379E-3</v>
      </c>
      <c r="G85" s="2"/>
      <c r="H85" s="6">
        <v>362.26</v>
      </c>
      <c r="I85" s="2"/>
      <c r="J85" s="7">
        <f t="shared" si="18"/>
        <v>7.449255979186665E-3</v>
      </c>
      <c r="K85" s="2"/>
      <c r="L85" s="6">
        <f t="shared" si="19"/>
        <v>76.090000000000032</v>
      </c>
      <c r="M85" s="2"/>
      <c r="N85" s="7">
        <f t="shared" si="20"/>
        <v>0.21004251090377088</v>
      </c>
      <c r="O85" s="11"/>
      <c r="P85" s="6">
        <v>2270.64</v>
      </c>
      <c r="Q85" s="2"/>
      <c r="R85" s="7">
        <f t="shared" si="21"/>
        <v>4.4006586258608909E-3</v>
      </c>
      <c r="S85" s="2"/>
      <c r="T85" s="6">
        <v>2630.24</v>
      </c>
      <c r="U85" s="2"/>
      <c r="V85" s="7">
        <f t="shared" si="22"/>
        <v>5.1934808767320128E-3</v>
      </c>
      <c r="W85" s="2"/>
      <c r="X85" s="6">
        <f t="shared" si="23"/>
        <v>-359.59999999999991</v>
      </c>
      <c r="Y85" s="2"/>
      <c r="Z85" s="7">
        <f t="shared" si="24"/>
        <v>-0.13671756189549239</v>
      </c>
    </row>
    <row r="86" spans="1:26" s="24" customFormat="1" hidden="1" outlineLevel="2" x14ac:dyDescent="0.25">
      <c r="A86" s="26"/>
      <c r="B86" s="11" t="str">
        <f>CONCATENATE("          ", "6118", " - ", "VACATION")</f>
        <v xml:space="preserve">          6118 - VACATION</v>
      </c>
      <c r="C86" s="11"/>
      <c r="D86" s="6">
        <v>208.6</v>
      </c>
      <c r="E86" s="2"/>
      <c r="F86" s="7">
        <f t="shared" si="17"/>
        <v>4.7198360954330042E-3</v>
      </c>
      <c r="G86" s="2"/>
      <c r="H86" s="6">
        <v>252.59</v>
      </c>
      <c r="I86" s="2"/>
      <c r="J86" s="7">
        <f t="shared" si="18"/>
        <v>5.1940804057383095E-3</v>
      </c>
      <c r="K86" s="2"/>
      <c r="L86" s="6">
        <f t="shared" si="19"/>
        <v>-43.990000000000009</v>
      </c>
      <c r="M86" s="2"/>
      <c r="N86" s="7">
        <f t="shared" si="20"/>
        <v>-0.174155746466606</v>
      </c>
      <c r="O86" s="11"/>
      <c r="P86" s="6">
        <v>2247.1799999999998</v>
      </c>
      <c r="Q86" s="2"/>
      <c r="R86" s="7">
        <f t="shared" si="21"/>
        <v>4.3551915102623389E-3</v>
      </c>
      <c r="S86" s="2"/>
      <c r="T86" s="6">
        <v>2019.74</v>
      </c>
      <c r="U86" s="2"/>
      <c r="V86" s="7">
        <f t="shared" si="22"/>
        <v>3.9880319157075848E-3</v>
      </c>
      <c r="W86" s="2"/>
      <c r="X86" s="6">
        <f t="shared" si="23"/>
        <v>227.43999999999983</v>
      </c>
      <c r="Y86" s="2"/>
      <c r="Z86" s="7">
        <f t="shared" si="24"/>
        <v>0.11260855357620279</v>
      </c>
    </row>
    <row r="87" spans="1:26" s="24" customFormat="1" hidden="1" outlineLevel="2" x14ac:dyDescent="0.25">
      <c r="A87" s="26"/>
      <c r="B87" s="11" t="str">
        <f>CONCATENATE("          ", "6119", " - ", "SICK LEAVE")</f>
        <v xml:space="preserve">          6119 - SICK LEAVE</v>
      </c>
      <c r="C87" s="11"/>
      <c r="D87" s="6">
        <v>256.25</v>
      </c>
      <c r="E87" s="2"/>
      <c r="F87" s="7">
        <f t="shared" si="17"/>
        <v>5.7979769868394407E-3</v>
      </c>
      <c r="G87" s="2"/>
      <c r="H87" s="6">
        <v>244.21</v>
      </c>
      <c r="I87" s="2"/>
      <c r="J87" s="7">
        <f t="shared" si="18"/>
        <v>5.0217600692242471E-3</v>
      </c>
      <c r="K87" s="2"/>
      <c r="L87" s="6">
        <f t="shared" si="19"/>
        <v>12.039999999999992</v>
      </c>
      <c r="M87" s="2"/>
      <c r="N87" s="7">
        <f t="shared" si="20"/>
        <v>4.9301830391875807E-2</v>
      </c>
      <c r="O87" s="11"/>
      <c r="P87" s="6">
        <v>1481.52</v>
      </c>
      <c r="Q87" s="2"/>
      <c r="R87" s="7">
        <f t="shared" si="21"/>
        <v>2.8712890495126609E-3</v>
      </c>
      <c r="S87" s="2"/>
      <c r="T87" s="6">
        <v>2104.38</v>
      </c>
      <c r="U87" s="2"/>
      <c r="V87" s="7">
        <f t="shared" si="22"/>
        <v>4.1551559125316759E-3</v>
      </c>
      <c r="W87" s="2"/>
      <c r="X87" s="6">
        <f t="shared" si="23"/>
        <v>-622.86000000000013</v>
      </c>
      <c r="Y87" s="2"/>
      <c r="Z87" s="7">
        <f t="shared" si="24"/>
        <v>-0.2959826647278534</v>
      </c>
    </row>
    <row r="88" spans="1:26" s="24" customFormat="1" hidden="1" outlineLevel="2" x14ac:dyDescent="0.25">
      <c r="A88" s="26"/>
      <c r="B88" s="11" t="str">
        <f>CONCATENATE("          ", "6156", " - ", "EMPLOYEE MEALS")</f>
        <v xml:space="preserve">          6156 - EMPLOYEE MEALS</v>
      </c>
      <c r="C88" s="11"/>
      <c r="D88" s="6">
        <v>168.06</v>
      </c>
      <c r="E88" s="2"/>
      <c r="F88" s="7">
        <f t="shared" si="17"/>
        <v>3.8025678533004353E-3</v>
      </c>
      <c r="G88" s="2"/>
      <c r="H88" s="6">
        <v>150</v>
      </c>
      <c r="I88" s="2"/>
      <c r="J88" s="7">
        <f t="shared" si="18"/>
        <v>3.0844928970297572E-3</v>
      </c>
      <c r="K88" s="2"/>
      <c r="L88" s="6">
        <f t="shared" si="19"/>
        <v>18.060000000000002</v>
      </c>
      <c r="M88" s="2"/>
      <c r="N88" s="7">
        <f t="shared" si="20"/>
        <v>0.12040000000000002</v>
      </c>
      <c r="O88" s="11"/>
      <c r="P88" s="6">
        <v>952.06</v>
      </c>
      <c r="Q88" s="2"/>
      <c r="R88" s="7">
        <f t="shared" si="21"/>
        <v>1.8451586562982772E-3</v>
      </c>
      <c r="S88" s="2"/>
      <c r="T88" s="6">
        <v>898.74</v>
      </c>
      <c r="U88" s="2"/>
      <c r="V88" s="7">
        <f t="shared" si="22"/>
        <v>1.7745867309272652E-3</v>
      </c>
      <c r="W88" s="2"/>
      <c r="X88" s="6">
        <f t="shared" si="23"/>
        <v>53.319999999999936</v>
      </c>
      <c r="Y88" s="2"/>
      <c r="Z88" s="7">
        <f t="shared" si="24"/>
        <v>5.9327502948572378E-2</v>
      </c>
    </row>
    <row r="89" spans="1:26" s="27" customFormat="1" outlineLevel="1" collapsed="1" x14ac:dyDescent="0.25">
      <c r="A89" s="25"/>
      <c r="B89" s="13" t="str">
        <f>CONCATENATE("     ","*Payroll                                          ")</f>
        <v xml:space="preserve">     *Payroll                                          </v>
      </c>
      <c r="C89" s="13"/>
      <c r="D89" s="1">
        <f>SUM(OSRRefD22_1x_0)</f>
        <v>12863.720000000001</v>
      </c>
      <c r="E89" s="1"/>
      <c r="F89" s="5">
        <f t="shared" ref="F89:F94" si="25">IF(D$12=0,0,D89/D$12)</f>
        <v>0.29105776595179028</v>
      </c>
      <c r="G89" s="1"/>
      <c r="H89" s="1">
        <f>SUM(OSRRefH22_1x_0)</f>
        <v>11001.16</v>
      </c>
      <c r="I89" s="1"/>
      <c r="J89" s="5">
        <f t="shared" ref="J89:J94" si="26">IF(H$12=0,0,H89/H$12)</f>
        <v>0.22621999919391922</v>
      </c>
      <c r="K89" s="1"/>
      <c r="L89" s="1">
        <f t="shared" ref="L89:L94" si="27">+D89-H89</f>
        <v>1862.5600000000013</v>
      </c>
      <c r="M89" s="1"/>
      <c r="N89" s="5">
        <f t="shared" ref="N89:N94" si="28">IF(H89=0,0,L89/H89)</f>
        <v>0.16930578229932128</v>
      </c>
      <c r="O89" s="13"/>
      <c r="P89" s="1">
        <f>SUM(OSRRefP22_1x_0)</f>
        <v>89547.99</v>
      </c>
      <c r="Q89" s="1"/>
      <c r="R89" s="5">
        <f t="shared" ref="R89:R94" si="29">IF(P$12=0,0,P89/P$12)</f>
        <v>0.17355024778124445</v>
      </c>
      <c r="S89" s="1"/>
      <c r="T89" s="1">
        <f>SUM(OSRRefT22_1x_0)</f>
        <v>73650.63</v>
      </c>
      <c r="U89" s="1"/>
      <c r="V89" s="5">
        <f t="shared" ref="V89:V94" si="30">IF(T$12=0,0,T89/T$12)</f>
        <v>0.14542518495052359</v>
      </c>
      <c r="W89" s="1"/>
      <c r="X89" s="1">
        <f t="shared" ref="X89:X94" si="31">+P89-T89</f>
        <v>15897.36</v>
      </c>
      <c r="Y89" s="1"/>
      <c r="Z89" s="5">
        <f t="shared" ref="Z89:Z94" si="32">IF(T89=0,0,X89/T89)</f>
        <v>0.2158482554731711</v>
      </c>
    </row>
    <row r="90" spans="1:26" s="24" customFormat="1" hidden="1" outlineLevel="2" x14ac:dyDescent="0.25">
      <c r="A90" s="26"/>
      <c r="B90" s="11" t="str">
        <f>CONCATENATE("          ", "6002", " - ", "STAFF SALARIES")</f>
        <v xml:space="preserve">          6002 - STAFF SALARIES</v>
      </c>
      <c r="C90" s="11"/>
      <c r="D90" s="6">
        <v>5124.97</v>
      </c>
      <c r="E90" s="2"/>
      <c r="F90" s="7">
        <f t="shared" si="25"/>
        <v>0.11595886094923914</v>
      </c>
      <c r="G90" s="2"/>
      <c r="H90" s="6">
        <v>5046.92</v>
      </c>
      <c r="I90" s="2"/>
      <c r="J90" s="7">
        <f t="shared" si="26"/>
        <v>0.10378125927918282</v>
      </c>
      <c r="K90" s="2"/>
      <c r="L90" s="6">
        <f t="shared" si="27"/>
        <v>78.050000000000182</v>
      </c>
      <c r="M90" s="2"/>
      <c r="N90" s="7">
        <f t="shared" si="28"/>
        <v>1.5464877588707604E-2</v>
      </c>
      <c r="O90" s="11"/>
      <c r="P90" s="6">
        <v>30061.73</v>
      </c>
      <c r="Q90" s="2"/>
      <c r="R90" s="7">
        <f t="shared" si="29"/>
        <v>5.8261728601980561E-2</v>
      </c>
      <c r="S90" s="2"/>
      <c r="T90" s="6">
        <v>32302.560000000001</v>
      </c>
      <c r="U90" s="2"/>
      <c r="V90" s="7">
        <f t="shared" si="30"/>
        <v>6.3782288927812097E-2</v>
      </c>
      <c r="W90" s="2"/>
      <c r="X90" s="6">
        <f t="shared" si="31"/>
        <v>-2240.8300000000017</v>
      </c>
      <c r="Y90" s="2"/>
      <c r="Z90" s="7">
        <f t="shared" si="32"/>
        <v>-6.9370043736471709E-2</v>
      </c>
    </row>
    <row r="91" spans="1:26" s="24" customFormat="1" hidden="1" outlineLevel="2" x14ac:dyDescent="0.25">
      <c r="A91" s="26"/>
      <c r="B91" s="11" t="str">
        <f>CONCATENATE("          ", "6004", " - ", "STAFF HOURLY")</f>
        <v xml:space="preserve">          6004 - STAFF HOURLY</v>
      </c>
      <c r="C91" s="11"/>
      <c r="D91" s="6"/>
      <c r="E91" s="2"/>
      <c r="F91" s="7">
        <f t="shared" si="25"/>
        <v>0</v>
      </c>
      <c r="G91" s="2"/>
      <c r="H91" s="6"/>
      <c r="I91" s="2"/>
      <c r="J91" s="7">
        <f t="shared" si="26"/>
        <v>0</v>
      </c>
      <c r="K91" s="2"/>
      <c r="L91" s="6">
        <f t="shared" si="27"/>
        <v>0</v>
      </c>
      <c r="M91" s="2"/>
      <c r="N91" s="7">
        <f t="shared" si="28"/>
        <v>0</v>
      </c>
      <c r="O91" s="11"/>
      <c r="P91" s="6">
        <v>-48</v>
      </c>
      <c r="Q91" s="2"/>
      <c r="R91" s="7">
        <f t="shared" si="29"/>
        <v>-9.3027346493201388E-5</v>
      </c>
      <c r="S91" s="2"/>
      <c r="T91" s="6"/>
      <c r="U91" s="2"/>
      <c r="V91" s="7">
        <f t="shared" si="30"/>
        <v>0</v>
      </c>
      <c r="W91" s="2"/>
      <c r="X91" s="6">
        <f t="shared" si="31"/>
        <v>-48</v>
      </c>
      <c r="Y91" s="2"/>
      <c r="Z91" s="7">
        <f t="shared" si="32"/>
        <v>0</v>
      </c>
    </row>
    <row r="92" spans="1:26" s="24" customFormat="1" hidden="1" outlineLevel="2" x14ac:dyDescent="0.25">
      <c r="A92" s="26"/>
      <c r="B92" s="11" t="str">
        <f>CONCATENATE("          ", "6005", " - ", "TEMPORARY WAGES-HOURLY")</f>
        <v xml:space="preserve">          6005 - TEMPORARY WAGES-HOURLY</v>
      </c>
      <c r="C92" s="11"/>
      <c r="D92" s="6">
        <v>1094.76</v>
      </c>
      <c r="E92" s="2"/>
      <c r="F92" s="7">
        <f t="shared" si="25"/>
        <v>2.477031526287745E-2</v>
      </c>
      <c r="G92" s="2"/>
      <c r="H92" s="6"/>
      <c r="I92" s="2"/>
      <c r="J92" s="7">
        <f t="shared" si="26"/>
        <v>0</v>
      </c>
      <c r="K92" s="2"/>
      <c r="L92" s="6">
        <f t="shared" si="27"/>
        <v>1094.76</v>
      </c>
      <c r="M92" s="2"/>
      <c r="N92" s="7">
        <f t="shared" si="28"/>
        <v>0</v>
      </c>
      <c r="O92" s="11"/>
      <c r="P92" s="6">
        <v>2776.77</v>
      </c>
      <c r="Q92" s="2"/>
      <c r="R92" s="7">
        <f t="shared" si="29"/>
        <v>5.3815738525401415E-3</v>
      </c>
      <c r="S92" s="2"/>
      <c r="T92" s="6"/>
      <c r="U92" s="2"/>
      <c r="V92" s="7">
        <f t="shared" si="30"/>
        <v>0</v>
      </c>
      <c r="W92" s="2"/>
      <c r="X92" s="6">
        <f t="shared" si="31"/>
        <v>2776.77</v>
      </c>
      <c r="Y92" s="2"/>
      <c r="Z92" s="7">
        <f t="shared" si="32"/>
        <v>0</v>
      </c>
    </row>
    <row r="93" spans="1:26" s="24" customFormat="1" hidden="1" outlineLevel="2" x14ac:dyDescent="0.25">
      <c r="A93" s="26"/>
      <c r="B93" s="11" t="str">
        <f>CONCATENATE("          ", "6006", " - ", "TEMPORARY PART TIME")</f>
        <v xml:space="preserve">          6006 - TEMPORARY PART TIME</v>
      </c>
      <c r="C93" s="11"/>
      <c r="D93" s="6"/>
      <c r="E93" s="2"/>
      <c r="F93" s="7">
        <f t="shared" si="25"/>
        <v>0</v>
      </c>
      <c r="G93" s="2"/>
      <c r="H93" s="6">
        <v>442.75</v>
      </c>
      <c r="I93" s="2"/>
      <c r="J93" s="7">
        <f t="shared" si="26"/>
        <v>9.1043948677328335E-3</v>
      </c>
      <c r="K93" s="2"/>
      <c r="L93" s="6">
        <f t="shared" si="27"/>
        <v>-442.75</v>
      </c>
      <c r="M93" s="2"/>
      <c r="N93" s="7">
        <f t="shared" si="28"/>
        <v>-1</v>
      </c>
      <c r="O93" s="11"/>
      <c r="P93" s="6">
        <v>25.5</v>
      </c>
      <c r="Q93" s="2"/>
      <c r="R93" s="7">
        <f t="shared" si="29"/>
        <v>4.9420777824513238E-5</v>
      </c>
      <c r="S93" s="2"/>
      <c r="T93" s="6">
        <v>3936.25</v>
      </c>
      <c r="U93" s="2"/>
      <c r="V93" s="7">
        <f t="shared" si="30"/>
        <v>7.7722333707328567E-3</v>
      </c>
      <c r="W93" s="2"/>
      <c r="X93" s="6">
        <f t="shared" si="31"/>
        <v>-3910.75</v>
      </c>
      <c r="Y93" s="2"/>
      <c r="Z93" s="7">
        <f t="shared" si="32"/>
        <v>-0.99352175293744049</v>
      </c>
    </row>
    <row r="94" spans="1:26" s="24" customFormat="1" hidden="1" outlineLevel="2" x14ac:dyDescent="0.25">
      <c r="A94" s="26"/>
      <c r="B94" s="11" t="str">
        <f>CONCATENATE("          ", "6007", " - ", "STUDENT HOURLY")</f>
        <v xml:space="preserve">          6007 - STUDENT HOURLY</v>
      </c>
      <c r="C94" s="11"/>
      <c r="D94" s="6">
        <v>6643.99</v>
      </c>
      <c r="E94" s="2"/>
      <c r="F94" s="7">
        <f t="shared" si="25"/>
        <v>0.15032858973967367</v>
      </c>
      <c r="G94" s="2"/>
      <c r="H94" s="6">
        <v>5511.49</v>
      </c>
      <c r="I94" s="2"/>
      <c r="J94" s="7">
        <f t="shared" si="26"/>
        <v>0.11333434504700357</v>
      </c>
      <c r="K94" s="2"/>
      <c r="L94" s="6">
        <f t="shared" si="27"/>
        <v>1132.5</v>
      </c>
      <c r="M94" s="2"/>
      <c r="N94" s="7">
        <f t="shared" si="28"/>
        <v>0.20547982487494307</v>
      </c>
      <c r="O94" s="11"/>
      <c r="P94" s="6">
        <v>56731.990000000005</v>
      </c>
      <c r="Q94" s="2"/>
      <c r="R94" s="7">
        <f t="shared" si="29"/>
        <v>0.10995055189539243</v>
      </c>
      <c r="S94" s="2"/>
      <c r="T94" s="6">
        <v>37411.82</v>
      </c>
      <c r="U94" s="2"/>
      <c r="V94" s="7">
        <f t="shared" si="30"/>
        <v>7.3870662651978627E-2</v>
      </c>
      <c r="W94" s="2"/>
      <c r="X94" s="6">
        <f t="shared" si="31"/>
        <v>19320.170000000006</v>
      </c>
      <c r="Y94" s="2"/>
      <c r="Z94" s="7">
        <f t="shared" si="32"/>
        <v>0.5164188751041785</v>
      </c>
    </row>
    <row r="95" spans="1:26" s="27" customFormat="1" outlineLevel="1" collapsed="1" x14ac:dyDescent="0.25">
      <c r="A95" s="25"/>
      <c r="B95" s="13" t="str">
        <f>CONCATENATE("     ","Advertising/Promo                                 ")</f>
        <v xml:space="preserve">     Advertising/Promo                                 </v>
      </c>
      <c r="C95" s="13"/>
      <c r="D95" s="1">
        <f>SUM(OSRRefD22_2x_0)</f>
        <v>258.51</v>
      </c>
      <c r="E95" s="1"/>
      <c r="F95" s="5">
        <f t="shared" ref="F95:F101" si="33">IF(D$12=0,0,D95/D$12)</f>
        <v>5.8491123155819079E-3</v>
      </c>
      <c r="G95" s="1"/>
      <c r="H95" s="1">
        <f>SUM(OSRRefH22_2x_0)</f>
        <v>220.5</v>
      </c>
      <c r="I95" s="1"/>
      <c r="J95" s="5">
        <f t="shared" ref="J95:J101" si="34">IF(H$12=0,0,H95/H$12)</f>
        <v>4.5342045586337426E-3</v>
      </c>
      <c r="K95" s="1"/>
      <c r="L95" s="1">
        <f t="shared" ref="L95:L101" si="35">+D95-H95</f>
        <v>38.009999999999991</v>
      </c>
      <c r="M95" s="1"/>
      <c r="N95" s="5">
        <f t="shared" ref="N95:N101" si="36">IF(H95=0,0,L95/H95)</f>
        <v>0.17238095238095233</v>
      </c>
      <c r="O95" s="13"/>
      <c r="P95" s="1">
        <f>SUM(OSRRefP22_2x_0)</f>
        <v>2103.9899999999998</v>
      </c>
      <c r="Q95" s="1"/>
      <c r="R95" s="5">
        <f t="shared" ref="R95:R101" si="37">IF(P$12=0,0,P95/P$12)</f>
        <v>4.0776793072548074E-3</v>
      </c>
      <c r="S95" s="1"/>
      <c r="T95" s="1">
        <f>SUM(OSRRefT22_2x_0)</f>
        <v>1138.3599999999999</v>
      </c>
      <c r="U95" s="1"/>
      <c r="V95" s="5">
        <f t="shared" ref="V95:V101" si="38">IF(T$12=0,0,T95/T$12)</f>
        <v>2.2477229799701373E-3</v>
      </c>
      <c r="W95" s="1"/>
      <c r="X95" s="1">
        <f t="shared" ref="X95:X101" si="39">+P95-T95</f>
        <v>965.62999999999988</v>
      </c>
      <c r="Y95" s="1"/>
      <c r="Z95" s="5">
        <f t="shared" ref="Z95:Z101" si="40">IF(T95=0,0,X95/T95)</f>
        <v>0.84826416950701</v>
      </c>
    </row>
    <row r="96" spans="1:26" s="24" customFormat="1" hidden="1" outlineLevel="2" x14ac:dyDescent="0.25">
      <c r="A96" s="26"/>
      <c r="B96" s="11" t="str">
        <f>CONCATENATE("          ", "6362", " - ", "ADVERTISING EXPENSE")</f>
        <v xml:space="preserve">          6362 - ADVERTISING EXPENSE</v>
      </c>
      <c r="C96" s="11"/>
      <c r="D96" s="6">
        <v>258.51</v>
      </c>
      <c r="E96" s="2"/>
      <c r="F96" s="7">
        <f t="shared" si="33"/>
        <v>5.8491123155819079E-3</v>
      </c>
      <c r="G96" s="2"/>
      <c r="H96" s="6">
        <v>220.5</v>
      </c>
      <c r="I96" s="2"/>
      <c r="J96" s="7">
        <f t="shared" si="34"/>
        <v>4.5342045586337426E-3</v>
      </c>
      <c r="K96" s="2"/>
      <c r="L96" s="6">
        <f t="shared" si="35"/>
        <v>38.009999999999991</v>
      </c>
      <c r="M96" s="2"/>
      <c r="N96" s="7">
        <f t="shared" si="36"/>
        <v>0.17238095238095233</v>
      </c>
      <c r="O96" s="11"/>
      <c r="P96" s="6">
        <v>2103.9899999999998</v>
      </c>
      <c r="Q96" s="2"/>
      <c r="R96" s="7">
        <f t="shared" si="37"/>
        <v>4.0776793072548074E-3</v>
      </c>
      <c r="S96" s="2"/>
      <c r="T96" s="6">
        <v>1138.3599999999999</v>
      </c>
      <c r="U96" s="2"/>
      <c r="V96" s="7">
        <f t="shared" si="38"/>
        <v>2.2477229799701373E-3</v>
      </c>
      <c r="W96" s="2"/>
      <c r="X96" s="6">
        <f t="shared" si="39"/>
        <v>965.62999999999988</v>
      </c>
      <c r="Y96" s="2"/>
      <c r="Z96" s="7">
        <f t="shared" si="40"/>
        <v>0.84826416950701</v>
      </c>
    </row>
    <row r="97" spans="1:26" s="27" customFormat="1" outlineLevel="1" collapsed="1" x14ac:dyDescent="0.25">
      <c r="A97" s="25"/>
      <c r="B97" s="13" t="str">
        <f>CONCATENATE("     ","Bad Debts/Over/Short                              ")</f>
        <v xml:space="preserve">     Bad Debts/Over/Short                              </v>
      </c>
      <c r="C97" s="13"/>
      <c r="D97" s="1">
        <f>SUM(OSRRefD22_3x_0)</f>
        <v>0.23</v>
      </c>
      <c r="E97" s="1"/>
      <c r="F97" s="5">
        <f t="shared" si="33"/>
        <v>5.2040378808705227E-6</v>
      </c>
      <c r="G97" s="1"/>
      <c r="H97" s="1">
        <f>SUM(OSRRefH22_3x_0)</f>
        <v>-4.67</v>
      </c>
      <c r="I97" s="1"/>
      <c r="J97" s="5">
        <f t="shared" si="34"/>
        <v>-9.6030545527526432E-5</v>
      </c>
      <c r="K97" s="1"/>
      <c r="L97" s="1">
        <f t="shared" si="35"/>
        <v>4.9000000000000004</v>
      </c>
      <c r="M97" s="1"/>
      <c r="N97" s="5">
        <f t="shared" si="36"/>
        <v>-1.0492505353319059</v>
      </c>
      <c r="O97" s="13"/>
      <c r="P97" s="1">
        <f>SUM(OSRRefP22_3x_0)</f>
        <v>-46.98</v>
      </c>
      <c r="Q97" s="1"/>
      <c r="R97" s="5">
        <f t="shared" si="37"/>
        <v>-9.1050515380220845E-5</v>
      </c>
      <c r="S97" s="1"/>
      <c r="T97" s="1">
        <f>SUM(OSRRefT22_3x_0)</f>
        <v>9.7200000000000006</v>
      </c>
      <c r="U97" s="1"/>
      <c r="V97" s="5">
        <f t="shared" si="38"/>
        <v>1.9192406062501967E-5</v>
      </c>
      <c r="W97" s="1"/>
      <c r="X97" s="1">
        <f t="shared" si="39"/>
        <v>-56.699999999999996</v>
      </c>
      <c r="Y97" s="1"/>
      <c r="Z97" s="5">
        <f t="shared" si="40"/>
        <v>-5.8333333333333321</v>
      </c>
    </row>
    <row r="98" spans="1:26" s="24" customFormat="1" hidden="1" outlineLevel="2" x14ac:dyDescent="0.25">
      <c r="A98" s="26"/>
      <c r="B98" s="11" t="str">
        <f>CONCATENATE("          ", "6272", " - ", "CASH (OVER/SHORT)")</f>
        <v xml:space="preserve">          6272 - CASH (OVER/SHORT)</v>
      </c>
      <c r="C98" s="11"/>
      <c r="D98" s="6">
        <v>0.23</v>
      </c>
      <c r="E98" s="2"/>
      <c r="F98" s="7">
        <f t="shared" si="33"/>
        <v>5.2040378808705227E-6</v>
      </c>
      <c r="G98" s="2"/>
      <c r="H98" s="6">
        <v>-4.67</v>
      </c>
      <c r="I98" s="2"/>
      <c r="J98" s="7">
        <f t="shared" si="34"/>
        <v>-9.6030545527526432E-5</v>
      </c>
      <c r="K98" s="2"/>
      <c r="L98" s="6">
        <f t="shared" si="35"/>
        <v>4.9000000000000004</v>
      </c>
      <c r="M98" s="2"/>
      <c r="N98" s="7">
        <f t="shared" si="36"/>
        <v>-1.0492505353319059</v>
      </c>
      <c r="O98" s="11"/>
      <c r="P98" s="6">
        <v>-46.98</v>
      </c>
      <c r="Q98" s="2"/>
      <c r="R98" s="7">
        <f t="shared" si="37"/>
        <v>-9.1050515380220845E-5</v>
      </c>
      <c r="S98" s="2"/>
      <c r="T98" s="6">
        <v>9.7200000000000006</v>
      </c>
      <c r="U98" s="2"/>
      <c r="V98" s="7">
        <f t="shared" si="38"/>
        <v>1.9192406062501967E-5</v>
      </c>
      <c r="W98" s="2"/>
      <c r="X98" s="6">
        <f t="shared" si="39"/>
        <v>-56.699999999999996</v>
      </c>
      <c r="Y98" s="2"/>
      <c r="Z98" s="7">
        <f t="shared" si="40"/>
        <v>-5.8333333333333321</v>
      </c>
    </row>
    <row r="99" spans="1:26" s="27" customFormat="1" outlineLevel="1" collapsed="1" x14ac:dyDescent="0.25">
      <c r="A99" s="25"/>
      <c r="B99" s="13" t="str">
        <f>CONCATENATE("     ","Discounts and Markdowns                           ")</f>
        <v xml:space="preserve">     Discounts and Markdowns                           </v>
      </c>
      <c r="C99" s="13"/>
      <c r="D99" s="1">
        <f>SUM(OSRRefD22_4x_0)</f>
        <v>1149.53</v>
      </c>
      <c r="E99" s="1"/>
      <c r="F99" s="5">
        <f t="shared" si="33"/>
        <v>2.6009555066074313E-2</v>
      </c>
      <c r="G99" s="1"/>
      <c r="H99" s="1">
        <f>SUM(OSRRefH22_4x_0)</f>
        <v>2726.0699999999997</v>
      </c>
      <c r="I99" s="1"/>
      <c r="J99" s="5">
        <f t="shared" si="34"/>
        <v>5.6056957012039395E-2</v>
      </c>
      <c r="K99" s="1"/>
      <c r="L99" s="1">
        <f t="shared" si="35"/>
        <v>-1576.5399999999997</v>
      </c>
      <c r="M99" s="1"/>
      <c r="N99" s="5">
        <f t="shared" si="36"/>
        <v>-0.5783197056568613</v>
      </c>
      <c r="O99" s="13"/>
      <c r="P99" s="1">
        <f>SUM(OSRRefP22_4x_0)</f>
        <v>11374.71</v>
      </c>
      <c r="Q99" s="1"/>
      <c r="R99" s="5">
        <f t="shared" si="37"/>
        <v>2.2044981008951723E-2</v>
      </c>
      <c r="S99" s="1"/>
      <c r="T99" s="1">
        <f>SUM(OSRRefT22_4x_0)</f>
        <v>15411.380000000001</v>
      </c>
      <c r="U99" s="1"/>
      <c r="V99" s="5">
        <f t="shared" si="38"/>
        <v>3.0430191660856129E-2</v>
      </c>
      <c r="W99" s="1"/>
      <c r="X99" s="1">
        <f t="shared" si="39"/>
        <v>-4036.6700000000019</v>
      </c>
      <c r="Y99" s="1"/>
      <c r="Z99" s="5">
        <f t="shared" si="40"/>
        <v>-0.26192787407746754</v>
      </c>
    </row>
    <row r="100" spans="1:26" s="24" customFormat="1" hidden="1" outlineLevel="2" x14ac:dyDescent="0.25">
      <c r="A100" s="26"/>
      <c r="B100" s="11" t="str">
        <f>CONCATENATE("          ", "6382", " - ", "DISCOUNTS/MARK DOWNS")</f>
        <v xml:space="preserve">          6382 - DISCOUNTS/MARK DOWNS</v>
      </c>
      <c r="C100" s="11"/>
      <c r="D100" s="6">
        <v>1149.53</v>
      </c>
      <c r="E100" s="2"/>
      <c r="F100" s="7">
        <f t="shared" si="33"/>
        <v>2.6009555066074313E-2</v>
      </c>
      <c r="G100" s="2"/>
      <c r="H100" s="6">
        <v>2795.47</v>
      </c>
      <c r="I100" s="2"/>
      <c r="J100" s="7">
        <f t="shared" si="34"/>
        <v>5.7484049059065165E-2</v>
      </c>
      <c r="K100" s="2"/>
      <c r="L100" s="6">
        <f t="shared" si="35"/>
        <v>-1645.9399999999998</v>
      </c>
      <c r="M100" s="2"/>
      <c r="N100" s="7">
        <f t="shared" si="36"/>
        <v>-0.58878828962571583</v>
      </c>
      <c r="O100" s="11"/>
      <c r="P100" s="6">
        <v>11374.71</v>
      </c>
      <c r="Q100" s="2"/>
      <c r="R100" s="7">
        <f t="shared" si="37"/>
        <v>2.2044981008951723E-2</v>
      </c>
      <c r="S100" s="2"/>
      <c r="T100" s="6">
        <v>14914.830000000002</v>
      </c>
      <c r="U100" s="2"/>
      <c r="V100" s="7">
        <f t="shared" si="38"/>
        <v>2.9449740093949201E-2</v>
      </c>
      <c r="W100" s="2"/>
      <c r="X100" s="6">
        <f t="shared" si="39"/>
        <v>-3540.1200000000026</v>
      </c>
      <c r="Y100" s="2"/>
      <c r="Z100" s="7">
        <f t="shared" si="40"/>
        <v>-0.23735570569694742</v>
      </c>
    </row>
    <row r="101" spans="1:26" s="24" customFormat="1" hidden="1" outlineLevel="2" x14ac:dyDescent="0.25">
      <c r="A101" s="26"/>
      <c r="B101" s="11" t="str">
        <f>CONCATENATE("          ", "9175", " - ", "EARNED DISCOUNTS")</f>
        <v xml:space="preserve">          9175 - EARNED DISCOUNTS</v>
      </c>
      <c r="C101" s="11"/>
      <c r="D101" s="6"/>
      <c r="E101" s="2"/>
      <c r="F101" s="7">
        <f t="shared" si="33"/>
        <v>0</v>
      </c>
      <c r="G101" s="2"/>
      <c r="H101" s="6">
        <v>-69.400000000000006</v>
      </c>
      <c r="I101" s="2"/>
      <c r="J101" s="7">
        <f t="shared" si="34"/>
        <v>-1.4270920470257679E-3</v>
      </c>
      <c r="K101" s="2"/>
      <c r="L101" s="6">
        <f t="shared" si="35"/>
        <v>69.400000000000006</v>
      </c>
      <c r="M101" s="2"/>
      <c r="N101" s="7">
        <f t="shared" si="36"/>
        <v>-1</v>
      </c>
      <c r="O101" s="11"/>
      <c r="P101" s="6">
        <v>0</v>
      </c>
      <c r="Q101" s="2"/>
      <c r="R101" s="7">
        <f t="shared" si="37"/>
        <v>0</v>
      </c>
      <c r="S101" s="2"/>
      <c r="T101" s="6">
        <v>496.55</v>
      </c>
      <c r="U101" s="2"/>
      <c r="V101" s="7">
        <f t="shared" si="38"/>
        <v>9.8045156690692919E-4</v>
      </c>
      <c r="W101" s="2"/>
      <c r="X101" s="6">
        <f t="shared" si="39"/>
        <v>-496.55</v>
      </c>
      <c r="Y101" s="2"/>
      <c r="Z101" s="7">
        <f t="shared" si="40"/>
        <v>-1</v>
      </c>
    </row>
    <row r="102" spans="1:26" s="27" customFormat="1" outlineLevel="1" collapsed="1" x14ac:dyDescent="0.25">
      <c r="A102" s="25"/>
      <c r="B102" s="13" t="str">
        <f>CONCATENATE("     ","Employees' Appreciation                           ")</f>
        <v xml:space="preserve">     Employees' Appreciation                           </v>
      </c>
      <c r="C102" s="13"/>
      <c r="D102" s="1">
        <f>SUM(OSRRefD22_5x_0)</f>
        <v>0</v>
      </c>
      <c r="E102" s="1"/>
      <c r="F102" s="5">
        <f t="shared" ref="F102:F116" si="41">IF(D$12=0,0,D102/D$12)</f>
        <v>0</v>
      </c>
      <c r="G102" s="1"/>
      <c r="H102" s="1">
        <f>SUM(OSRRefH22_5x_0)</f>
        <v>0</v>
      </c>
      <c r="I102" s="1"/>
      <c r="J102" s="5">
        <f t="shared" ref="J102:J116" si="42">IF(H$12=0,0,H102/H$12)</f>
        <v>0</v>
      </c>
      <c r="K102" s="1"/>
      <c r="L102" s="1">
        <f t="shared" ref="L102:L116" si="43">+D102-H102</f>
        <v>0</v>
      </c>
      <c r="M102" s="1"/>
      <c r="N102" s="5">
        <f t="shared" ref="N102:N116" si="44">IF(H102=0,0,L102/H102)</f>
        <v>0</v>
      </c>
      <c r="O102" s="13"/>
      <c r="P102" s="1">
        <f>SUM(OSRRefP22_5x_0)</f>
        <v>0</v>
      </c>
      <c r="Q102" s="1"/>
      <c r="R102" s="5">
        <f t="shared" ref="R102:R116" si="45">IF(P$12=0,0,P102/P$12)</f>
        <v>0</v>
      </c>
      <c r="S102" s="1"/>
      <c r="T102" s="1">
        <f>SUM(OSRRefT22_5x_0)</f>
        <v>19.97</v>
      </c>
      <c r="U102" s="1"/>
      <c r="V102" s="5">
        <f t="shared" ref="V102:V116" si="46">IF(T$12=0,0,T102/T$12)</f>
        <v>3.9431311632527186E-5</v>
      </c>
      <c r="W102" s="1"/>
      <c r="X102" s="1">
        <f t="shared" ref="X102:X116" si="47">+P102-T102</f>
        <v>-19.97</v>
      </c>
      <c r="Y102" s="1"/>
      <c r="Z102" s="5">
        <f t="shared" ref="Z102:Z116" si="48">IF(T102=0,0,X102/T102)</f>
        <v>-1</v>
      </c>
    </row>
    <row r="103" spans="1:26" s="24" customFormat="1" hidden="1" outlineLevel="2" x14ac:dyDescent="0.25">
      <c r="A103" s="26"/>
      <c r="B103" s="11" t="str">
        <f>CONCATENATE("          ", "6277", " - ", "EMPLOYEE APPRECIATION")</f>
        <v xml:space="preserve">          6277 - EMPLOYEE APPRECIATION</v>
      </c>
      <c r="C103" s="11"/>
      <c r="D103" s="6"/>
      <c r="E103" s="2"/>
      <c r="F103" s="7">
        <f t="shared" si="41"/>
        <v>0</v>
      </c>
      <c r="G103" s="2"/>
      <c r="H103" s="6"/>
      <c r="I103" s="2"/>
      <c r="J103" s="7">
        <f t="shared" si="42"/>
        <v>0</v>
      </c>
      <c r="K103" s="2"/>
      <c r="L103" s="6">
        <f t="shared" si="43"/>
        <v>0</v>
      </c>
      <c r="M103" s="2"/>
      <c r="N103" s="7">
        <f t="shared" si="44"/>
        <v>0</v>
      </c>
      <c r="O103" s="11"/>
      <c r="P103" s="6"/>
      <c r="Q103" s="2"/>
      <c r="R103" s="7">
        <f t="shared" si="45"/>
        <v>0</v>
      </c>
      <c r="S103" s="2"/>
      <c r="T103" s="6">
        <v>19.97</v>
      </c>
      <c r="U103" s="2"/>
      <c r="V103" s="7">
        <f t="shared" si="46"/>
        <v>3.9431311632527186E-5</v>
      </c>
      <c r="W103" s="2"/>
      <c r="X103" s="6">
        <f t="shared" si="47"/>
        <v>-19.97</v>
      </c>
      <c r="Y103" s="2"/>
      <c r="Z103" s="7">
        <f t="shared" si="48"/>
        <v>-1</v>
      </c>
    </row>
    <row r="104" spans="1:26" s="27" customFormat="1" outlineLevel="1" collapsed="1" x14ac:dyDescent="0.25">
      <c r="A104" s="25"/>
      <c r="B104" s="13" t="str">
        <f>CONCATENATE("     ","Freight out/Postage                               ")</f>
        <v xml:space="preserve">     Freight out/Postage                               </v>
      </c>
      <c r="C104" s="13"/>
      <c r="D104" s="1">
        <f>SUM(OSRRefD22_6x_0)</f>
        <v>0</v>
      </c>
      <c r="E104" s="1"/>
      <c r="F104" s="5">
        <f t="shared" si="41"/>
        <v>0</v>
      </c>
      <c r="G104" s="1"/>
      <c r="H104" s="1">
        <f>SUM(OSRRefH22_6x_0)</f>
        <v>0</v>
      </c>
      <c r="I104" s="1"/>
      <c r="J104" s="5">
        <f t="shared" si="42"/>
        <v>0</v>
      </c>
      <c r="K104" s="1"/>
      <c r="L104" s="1">
        <f t="shared" si="43"/>
        <v>0</v>
      </c>
      <c r="M104" s="1"/>
      <c r="N104" s="5">
        <f t="shared" si="44"/>
        <v>0</v>
      </c>
      <c r="O104" s="13"/>
      <c r="P104" s="1">
        <f>SUM(OSRRefP22_6x_0)</f>
        <v>15.81</v>
      </c>
      <c r="Q104" s="1"/>
      <c r="R104" s="5">
        <f t="shared" si="45"/>
        <v>3.0640882251198209E-5</v>
      </c>
      <c r="S104" s="1"/>
      <c r="T104" s="1">
        <f>SUM(OSRRefT22_6x_0)</f>
        <v>5.0999999999999996</v>
      </c>
      <c r="U104" s="1"/>
      <c r="V104" s="5">
        <f t="shared" si="46"/>
        <v>1.0070089600695475E-5</v>
      </c>
      <c r="W104" s="1"/>
      <c r="X104" s="1">
        <f t="shared" si="47"/>
        <v>10.71</v>
      </c>
      <c r="Y104" s="1"/>
      <c r="Z104" s="5">
        <f t="shared" si="48"/>
        <v>2.1000000000000005</v>
      </c>
    </row>
    <row r="105" spans="1:26" s="24" customFormat="1" hidden="1" outlineLevel="2" x14ac:dyDescent="0.25">
      <c r="A105" s="26"/>
      <c r="B105" s="11" t="str">
        <f>CONCATENATE("          ", "6305", " - ", "FREIGHT OUT")</f>
        <v xml:space="preserve">          6305 - FREIGHT OUT</v>
      </c>
      <c r="C105" s="11"/>
      <c r="D105" s="6"/>
      <c r="E105" s="2"/>
      <c r="F105" s="7">
        <f t="shared" si="41"/>
        <v>0</v>
      </c>
      <c r="G105" s="2"/>
      <c r="H105" s="6"/>
      <c r="I105" s="2"/>
      <c r="J105" s="7">
        <f t="shared" si="42"/>
        <v>0</v>
      </c>
      <c r="K105" s="2"/>
      <c r="L105" s="6">
        <f t="shared" si="43"/>
        <v>0</v>
      </c>
      <c r="M105" s="2"/>
      <c r="N105" s="7">
        <f t="shared" si="44"/>
        <v>0</v>
      </c>
      <c r="O105" s="11"/>
      <c r="P105" s="6">
        <v>15.81</v>
      </c>
      <c r="Q105" s="2"/>
      <c r="R105" s="7">
        <f t="shared" si="45"/>
        <v>3.0640882251198209E-5</v>
      </c>
      <c r="S105" s="2"/>
      <c r="T105" s="6">
        <v>5.0999999999999996</v>
      </c>
      <c r="U105" s="2"/>
      <c r="V105" s="7">
        <f t="shared" si="46"/>
        <v>1.0070089600695475E-5</v>
      </c>
      <c r="W105" s="2"/>
      <c r="X105" s="6">
        <f t="shared" si="47"/>
        <v>10.71</v>
      </c>
      <c r="Y105" s="2"/>
      <c r="Z105" s="7">
        <f t="shared" si="48"/>
        <v>2.1000000000000005</v>
      </c>
    </row>
    <row r="106" spans="1:26" s="27" customFormat="1" outlineLevel="1" collapsed="1" x14ac:dyDescent="0.25">
      <c r="A106" s="25"/>
      <c r="B106" s="13" t="str">
        <f>CONCATENATE("     ","General                                           ")</f>
        <v xml:space="preserve">     General                                           </v>
      </c>
      <c r="C106" s="13"/>
      <c r="D106" s="1">
        <f>SUM(OSRRefD22_7x_0)</f>
        <v>160</v>
      </c>
      <c r="E106" s="1"/>
      <c r="F106" s="5">
        <f t="shared" si="41"/>
        <v>3.6202002649534069E-3</v>
      </c>
      <c r="G106" s="1"/>
      <c r="H106" s="1">
        <f>SUM(OSRRefH22_7x_0)</f>
        <v>160</v>
      </c>
      <c r="I106" s="1"/>
      <c r="J106" s="5">
        <f t="shared" si="42"/>
        <v>3.290125756831741E-3</v>
      </c>
      <c r="K106" s="1"/>
      <c r="L106" s="1">
        <f t="shared" si="43"/>
        <v>0</v>
      </c>
      <c r="M106" s="1"/>
      <c r="N106" s="5">
        <f t="shared" si="44"/>
        <v>0</v>
      </c>
      <c r="O106" s="13"/>
      <c r="P106" s="1">
        <f>SUM(OSRRefP22_7x_0)</f>
        <v>954.05</v>
      </c>
      <c r="Q106" s="1"/>
      <c r="R106" s="5">
        <f t="shared" si="45"/>
        <v>1.8490154150383078E-3</v>
      </c>
      <c r="S106" s="1"/>
      <c r="T106" s="1">
        <f>SUM(OSRRefT22_7x_0)</f>
        <v>829.2</v>
      </c>
      <c r="U106" s="1"/>
      <c r="V106" s="5">
        <f t="shared" si="46"/>
        <v>1.6372780974307233E-3</v>
      </c>
      <c r="W106" s="1"/>
      <c r="X106" s="1">
        <f t="shared" si="47"/>
        <v>124.84999999999991</v>
      </c>
      <c r="Y106" s="1"/>
      <c r="Z106" s="5">
        <f t="shared" si="48"/>
        <v>0.15056681138446684</v>
      </c>
    </row>
    <row r="107" spans="1:26" s="24" customFormat="1" hidden="1" outlineLevel="2" x14ac:dyDescent="0.25">
      <c r="A107" s="26"/>
      <c r="B107" s="11" t="str">
        <f>CONCATENATE("          ", "6279", " - ", "GENERAL EXPENSE")</f>
        <v xml:space="preserve">          6279 - GENERAL EXPENSE</v>
      </c>
      <c r="C107" s="11"/>
      <c r="D107" s="6">
        <v>160</v>
      </c>
      <c r="E107" s="2"/>
      <c r="F107" s="7">
        <f t="shared" si="41"/>
        <v>3.6202002649534069E-3</v>
      </c>
      <c r="G107" s="2"/>
      <c r="H107" s="6">
        <v>160</v>
      </c>
      <c r="I107" s="2"/>
      <c r="J107" s="7">
        <f t="shared" si="42"/>
        <v>3.290125756831741E-3</v>
      </c>
      <c r="K107" s="2"/>
      <c r="L107" s="6">
        <f t="shared" si="43"/>
        <v>0</v>
      </c>
      <c r="M107" s="2"/>
      <c r="N107" s="7">
        <f t="shared" si="44"/>
        <v>0</v>
      </c>
      <c r="O107" s="11"/>
      <c r="P107" s="6">
        <v>954.05</v>
      </c>
      <c r="Q107" s="2"/>
      <c r="R107" s="7">
        <f t="shared" si="45"/>
        <v>1.8490154150383078E-3</v>
      </c>
      <c r="S107" s="2"/>
      <c r="T107" s="6">
        <v>829.2</v>
      </c>
      <c r="U107" s="2"/>
      <c r="V107" s="7">
        <f t="shared" si="46"/>
        <v>1.6372780974307233E-3</v>
      </c>
      <c r="W107" s="2"/>
      <c r="X107" s="6">
        <f t="shared" si="47"/>
        <v>124.84999999999991</v>
      </c>
      <c r="Y107" s="2"/>
      <c r="Z107" s="7">
        <f t="shared" si="48"/>
        <v>0.15056681138446684</v>
      </c>
    </row>
    <row r="108" spans="1:26" s="27" customFormat="1" outlineLevel="1" collapsed="1" x14ac:dyDescent="0.25">
      <c r="A108" s="25"/>
      <c r="B108" s="13" t="str">
        <f>CONCATENATE("     ","Inventory Adjustment                              ")</f>
        <v xml:space="preserve">     Inventory Adjustment                              </v>
      </c>
      <c r="C108" s="13"/>
      <c r="D108" s="1">
        <f>SUM(OSRRefD22_8x_0)</f>
        <v>0</v>
      </c>
      <c r="E108" s="1"/>
      <c r="F108" s="5">
        <f t="shared" si="41"/>
        <v>0</v>
      </c>
      <c r="G108" s="1"/>
      <c r="H108" s="1">
        <f>SUM(OSRRefH22_8x_0)</f>
        <v>400</v>
      </c>
      <c r="I108" s="1"/>
      <c r="J108" s="5">
        <f t="shared" si="42"/>
        <v>8.2253143920793526E-3</v>
      </c>
      <c r="K108" s="1"/>
      <c r="L108" s="1">
        <f t="shared" si="43"/>
        <v>-400</v>
      </c>
      <c r="M108" s="1"/>
      <c r="N108" s="5">
        <f t="shared" si="44"/>
        <v>-1</v>
      </c>
      <c r="O108" s="13"/>
      <c r="P108" s="1">
        <f>SUM(OSRRefP22_8x_0)</f>
        <v>0</v>
      </c>
      <c r="Q108" s="1"/>
      <c r="R108" s="5">
        <f t="shared" si="45"/>
        <v>0</v>
      </c>
      <c r="S108" s="1"/>
      <c r="T108" s="1">
        <f>SUM(OSRRefT22_8x_0)</f>
        <v>2400</v>
      </c>
      <c r="U108" s="1"/>
      <c r="V108" s="5">
        <f t="shared" si="46"/>
        <v>4.7388656944449296E-3</v>
      </c>
      <c r="W108" s="1"/>
      <c r="X108" s="1">
        <f t="shared" si="47"/>
        <v>-2400</v>
      </c>
      <c r="Y108" s="1"/>
      <c r="Z108" s="5">
        <f t="shared" si="48"/>
        <v>-1</v>
      </c>
    </row>
    <row r="109" spans="1:26" s="24" customFormat="1" hidden="1" outlineLevel="2" x14ac:dyDescent="0.25">
      <c r="A109" s="26"/>
      <c r="B109" s="11" t="str">
        <f>CONCATENATE("          ", "6408", " - ", "INVENTORY ADJUSTMENT")</f>
        <v xml:space="preserve">          6408 - INVENTORY ADJUSTMENT</v>
      </c>
      <c r="C109" s="11"/>
      <c r="D109" s="6"/>
      <c r="E109" s="2"/>
      <c r="F109" s="7">
        <f t="shared" si="41"/>
        <v>0</v>
      </c>
      <c r="G109" s="2"/>
      <c r="H109" s="6">
        <v>400</v>
      </c>
      <c r="I109" s="2"/>
      <c r="J109" s="7">
        <f t="shared" si="42"/>
        <v>8.2253143920793526E-3</v>
      </c>
      <c r="K109" s="2"/>
      <c r="L109" s="6">
        <f t="shared" si="43"/>
        <v>-400</v>
      </c>
      <c r="M109" s="2"/>
      <c r="N109" s="7">
        <f t="shared" si="44"/>
        <v>-1</v>
      </c>
      <c r="O109" s="11"/>
      <c r="P109" s="6"/>
      <c r="Q109" s="2"/>
      <c r="R109" s="7">
        <f t="shared" si="45"/>
        <v>0</v>
      </c>
      <c r="S109" s="2"/>
      <c r="T109" s="6">
        <v>2400</v>
      </c>
      <c r="U109" s="2"/>
      <c r="V109" s="7">
        <f t="shared" si="46"/>
        <v>4.7388656944449296E-3</v>
      </c>
      <c r="W109" s="2"/>
      <c r="X109" s="6">
        <f t="shared" si="47"/>
        <v>-2400</v>
      </c>
      <c r="Y109" s="2"/>
      <c r="Z109" s="7">
        <f t="shared" si="48"/>
        <v>-1</v>
      </c>
    </row>
    <row r="110" spans="1:26" s="27" customFormat="1" outlineLevel="1" collapsed="1" x14ac:dyDescent="0.25">
      <c r="A110" s="25"/>
      <c r="B110" s="13" t="str">
        <f>CONCATENATE("     ","Professional Services                             ")</f>
        <v xml:space="preserve">     Professional Services                             </v>
      </c>
      <c r="C110" s="13"/>
      <c r="D110" s="1">
        <f>SUM(OSRRefD22_9x_0)</f>
        <v>41.15</v>
      </c>
      <c r="E110" s="1"/>
      <c r="F110" s="5">
        <f t="shared" si="41"/>
        <v>9.3107025564270437E-4</v>
      </c>
      <c r="G110" s="1"/>
      <c r="H110" s="1">
        <f>SUM(OSRRefH22_9x_0)</f>
        <v>0</v>
      </c>
      <c r="I110" s="1"/>
      <c r="J110" s="5">
        <f t="shared" si="42"/>
        <v>0</v>
      </c>
      <c r="K110" s="1"/>
      <c r="L110" s="1">
        <f t="shared" si="43"/>
        <v>41.15</v>
      </c>
      <c r="M110" s="1"/>
      <c r="N110" s="5">
        <f t="shared" si="44"/>
        <v>0</v>
      </c>
      <c r="O110" s="13"/>
      <c r="P110" s="1">
        <f>SUM(OSRRefP22_9x_0)</f>
        <v>791.15</v>
      </c>
      <c r="Q110" s="1"/>
      <c r="R110" s="5">
        <f t="shared" si="45"/>
        <v>1.5333038578770057E-3</v>
      </c>
      <c r="S110" s="1"/>
      <c r="T110" s="1">
        <f>SUM(OSRRefT22_9x_0)</f>
        <v>750</v>
      </c>
      <c r="U110" s="1"/>
      <c r="V110" s="5">
        <f t="shared" si="46"/>
        <v>1.4808955295140406E-3</v>
      </c>
      <c r="W110" s="1"/>
      <c r="X110" s="1">
        <f t="shared" si="47"/>
        <v>41.149999999999977</v>
      </c>
      <c r="Y110" s="1"/>
      <c r="Z110" s="5">
        <f t="shared" si="48"/>
        <v>5.4866666666666633E-2</v>
      </c>
    </row>
    <row r="111" spans="1:26" s="24" customFormat="1" hidden="1" outlineLevel="2" x14ac:dyDescent="0.25">
      <c r="A111" s="26"/>
      <c r="B111" s="11" t="str">
        <f>CONCATENATE("          ", "6336", " - ", "PROFESSIONAL SERVICES")</f>
        <v xml:space="preserve">          6336 - PROFESSIONAL SERVICES</v>
      </c>
      <c r="C111" s="11"/>
      <c r="D111" s="6">
        <v>41.15</v>
      </c>
      <c r="E111" s="2"/>
      <c r="F111" s="7">
        <f t="shared" si="41"/>
        <v>9.3107025564270437E-4</v>
      </c>
      <c r="G111" s="2"/>
      <c r="H111" s="6"/>
      <c r="I111" s="2"/>
      <c r="J111" s="7">
        <f t="shared" si="42"/>
        <v>0</v>
      </c>
      <c r="K111" s="2"/>
      <c r="L111" s="6">
        <f t="shared" si="43"/>
        <v>41.15</v>
      </c>
      <c r="M111" s="2"/>
      <c r="N111" s="7">
        <f t="shared" si="44"/>
        <v>0</v>
      </c>
      <c r="O111" s="11"/>
      <c r="P111" s="6">
        <v>791.15</v>
      </c>
      <c r="Q111" s="2"/>
      <c r="R111" s="7">
        <f t="shared" si="45"/>
        <v>1.5333038578770057E-3</v>
      </c>
      <c r="S111" s="2"/>
      <c r="T111" s="6">
        <v>750</v>
      </c>
      <c r="U111" s="2"/>
      <c r="V111" s="7">
        <f t="shared" si="46"/>
        <v>1.4808955295140406E-3</v>
      </c>
      <c r="W111" s="2"/>
      <c r="X111" s="6">
        <f t="shared" si="47"/>
        <v>41.149999999999977</v>
      </c>
      <c r="Y111" s="2"/>
      <c r="Z111" s="7">
        <f t="shared" si="48"/>
        <v>5.4866666666666633E-2</v>
      </c>
    </row>
    <row r="112" spans="1:26" s="27" customFormat="1" outlineLevel="1" collapsed="1" x14ac:dyDescent="0.25">
      <c r="A112" s="25"/>
      <c r="B112" s="13" t="str">
        <f>CONCATENATE("     ","Rent                                              ")</f>
        <v xml:space="preserve">     Rent                                              </v>
      </c>
      <c r="C112" s="13"/>
      <c r="D112" s="1">
        <f>SUM(OSRRefD22_10x_0)</f>
        <v>0</v>
      </c>
      <c r="E112" s="1"/>
      <c r="F112" s="5">
        <f t="shared" si="41"/>
        <v>0</v>
      </c>
      <c r="G112" s="1"/>
      <c r="H112" s="1">
        <f>SUM(OSRRefH22_10x_0)</f>
        <v>0</v>
      </c>
      <c r="I112" s="1"/>
      <c r="J112" s="5">
        <f t="shared" si="42"/>
        <v>0</v>
      </c>
      <c r="K112" s="1"/>
      <c r="L112" s="1">
        <f t="shared" si="43"/>
        <v>0</v>
      </c>
      <c r="M112" s="1"/>
      <c r="N112" s="5">
        <f t="shared" si="44"/>
        <v>0</v>
      </c>
      <c r="O112" s="13"/>
      <c r="P112" s="1">
        <f>SUM(OSRRefP22_10x_0)</f>
        <v>0</v>
      </c>
      <c r="Q112" s="1"/>
      <c r="R112" s="5">
        <f t="shared" si="45"/>
        <v>0</v>
      </c>
      <c r="S112" s="1"/>
      <c r="T112" s="1">
        <f>SUM(OSRRefT22_10x_0)</f>
        <v>-0.23</v>
      </c>
      <c r="U112" s="1"/>
      <c r="V112" s="5">
        <f t="shared" si="46"/>
        <v>-4.5414129571763914E-7</v>
      </c>
      <c r="W112" s="1"/>
      <c r="X112" s="1">
        <f t="shared" si="47"/>
        <v>0.23</v>
      </c>
      <c r="Y112" s="1"/>
      <c r="Z112" s="5">
        <f t="shared" si="48"/>
        <v>-1</v>
      </c>
    </row>
    <row r="113" spans="1:26" s="24" customFormat="1" hidden="1" outlineLevel="2" x14ac:dyDescent="0.25">
      <c r="A113" s="26"/>
      <c r="B113" s="11" t="str">
        <f>CONCATENATE("          ", "6273", " - ", "RENT")</f>
        <v xml:space="preserve">          6273 - RENT</v>
      </c>
      <c r="C113" s="11"/>
      <c r="D113" s="6"/>
      <c r="E113" s="2"/>
      <c r="F113" s="7">
        <f t="shared" si="41"/>
        <v>0</v>
      </c>
      <c r="G113" s="2"/>
      <c r="H113" s="6"/>
      <c r="I113" s="2"/>
      <c r="J113" s="7">
        <f t="shared" si="42"/>
        <v>0</v>
      </c>
      <c r="K113" s="2"/>
      <c r="L113" s="6">
        <f t="shared" si="43"/>
        <v>0</v>
      </c>
      <c r="M113" s="2"/>
      <c r="N113" s="7">
        <f t="shared" si="44"/>
        <v>0</v>
      </c>
      <c r="O113" s="11"/>
      <c r="P113" s="6"/>
      <c r="Q113" s="2"/>
      <c r="R113" s="7">
        <f t="shared" si="45"/>
        <v>0</v>
      </c>
      <c r="S113" s="2"/>
      <c r="T113" s="6">
        <v>-0.23</v>
      </c>
      <c r="U113" s="2"/>
      <c r="V113" s="7">
        <f t="shared" si="46"/>
        <v>-4.5414129571763914E-7</v>
      </c>
      <c r="W113" s="2"/>
      <c r="X113" s="6">
        <f t="shared" si="47"/>
        <v>0.23</v>
      </c>
      <c r="Y113" s="2"/>
      <c r="Z113" s="7">
        <f t="shared" si="48"/>
        <v>-1</v>
      </c>
    </row>
    <row r="114" spans="1:26" s="27" customFormat="1" outlineLevel="1" collapsed="1" x14ac:dyDescent="0.25">
      <c r="A114" s="25"/>
      <c r="B114" s="13" t="str">
        <f>CONCATENATE("     ","Repair and Maintenance                            ")</f>
        <v xml:space="preserve">     Repair and Maintenance                            </v>
      </c>
      <c r="C114" s="13"/>
      <c r="D114" s="1">
        <f>SUM(OSRRefD22_11x_0)</f>
        <v>61.11</v>
      </c>
      <c r="E114" s="1"/>
      <c r="F114" s="5">
        <f t="shared" si="41"/>
        <v>1.3826902386956418E-3</v>
      </c>
      <c r="G114" s="1"/>
      <c r="H114" s="1">
        <f>SUM(OSRRefH22_11x_0)</f>
        <v>76.13</v>
      </c>
      <c r="I114" s="1"/>
      <c r="J114" s="5">
        <f t="shared" si="42"/>
        <v>1.5654829616725027E-3</v>
      </c>
      <c r="K114" s="1"/>
      <c r="L114" s="1">
        <f t="shared" si="43"/>
        <v>-15.019999999999996</v>
      </c>
      <c r="M114" s="1"/>
      <c r="N114" s="5">
        <f t="shared" si="44"/>
        <v>-0.19729410219361615</v>
      </c>
      <c r="O114" s="13"/>
      <c r="P114" s="1">
        <f>SUM(OSRRefP22_11x_0)</f>
        <v>129.53</v>
      </c>
      <c r="Q114" s="1"/>
      <c r="R114" s="5">
        <f t="shared" si="45"/>
        <v>2.5103817065134118E-4</v>
      </c>
      <c r="S114" s="1"/>
      <c r="T114" s="1">
        <f>SUM(OSRRefT22_11x_0)</f>
        <v>125.75</v>
      </c>
      <c r="U114" s="1"/>
      <c r="V114" s="5">
        <f t="shared" si="46"/>
        <v>2.4829681711518748E-4</v>
      </c>
      <c r="W114" s="1"/>
      <c r="X114" s="1">
        <f t="shared" si="47"/>
        <v>3.7800000000000011</v>
      </c>
      <c r="Y114" s="1"/>
      <c r="Z114" s="5">
        <f t="shared" si="48"/>
        <v>3.0059642147117305E-2</v>
      </c>
    </row>
    <row r="115" spans="1:26" s="24" customFormat="1" hidden="1" outlineLevel="2" x14ac:dyDescent="0.25">
      <c r="A115" s="26"/>
      <c r="B115" s="11" t="str">
        <f>CONCATENATE("          ", "6373", " - ", "MAINTENANCE CONTRACTS")</f>
        <v xml:space="preserve">          6373 - MAINTENANCE CONTRACTS</v>
      </c>
      <c r="C115" s="11"/>
      <c r="D115" s="6">
        <v>61.11</v>
      </c>
      <c r="E115" s="2"/>
      <c r="F115" s="7">
        <f t="shared" si="41"/>
        <v>1.3826902386956418E-3</v>
      </c>
      <c r="G115" s="2"/>
      <c r="H115" s="6">
        <v>49.62</v>
      </c>
      <c r="I115" s="2"/>
      <c r="J115" s="7">
        <f t="shared" si="42"/>
        <v>1.0203502503374436E-3</v>
      </c>
      <c r="K115" s="2"/>
      <c r="L115" s="6">
        <f t="shared" si="43"/>
        <v>11.490000000000002</v>
      </c>
      <c r="M115" s="2"/>
      <c r="N115" s="7">
        <f t="shared" si="44"/>
        <v>0.23155985489721892</v>
      </c>
      <c r="O115" s="11"/>
      <c r="P115" s="6">
        <v>119.73</v>
      </c>
      <c r="Q115" s="2"/>
      <c r="R115" s="7">
        <f t="shared" si="45"/>
        <v>2.320450874089792E-4</v>
      </c>
      <c r="S115" s="2"/>
      <c r="T115" s="6">
        <v>99.24</v>
      </c>
      <c r="U115" s="2"/>
      <c r="V115" s="7">
        <f t="shared" si="46"/>
        <v>1.9595209646529785E-4</v>
      </c>
      <c r="W115" s="2"/>
      <c r="X115" s="6">
        <f t="shared" si="47"/>
        <v>20.490000000000009</v>
      </c>
      <c r="Y115" s="2"/>
      <c r="Z115" s="7">
        <f t="shared" si="48"/>
        <v>0.20646916565900858</v>
      </c>
    </row>
    <row r="116" spans="1:26" s="24" customFormat="1" hidden="1" outlineLevel="2" x14ac:dyDescent="0.25">
      <c r="A116" s="26"/>
      <c r="B116" s="11" t="str">
        <f>CONCATENATE("          ", "6375", " - ", "OUTSIDE REPAIRS &amp; MAINTENANCE")</f>
        <v xml:space="preserve">          6375 - OUTSIDE REPAIRS &amp; MAINTENANCE</v>
      </c>
      <c r="C116" s="11"/>
      <c r="D116" s="6"/>
      <c r="E116" s="2"/>
      <c r="F116" s="7">
        <f t="shared" si="41"/>
        <v>0</v>
      </c>
      <c r="G116" s="2"/>
      <c r="H116" s="6">
        <v>26.51</v>
      </c>
      <c r="I116" s="2"/>
      <c r="J116" s="7">
        <f t="shared" si="42"/>
        <v>5.4513271133505915E-4</v>
      </c>
      <c r="K116" s="2"/>
      <c r="L116" s="6">
        <f t="shared" si="43"/>
        <v>-26.51</v>
      </c>
      <c r="M116" s="2"/>
      <c r="N116" s="7">
        <f t="shared" si="44"/>
        <v>-1</v>
      </c>
      <c r="O116" s="11"/>
      <c r="P116" s="6">
        <v>9.8000000000000007</v>
      </c>
      <c r="Q116" s="2"/>
      <c r="R116" s="7">
        <f t="shared" si="45"/>
        <v>1.899308324236195E-5</v>
      </c>
      <c r="S116" s="2"/>
      <c r="T116" s="6">
        <v>26.51</v>
      </c>
      <c r="U116" s="2"/>
      <c r="V116" s="7">
        <f t="shared" si="46"/>
        <v>5.2344720649889622E-5</v>
      </c>
      <c r="W116" s="2"/>
      <c r="X116" s="6">
        <f t="shared" si="47"/>
        <v>-16.71</v>
      </c>
      <c r="Y116" s="2"/>
      <c r="Z116" s="7">
        <f t="shared" si="48"/>
        <v>-0.63032817804602037</v>
      </c>
    </row>
    <row r="117" spans="1:26" s="27" customFormat="1" outlineLevel="1" collapsed="1" x14ac:dyDescent="0.25">
      <c r="A117" s="25"/>
      <c r="B117" s="13" t="str">
        <f>CONCATENATE("     ","Services                                          ")</f>
        <v xml:space="preserve">     Services                                          </v>
      </c>
      <c r="C117" s="13"/>
      <c r="D117" s="1">
        <f>SUM(OSRRefD22_12x_0)</f>
        <v>109.66</v>
      </c>
      <c r="E117" s="1"/>
      <c r="F117" s="5">
        <f t="shared" ref="F117:F119" si="49">IF(D$12=0,0,D117/D$12)</f>
        <v>2.4811947565924414E-3</v>
      </c>
      <c r="G117" s="1"/>
      <c r="H117" s="1">
        <f>SUM(OSRRefH22_12x_0)</f>
        <v>168.62</v>
      </c>
      <c r="I117" s="1"/>
      <c r="J117" s="5">
        <f t="shared" ref="J117:J119" si="50">IF(H$12=0,0,H117/H$12)</f>
        <v>3.4673812819810512E-3</v>
      </c>
      <c r="K117" s="1"/>
      <c r="L117" s="1">
        <f t="shared" ref="L117:L119" si="51">+D117-H117</f>
        <v>-58.960000000000008</v>
      </c>
      <c r="M117" s="1"/>
      <c r="N117" s="5">
        <f t="shared" ref="N117:N119" si="52">IF(H117=0,0,L117/H117)</f>
        <v>-0.34966196180761477</v>
      </c>
      <c r="O117" s="13"/>
      <c r="P117" s="1">
        <f>SUM(OSRRefP22_12x_0)</f>
        <v>1230.69</v>
      </c>
      <c r="Q117" s="1"/>
      <c r="R117" s="5">
        <f t="shared" ref="R117:R119" si="53">IF(P$12=0,0,P117/P$12)</f>
        <v>2.3851630219941253E-3</v>
      </c>
      <c r="S117" s="1"/>
      <c r="T117" s="1">
        <f>SUM(OSRRefT22_12x_0)</f>
        <v>1187.4000000000001</v>
      </c>
      <c r="U117" s="1"/>
      <c r="V117" s="5">
        <f t="shared" ref="V117:V119" si="54">IF(T$12=0,0,T117/T$12)</f>
        <v>2.3445538023266293E-3</v>
      </c>
      <c r="W117" s="1"/>
      <c r="X117" s="1">
        <f t="shared" ref="X117:X119" si="55">+P117-T117</f>
        <v>43.289999999999964</v>
      </c>
      <c r="Y117" s="1"/>
      <c r="Z117" s="5">
        <f t="shared" ref="Z117:Z119" si="56">IF(T117=0,0,X117/T117)</f>
        <v>3.6457806973218765E-2</v>
      </c>
    </row>
    <row r="118" spans="1:26" s="24" customFormat="1" hidden="1" outlineLevel="2" x14ac:dyDescent="0.25">
      <c r="A118" s="26"/>
      <c r="B118" s="11" t="str">
        <f>CONCATENATE("          ", "6282", " - ", "JANITORIAL/EXTERMINATOR EXPENS")</f>
        <v xml:space="preserve">          6282 - JANITORIAL/EXTERMINATOR EXPENS</v>
      </c>
      <c r="C118" s="11"/>
      <c r="D118" s="6">
        <v>44</v>
      </c>
      <c r="E118" s="2"/>
      <c r="F118" s="7">
        <f t="shared" si="49"/>
        <v>9.9555507286218695E-4</v>
      </c>
      <c r="G118" s="2"/>
      <c r="H118" s="6"/>
      <c r="I118" s="2"/>
      <c r="J118" s="7">
        <f t="shared" si="50"/>
        <v>0</v>
      </c>
      <c r="K118" s="2"/>
      <c r="L118" s="6">
        <f t="shared" si="51"/>
        <v>44</v>
      </c>
      <c r="M118" s="2"/>
      <c r="N118" s="7">
        <f t="shared" si="52"/>
        <v>0</v>
      </c>
      <c r="O118" s="11"/>
      <c r="P118" s="6">
        <v>264</v>
      </c>
      <c r="Q118" s="2"/>
      <c r="R118" s="7">
        <f t="shared" si="53"/>
        <v>5.116504057126076E-4</v>
      </c>
      <c r="S118" s="2"/>
      <c r="T118" s="6">
        <v>200.79</v>
      </c>
      <c r="U118" s="2"/>
      <c r="V118" s="7">
        <f t="shared" si="54"/>
        <v>3.9646535116149895E-4</v>
      </c>
      <c r="W118" s="2"/>
      <c r="X118" s="6">
        <f t="shared" si="55"/>
        <v>63.210000000000008</v>
      </c>
      <c r="Y118" s="2"/>
      <c r="Z118" s="7">
        <f t="shared" si="56"/>
        <v>0.31480651426863893</v>
      </c>
    </row>
    <row r="119" spans="1:26" s="24" customFormat="1" hidden="1" outlineLevel="2" x14ac:dyDescent="0.25">
      <c r="A119" s="26"/>
      <c r="B119" s="11" t="str">
        <f>CONCATENATE("          ", "6285", " - ", "JANITORIAL SERVICES")</f>
        <v xml:space="preserve">          6285 - JANITORIAL SERVICES</v>
      </c>
      <c r="C119" s="11"/>
      <c r="D119" s="6">
        <v>65.66</v>
      </c>
      <c r="E119" s="2"/>
      <c r="F119" s="7">
        <f t="shared" si="49"/>
        <v>1.4856396837302545E-3</v>
      </c>
      <c r="G119" s="2"/>
      <c r="H119" s="6">
        <v>168.62</v>
      </c>
      <c r="I119" s="2"/>
      <c r="J119" s="7">
        <f t="shared" si="50"/>
        <v>3.4673812819810512E-3</v>
      </c>
      <c r="K119" s="2"/>
      <c r="L119" s="6">
        <f t="shared" si="51"/>
        <v>-102.96000000000001</v>
      </c>
      <c r="M119" s="2"/>
      <c r="N119" s="7">
        <f t="shared" si="52"/>
        <v>-0.61060372435061083</v>
      </c>
      <c r="O119" s="11"/>
      <c r="P119" s="6">
        <v>966.69</v>
      </c>
      <c r="Q119" s="2"/>
      <c r="R119" s="7">
        <f t="shared" si="53"/>
        <v>1.8735126162815177E-3</v>
      </c>
      <c r="S119" s="2"/>
      <c r="T119" s="6">
        <v>986.61</v>
      </c>
      <c r="U119" s="2"/>
      <c r="V119" s="7">
        <f t="shared" si="54"/>
        <v>1.9480884511651302E-3</v>
      </c>
      <c r="W119" s="2"/>
      <c r="X119" s="6">
        <f t="shared" si="55"/>
        <v>-19.919999999999959</v>
      </c>
      <c r="Y119" s="2"/>
      <c r="Z119" s="7">
        <f t="shared" si="56"/>
        <v>-2.0190348770030668E-2</v>
      </c>
    </row>
    <row r="120" spans="1:26" s="27" customFormat="1" outlineLevel="1" collapsed="1" x14ac:dyDescent="0.25">
      <c r="A120" s="25"/>
      <c r="B120" s="13" t="str">
        <f>CONCATENATE("     ","Subscriptions &amp; Dues                              ")</f>
        <v xml:space="preserve">     Subscriptions &amp; Dues                              </v>
      </c>
      <c r="C120" s="13"/>
      <c r="D120" s="1">
        <f>SUM(OSRRefD22_13x_0)</f>
        <v>0</v>
      </c>
      <c r="E120" s="1"/>
      <c r="F120" s="5">
        <f t="shared" ref="F120:F125" si="57">IF(D$12=0,0,D120/D$12)</f>
        <v>0</v>
      </c>
      <c r="G120" s="1"/>
      <c r="H120" s="1">
        <f>SUM(OSRRefH22_13x_0)</f>
        <v>0</v>
      </c>
      <c r="I120" s="1"/>
      <c r="J120" s="5">
        <f t="shared" ref="J120:J125" si="58">IF(H$12=0,0,H120/H$12)</f>
        <v>0</v>
      </c>
      <c r="K120" s="1"/>
      <c r="L120" s="1">
        <f t="shared" ref="L120:L125" si="59">+D120-H120</f>
        <v>0</v>
      </c>
      <c r="M120" s="1"/>
      <c r="N120" s="5">
        <f t="shared" ref="N120:N125" si="60">IF(H120=0,0,L120/H120)</f>
        <v>0</v>
      </c>
      <c r="O120" s="13"/>
      <c r="P120" s="1">
        <f>SUM(OSRRefP22_13x_0)</f>
        <v>120</v>
      </c>
      <c r="Q120" s="1"/>
      <c r="R120" s="5">
        <f t="shared" ref="R120:R125" si="61">IF(P$12=0,0,P120/P$12)</f>
        <v>2.3256836623300345E-4</v>
      </c>
      <c r="S120" s="1"/>
      <c r="T120" s="1">
        <f>SUM(OSRRefT22_13x_0)</f>
        <v>137.26</v>
      </c>
      <c r="U120" s="1"/>
      <c r="V120" s="5">
        <f t="shared" ref="V120:V125" si="62">IF(T$12=0,0,T120/T$12)</f>
        <v>2.7102362717479627E-4</v>
      </c>
      <c r="W120" s="1"/>
      <c r="X120" s="1">
        <f t="shared" ref="X120:X125" si="63">+P120-T120</f>
        <v>-17.259999999999991</v>
      </c>
      <c r="Y120" s="1"/>
      <c r="Z120" s="5">
        <f t="shared" ref="Z120:Z125" si="64">IF(T120=0,0,X120/T120)</f>
        <v>-0.12574675797756077</v>
      </c>
    </row>
    <row r="121" spans="1:26" s="24" customFormat="1" hidden="1" outlineLevel="2" x14ac:dyDescent="0.25">
      <c r="A121" s="26"/>
      <c r="B121" s="11" t="str">
        <f>CONCATENATE("          ", "6258", " - ", "MEMBERSHIP DUES")</f>
        <v xml:space="preserve">          6258 - MEMBERSHIP DUES</v>
      </c>
      <c r="C121" s="11"/>
      <c r="D121" s="6"/>
      <c r="E121" s="2"/>
      <c r="F121" s="7">
        <f t="shared" si="57"/>
        <v>0</v>
      </c>
      <c r="G121" s="2"/>
      <c r="H121" s="6"/>
      <c r="I121" s="2"/>
      <c r="J121" s="7">
        <f t="shared" si="58"/>
        <v>0</v>
      </c>
      <c r="K121" s="2"/>
      <c r="L121" s="6">
        <f t="shared" si="59"/>
        <v>0</v>
      </c>
      <c r="M121" s="2"/>
      <c r="N121" s="7">
        <f t="shared" si="60"/>
        <v>0</v>
      </c>
      <c r="O121" s="11"/>
      <c r="P121" s="6">
        <v>120</v>
      </c>
      <c r="Q121" s="2"/>
      <c r="R121" s="7">
        <f t="shared" si="61"/>
        <v>2.3256836623300345E-4</v>
      </c>
      <c r="S121" s="2"/>
      <c r="T121" s="6">
        <v>137.26</v>
      </c>
      <c r="U121" s="2"/>
      <c r="V121" s="7">
        <f t="shared" si="62"/>
        <v>2.7102362717479627E-4</v>
      </c>
      <c r="W121" s="2"/>
      <c r="X121" s="6">
        <f t="shared" si="63"/>
        <v>-17.259999999999991</v>
      </c>
      <c r="Y121" s="2"/>
      <c r="Z121" s="7">
        <f t="shared" si="64"/>
        <v>-0.12574675797756077</v>
      </c>
    </row>
    <row r="122" spans="1:26" s="27" customFormat="1" outlineLevel="1" collapsed="1" x14ac:dyDescent="0.25">
      <c r="A122" s="25"/>
      <c r="B122" s="13" t="str">
        <f>CONCATENATE("     ","Supplies                                          ")</f>
        <v xml:space="preserve">     Supplies                                          </v>
      </c>
      <c r="C122" s="13"/>
      <c r="D122" s="1">
        <f>SUM(OSRRefD22_14x_0)</f>
        <v>230.66</v>
      </c>
      <c r="E122" s="1"/>
      <c r="F122" s="5">
        <f t="shared" si="57"/>
        <v>5.2189712069634553E-3</v>
      </c>
      <c r="G122" s="1"/>
      <c r="H122" s="1">
        <f>SUM(OSRRefH22_14x_0)</f>
        <v>118.64</v>
      </c>
      <c r="I122" s="1"/>
      <c r="J122" s="5">
        <f t="shared" si="58"/>
        <v>2.4396282486907361E-3</v>
      </c>
      <c r="K122" s="1"/>
      <c r="L122" s="1">
        <f t="shared" si="59"/>
        <v>112.02</v>
      </c>
      <c r="M122" s="1"/>
      <c r="N122" s="5">
        <f t="shared" si="60"/>
        <v>0.94420094403236676</v>
      </c>
      <c r="O122" s="13"/>
      <c r="P122" s="1">
        <f>SUM(OSRRefP22_14x_0)</f>
        <v>1450.67</v>
      </c>
      <c r="Q122" s="1"/>
      <c r="R122" s="5">
        <f t="shared" si="61"/>
        <v>2.8114995986935928E-3</v>
      </c>
      <c r="S122" s="1"/>
      <c r="T122" s="1">
        <f>SUM(OSRRefT22_14x_0)</f>
        <v>1072.6299999999999</v>
      </c>
      <c r="U122" s="1"/>
      <c r="V122" s="5">
        <f t="shared" si="62"/>
        <v>2.1179372957635268E-3</v>
      </c>
      <c r="W122" s="1"/>
      <c r="X122" s="1">
        <f t="shared" si="63"/>
        <v>378.04000000000019</v>
      </c>
      <c r="Y122" s="1"/>
      <c r="Z122" s="5">
        <f t="shared" si="64"/>
        <v>0.35244212822688181</v>
      </c>
    </row>
    <row r="123" spans="1:26" s="24" customFormat="1" hidden="1" outlineLevel="2" x14ac:dyDescent="0.25">
      <c r="A123" s="26"/>
      <c r="B123" s="11" t="str">
        <f>CONCATENATE("          ", "6241", " - ", "OFFICE EXPENSE")</f>
        <v xml:space="preserve">          6241 - OFFICE EXPENSE</v>
      </c>
      <c r="C123" s="11"/>
      <c r="D123" s="6">
        <v>231.06</v>
      </c>
      <c r="E123" s="2"/>
      <c r="F123" s="7">
        <f t="shared" si="57"/>
        <v>5.2280217076258392E-3</v>
      </c>
      <c r="G123" s="2"/>
      <c r="H123" s="6">
        <v>118.64</v>
      </c>
      <c r="I123" s="2"/>
      <c r="J123" s="7">
        <f t="shared" si="58"/>
        <v>2.4396282486907361E-3</v>
      </c>
      <c r="K123" s="2"/>
      <c r="L123" s="6">
        <f t="shared" si="59"/>
        <v>112.42</v>
      </c>
      <c r="M123" s="2"/>
      <c r="N123" s="7">
        <f t="shared" si="60"/>
        <v>0.94757248819959539</v>
      </c>
      <c r="O123" s="11"/>
      <c r="P123" s="6">
        <v>1451.17</v>
      </c>
      <c r="Q123" s="2"/>
      <c r="R123" s="7">
        <f t="shared" si="61"/>
        <v>2.812468633552897E-3</v>
      </c>
      <c r="S123" s="2"/>
      <c r="T123" s="6">
        <v>1070</v>
      </c>
      <c r="U123" s="2"/>
      <c r="V123" s="7">
        <f t="shared" si="62"/>
        <v>2.1127442887733648E-3</v>
      </c>
      <c r="W123" s="2"/>
      <c r="X123" s="6">
        <f t="shared" si="63"/>
        <v>381.17000000000007</v>
      </c>
      <c r="Y123" s="2"/>
      <c r="Z123" s="7">
        <f t="shared" si="64"/>
        <v>0.35623364485981313</v>
      </c>
    </row>
    <row r="124" spans="1:26" s="24" customFormat="1" hidden="1" outlineLevel="2" x14ac:dyDescent="0.25">
      <c r="A124" s="26"/>
      <c r="B124" s="11" t="str">
        <f>CONCATENATE("          ", "6245", " - ", "PRINTING")</f>
        <v xml:space="preserve">          6245 - PRINTING</v>
      </c>
      <c r="C124" s="11"/>
      <c r="D124" s="6"/>
      <c r="E124" s="2"/>
      <c r="F124" s="7">
        <f t="shared" si="57"/>
        <v>0</v>
      </c>
      <c r="G124" s="2"/>
      <c r="H124" s="6"/>
      <c r="I124" s="2"/>
      <c r="J124" s="7">
        <f t="shared" si="58"/>
        <v>0</v>
      </c>
      <c r="K124" s="2"/>
      <c r="L124" s="6">
        <f t="shared" si="59"/>
        <v>0</v>
      </c>
      <c r="M124" s="2"/>
      <c r="N124" s="7">
        <f t="shared" si="60"/>
        <v>0</v>
      </c>
      <c r="O124" s="11"/>
      <c r="P124" s="6"/>
      <c r="Q124" s="2"/>
      <c r="R124" s="7">
        <f t="shared" si="61"/>
        <v>0</v>
      </c>
      <c r="S124" s="2"/>
      <c r="T124" s="6">
        <v>3.53</v>
      </c>
      <c r="U124" s="2"/>
      <c r="V124" s="7">
        <f t="shared" si="62"/>
        <v>6.9700816255794173E-6</v>
      </c>
      <c r="W124" s="2"/>
      <c r="X124" s="6">
        <f t="shared" si="63"/>
        <v>-3.53</v>
      </c>
      <c r="Y124" s="2"/>
      <c r="Z124" s="7">
        <f t="shared" si="64"/>
        <v>-1</v>
      </c>
    </row>
    <row r="125" spans="1:26" s="24" customFormat="1" hidden="1" outlineLevel="2" x14ac:dyDescent="0.25">
      <c r="A125" s="26"/>
      <c r="B125" s="11" t="str">
        <f>CONCATENATE("          ", "6247", " - ", "STORE SUPPLIES")</f>
        <v xml:space="preserve">          6247 - STORE SUPPLIES</v>
      </c>
      <c r="C125" s="11"/>
      <c r="D125" s="6">
        <v>-0.4</v>
      </c>
      <c r="E125" s="2"/>
      <c r="F125" s="7">
        <f t="shared" si="57"/>
        <v>-9.050500662383518E-6</v>
      </c>
      <c r="G125" s="2"/>
      <c r="H125" s="6"/>
      <c r="I125" s="2"/>
      <c r="J125" s="7">
        <f t="shared" si="58"/>
        <v>0</v>
      </c>
      <c r="K125" s="2"/>
      <c r="L125" s="6">
        <f t="shared" si="59"/>
        <v>-0.4</v>
      </c>
      <c r="M125" s="2"/>
      <c r="N125" s="7">
        <f t="shared" si="60"/>
        <v>0</v>
      </c>
      <c r="O125" s="11"/>
      <c r="P125" s="6">
        <v>-0.5</v>
      </c>
      <c r="Q125" s="2"/>
      <c r="R125" s="7">
        <f t="shared" si="61"/>
        <v>-9.6903485930418106E-7</v>
      </c>
      <c r="S125" s="2"/>
      <c r="T125" s="6">
        <v>-0.9</v>
      </c>
      <c r="U125" s="2"/>
      <c r="V125" s="7">
        <f t="shared" si="62"/>
        <v>-1.7770746354168487E-6</v>
      </c>
      <c r="W125" s="2"/>
      <c r="X125" s="6">
        <f t="shared" si="63"/>
        <v>0.4</v>
      </c>
      <c r="Y125" s="2"/>
      <c r="Z125" s="7">
        <f t="shared" si="64"/>
        <v>-0.44444444444444448</v>
      </c>
    </row>
    <row r="126" spans="1:26" s="27" customFormat="1" outlineLevel="1" collapsed="1" x14ac:dyDescent="0.25">
      <c r="A126" s="25"/>
      <c r="B126" s="13" t="str">
        <f>CONCATENATE("     ","Telephone/Data Lines                              ")</f>
        <v xml:space="preserve">     Telephone/Data Lines                              </v>
      </c>
      <c r="C126" s="13"/>
      <c r="D126" s="1">
        <f>SUM(OSRRefD22_15x_0)</f>
        <v>87.84</v>
      </c>
      <c r="E126" s="1"/>
      <c r="F126" s="5">
        <f t="shared" ref="F126:F131" si="65">IF(D$12=0,0,D126/D$12)</f>
        <v>1.9874899454594207E-3</v>
      </c>
      <c r="G126" s="1"/>
      <c r="H126" s="1">
        <f>SUM(OSRRefH22_15x_0)</f>
        <v>143.19999999999999</v>
      </c>
      <c r="I126" s="1"/>
      <c r="J126" s="5">
        <f t="shared" ref="J126:J131" si="66">IF(H$12=0,0,H126/H$12)</f>
        <v>2.9446625523644079E-3</v>
      </c>
      <c r="K126" s="1"/>
      <c r="L126" s="1">
        <f t="shared" ref="L126:L131" si="67">+D126-H126</f>
        <v>-55.359999999999985</v>
      </c>
      <c r="M126" s="1"/>
      <c r="N126" s="5">
        <f t="shared" ref="N126:N131" si="68">IF(H126=0,0,L126/H126)</f>
        <v>-0.38659217877094965</v>
      </c>
      <c r="O126" s="13"/>
      <c r="P126" s="1">
        <f>SUM(OSRRefP22_15x_0)</f>
        <v>576.57000000000005</v>
      </c>
      <c r="Q126" s="1"/>
      <c r="R126" s="5">
        <f t="shared" ref="R126:R131" si="69">IF(P$12=0,0,P126/P$12)</f>
        <v>1.1174328576580234E-3</v>
      </c>
      <c r="S126" s="1"/>
      <c r="T126" s="1">
        <f>SUM(OSRRefT22_15x_0)</f>
        <v>791.95</v>
      </c>
      <c r="U126" s="1"/>
      <c r="V126" s="5">
        <f t="shared" ref="V126:V131" si="70">IF(T$12=0,0,T126/T$12)</f>
        <v>1.5637269527981926E-3</v>
      </c>
      <c r="W126" s="1"/>
      <c r="X126" s="1">
        <f t="shared" ref="X126:X131" si="71">+P126-T126</f>
        <v>-215.38</v>
      </c>
      <c r="Y126" s="1"/>
      <c r="Z126" s="5">
        <f t="shared" ref="Z126:Z131" si="72">IF(T126=0,0,X126/T126)</f>
        <v>-0.27196161373824101</v>
      </c>
    </row>
    <row r="127" spans="1:26" s="24" customFormat="1" hidden="1" outlineLevel="2" x14ac:dyDescent="0.25">
      <c r="A127" s="26"/>
      <c r="B127" s="11" t="str">
        <f>CONCATENATE("          ", "6309", " - ", "TELEPHONE")</f>
        <v xml:space="preserve">          6309 - TELEPHONE</v>
      </c>
      <c r="C127" s="11"/>
      <c r="D127" s="6">
        <v>87.84</v>
      </c>
      <c r="E127" s="2"/>
      <c r="F127" s="7">
        <f t="shared" si="65"/>
        <v>1.9874899454594207E-3</v>
      </c>
      <c r="G127" s="2"/>
      <c r="H127" s="6">
        <v>143.19999999999999</v>
      </c>
      <c r="I127" s="2"/>
      <c r="J127" s="7">
        <f t="shared" si="66"/>
        <v>2.9446625523644079E-3</v>
      </c>
      <c r="K127" s="2"/>
      <c r="L127" s="6">
        <f t="shared" si="67"/>
        <v>-55.359999999999985</v>
      </c>
      <c r="M127" s="2"/>
      <c r="N127" s="7">
        <f t="shared" si="68"/>
        <v>-0.38659217877094965</v>
      </c>
      <c r="O127" s="11"/>
      <c r="P127" s="6">
        <v>576.57000000000005</v>
      </c>
      <c r="Q127" s="2"/>
      <c r="R127" s="7">
        <f t="shared" si="69"/>
        <v>1.1174328576580234E-3</v>
      </c>
      <c r="S127" s="2"/>
      <c r="T127" s="6">
        <v>791.95</v>
      </c>
      <c r="U127" s="2"/>
      <c r="V127" s="7">
        <f t="shared" si="70"/>
        <v>1.5637269527981926E-3</v>
      </c>
      <c r="W127" s="2"/>
      <c r="X127" s="6">
        <f t="shared" si="71"/>
        <v>-215.38</v>
      </c>
      <c r="Y127" s="2"/>
      <c r="Z127" s="7">
        <f t="shared" si="72"/>
        <v>-0.27196161373824101</v>
      </c>
    </row>
    <row r="128" spans="1:26" s="27" customFormat="1" outlineLevel="1" collapsed="1" x14ac:dyDescent="0.25">
      <c r="A128" s="25"/>
      <c r="B128" s="13" t="str">
        <f>CONCATENATE("     ","Training                                          ")</f>
        <v xml:space="preserve">     Training                                          </v>
      </c>
      <c r="C128" s="13"/>
      <c r="D128" s="1">
        <f>SUM(OSRRefD22_16x_0)</f>
        <v>0</v>
      </c>
      <c r="E128" s="1"/>
      <c r="F128" s="5">
        <f t="shared" si="65"/>
        <v>0</v>
      </c>
      <c r="G128" s="1"/>
      <c r="H128" s="1">
        <f>SUM(OSRRefH22_16x_0)</f>
        <v>0</v>
      </c>
      <c r="I128" s="1"/>
      <c r="J128" s="5">
        <f t="shared" si="66"/>
        <v>0</v>
      </c>
      <c r="K128" s="1"/>
      <c r="L128" s="1">
        <f t="shared" si="67"/>
        <v>0</v>
      </c>
      <c r="M128" s="1"/>
      <c r="N128" s="5">
        <f t="shared" si="68"/>
        <v>0</v>
      </c>
      <c r="O128" s="13"/>
      <c r="P128" s="1">
        <f>SUM(OSRRefP22_16x_0)</f>
        <v>80</v>
      </c>
      <c r="Q128" s="1"/>
      <c r="R128" s="5">
        <f t="shared" si="69"/>
        <v>1.5504557748866898E-4</v>
      </c>
      <c r="S128" s="1"/>
      <c r="T128" s="1">
        <f>SUM(OSRRefT22_16x_0)</f>
        <v>0</v>
      </c>
      <c r="U128" s="1"/>
      <c r="V128" s="5">
        <f t="shared" si="70"/>
        <v>0</v>
      </c>
      <c r="W128" s="1"/>
      <c r="X128" s="1">
        <f t="shared" si="71"/>
        <v>80</v>
      </c>
      <c r="Y128" s="1"/>
      <c r="Z128" s="5">
        <f t="shared" si="72"/>
        <v>0</v>
      </c>
    </row>
    <row r="129" spans="1:26" s="24" customFormat="1" hidden="1" outlineLevel="2" x14ac:dyDescent="0.25">
      <c r="A129" s="26"/>
      <c r="B129" s="11" t="str">
        <f>CONCATENATE("          ", "6376", " - ", "TRAINING")</f>
        <v xml:space="preserve">          6376 - TRAINING</v>
      </c>
      <c r="C129" s="11"/>
      <c r="D129" s="6"/>
      <c r="E129" s="2"/>
      <c r="F129" s="7">
        <f t="shared" si="65"/>
        <v>0</v>
      </c>
      <c r="G129" s="2"/>
      <c r="H129" s="6"/>
      <c r="I129" s="2"/>
      <c r="J129" s="7">
        <f t="shared" si="66"/>
        <v>0</v>
      </c>
      <c r="K129" s="2"/>
      <c r="L129" s="6">
        <f t="shared" si="67"/>
        <v>0</v>
      </c>
      <c r="M129" s="2"/>
      <c r="N129" s="7">
        <f t="shared" si="68"/>
        <v>0</v>
      </c>
      <c r="O129" s="11"/>
      <c r="P129" s="6">
        <v>80</v>
      </c>
      <c r="Q129" s="2"/>
      <c r="R129" s="7">
        <f t="shared" si="69"/>
        <v>1.5504557748866898E-4</v>
      </c>
      <c r="S129" s="2"/>
      <c r="T129" s="6"/>
      <c r="U129" s="2"/>
      <c r="V129" s="7">
        <f t="shared" si="70"/>
        <v>0</v>
      </c>
      <c r="W129" s="2"/>
      <c r="X129" s="6">
        <f t="shared" si="71"/>
        <v>80</v>
      </c>
      <c r="Y129" s="2"/>
      <c r="Z129" s="7">
        <f t="shared" si="72"/>
        <v>0</v>
      </c>
    </row>
    <row r="130" spans="1:26" s="27" customFormat="1" outlineLevel="1" collapsed="1" x14ac:dyDescent="0.25">
      <c r="A130" s="25"/>
      <c r="B130" s="13" t="str">
        <f>CONCATENATE("     ","Travel                                            ")</f>
        <v xml:space="preserve">     Travel                                            </v>
      </c>
      <c r="C130" s="13"/>
      <c r="D130" s="1">
        <f>SUM(OSRRefD22_17x_0)</f>
        <v>-323.01</v>
      </c>
      <c r="E130" s="1"/>
      <c r="F130" s="5">
        <f t="shared" si="65"/>
        <v>-7.3085055473912502E-3</v>
      </c>
      <c r="G130" s="1"/>
      <c r="H130" s="1">
        <f>SUM(OSRRefH22_17x_0)</f>
        <v>0</v>
      </c>
      <c r="I130" s="1"/>
      <c r="J130" s="5">
        <f t="shared" si="66"/>
        <v>0</v>
      </c>
      <c r="K130" s="1"/>
      <c r="L130" s="1">
        <f t="shared" si="67"/>
        <v>-323.01</v>
      </c>
      <c r="M130" s="1"/>
      <c r="N130" s="5">
        <f t="shared" si="68"/>
        <v>0</v>
      </c>
      <c r="O130" s="13"/>
      <c r="P130" s="1">
        <f>SUM(OSRRefP22_17x_0)</f>
        <v>-323.01</v>
      </c>
      <c r="Q130" s="1"/>
      <c r="R130" s="5">
        <f t="shared" si="69"/>
        <v>-6.2601589980768708E-4</v>
      </c>
      <c r="S130" s="1"/>
      <c r="T130" s="1">
        <f>SUM(OSRRefT22_17x_0)</f>
        <v>0</v>
      </c>
      <c r="U130" s="1"/>
      <c r="V130" s="5">
        <f t="shared" si="70"/>
        <v>0</v>
      </c>
      <c r="W130" s="1"/>
      <c r="X130" s="1">
        <f t="shared" si="71"/>
        <v>-323.01</v>
      </c>
      <c r="Y130" s="1"/>
      <c r="Z130" s="5">
        <f t="shared" si="72"/>
        <v>0</v>
      </c>
    </row>
    <row r="131" spans="1:26" s="24" customFormat="1" hidden="1" outlineLevel="2" x14ac:dyDescent="0.25">
      <c r="A131" s="26"/>
      <c r="B131" s="11" t="str">
        <f>CONCATENATE("          ", "6292", " - ", "TRAVEL/CONFERENCE")</f>
        <v xml:space="preserve">          6292 - TRAVEL/CONFERENCE</v>
      </c>
      <c r="C131" s="11"/>
      <c r="D131" s="6">
        <v>-323.01</v>
      </c>
      <c r="E131" s="2"/>
      <c r="F131" s="7">
        <f t="shared" si="65"/>
        <v>-7.3085055473912502E-3</v>
      </c>
      <c r="G131" s="2"/>
      <c r="H131" s="6"/>
      <c r="I131" s="2"/>
      <c r="J131" s="7">
        <f t="shared" si="66"/>
        <v>0</v>
      </c>
      <c r="K131" s="2"/>
      <c r="L131" s="6">
        <f t="shared" si="67"/>
        <v>-323.01</v>
      </c>
      <c r="M131" s="2"/>
      <c r="N131" s="7">
        <f t="shared" si="68"/>
        <v>0</v>
      </c>
      <c r="O131" s="11"/>
      <c r="P131" s="6">
        <v>-323.01</v>
      </c>
      <c r="Q131" s="2"/>
      <c r="R131" s="7">
        <f t="shared" si="69"/>
        <v>-6.2601589980768708E-4</v>
      </c>
      <c r="S131" s="2"/>
      <c r="T131" s="6"/>
      <c r="U131" s="2"/>
      <c r="V131" s="7">
        <f t="shared" si="70"/>
        <v>0</v>
      </c>
      <c r="W131" s="2"/>
      <c r="X131" s="6">
        <f t="shared" si="71"/>
        <v>-323.01</v>
      </c>
      <c r="Y131" s="2"/>
      <c r="Z131" s="7">
        <f t="shared" si="72"/>
        <v>0</v>
      </c>
    </row>
    <row r="132" spans="1:26" s="61" customFormat="1" x14ac:dyDescent="0.25">
      <c r="A132" s="37"/>
      <c r="B132" s="37"/>
      <c r="C132" s="37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7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collapsed="1" x14ac:dyDescent="0.25">
      <c r="A133" s="10"/>
      <c r="B133" s="28" t="s">
        <v>0</v>
      </c>
      <c r="C133" s="10"/>
      <c r="D133" s="4">
        <f>SUM(OSRRefD25x_0)</f>
        <v>68.760000000000005</v>
      </c>
      <c r="E133" s="4"/>
      <c r="F133" s="12">
        <f t="shared" ref="F133:F134" si="73">IF(D$12=0,0,D133/D$12)</f>
        <v>1.5557810638637268E-3</v>
      </c>
      <c r="G133" s="4"/>
      <c r="H133" s="4">
        <f>SUM(OSRRefH25x_0)</f>
        <v>0</v>
      </c>
      <c r="I133" s="4"/>
      <c r="J133" s="12">
        <f t="shared" ref="J133:J134" si="74">IF(H$12=0,0,H133/H$12)</f>
        <v>0</v>
      </c>
      <c r="K133" s="4"/>
      <c r="L133" s="4">
        <f t="shared" ref="L133:L134" si="75">+D133-H133</f>
        <v>68.760000000000005</v>
      </c>
      <c r="M133" s="4"/>
      <c r="N133" s="12">
        <f t="shared" ref="N133:N134" si="76">IF(H133=0,0,L133/H133)</f>
        <v>0</v>
      </c>
      <c r="O133" s="10"/>
      <c r="P133" s="4">
        <f>SUM(OSRRefP25x_0)</f>
        <v>68.760000000000005</v>
      </c>
      <c r="Q133" s="4"/>
      <c r="R133" s="12">
        <f t="shared" ref="R133:R134" si="77">IF(P$12=0,0,P133/P$12)</f>
        <v>1.3326167385151099E-4</v>
      </c>
      <c r="S133" s="4"/>
      <c r="T133" s="4">
        <f>SUM(OSRRefT25x_0)</f>
        <v>0</v>
      </c>
      <c r="U133" s="4"/>
      <c r="V133" s="12">
        <f t="shared" ref="V133:V134" si="78">IF(T$12=0,0,T133/T$12)</f>
        <v>0</v>
      </c>
      <c r="W133" s="4"/>
      <c r="X133" s="4">
        <f t="shared" ref="X133:X134" si="79">+P133-T133</f>
        <v>68.760000000000005</v>
      </c>
      <c r="Y133" s="4"/>
      <c r="Z133" s="12">
        <f t="shared" ref="Z133:Z134" si="80">IF(T133=0,0,X133/T133)</f>
        <v>0</v>
      </c>
    </row>
    <row r="134" spans="1:26" s="24" customFormat="1" hidden="1" outlineLevel="1" x14ac:dyDescent="0.25">
      <c r="A134" s="44"/>
      <c r="B134" s="11" t="str">
        <f>CONCATENATE("          ", "9150", " - ", "MISC. INCOME")</f>
        <v xml:space="preserve">          9150 - MISC. INCOME</v>
      </c>
      <c r="C134" s="11"/>
      <c r="D134" s="2">
        <f>--68.76</f>
        <v>68.760000000000005</v>
      </c>
      <c r="E134" s="2"/>
      <c r="F134" s="19">
        <f t="shared" si="73"/>
        <v>1.5557810638637268E-3</v>
      </c>
      <c r="G134" s="2"/>
      <c r="H134" s="2">
        <f>0</f>
        <v>0</v>
      </c>
      <c r="I134" s="2"/>
      <c r="J134" s="19">
        <f t="shared" si="74"/>
        <v>0</v>
      </c>
      <c r="K134" s="2"/>
      <c r="L134" s="2">
        <f t="shared" si="75"/>
        <v>68.760000000000005</v>
      </c>
      <c r="M134" s="2"/>
      <c r="N134" s="19">
        <f t="shared" si="76"/>
        <v>0</v>
      </c>
      <c r="O134" s="11"/>
      <c r="P134" s="2">
        <f>--68.76</f>
        <v>68.760000000000005</v>
      </c>
      <c r="Q134" s="2"/>
      <c r="R134" s="19">
        <f t="shared" si="77"/>
        <v>1.3326167385151099E-4</v>
      </c>
      <c r="S134" s="2"/>
      <c r="T134" s="2">
        <f>0</f>
        <v>0</v>
      </c>
      <c r="U134" s="2"/>
      <c r="V134" s="19">
        <f t="shared" si="78"/>
        <v>0</v>
      </c>
      <c r="W134" s="2"/>
      <c r="X134" s="2">
        <f t="shared" si="79"/>
        <v>68.760000000000005</v>
      </c>
      <c r="Y134" s="2"/>
      <c r="Z134" s="19">
        <f t="shared" si="80"/>
        <v>0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10"/>
      <c r="B136" s="29" t="s">
        <v>3</v>
      </c>
      <c r="C136" s="29"/>
      <c r="D136" s="20">
        <f>+D77-D79+D133</f>
        <v>3217.5499999999975</v>
      </c>
      <c r="E136" s="14"/>
      <c r="F136" s="21">
        <f>IF(D$12=0,0,D136/D$12)</f>
        <v>7.280109601563016E-2</v>
      </c>
      <c r="G136" s="14"/>
      <c r="H136" s="20">
        <f>+H77-H79+H133</f>
        <v>5363.2199999999866</v>
      </c>
      <c r="I136" s="14"/>
      <c r="J136" s="21">
        <f>IF(H$12=0,0,H136/H$12)</f>
        <v>0.11028542663471928</v>
      </c>
      <c r="K136" s="15"/>
      <c r="L136" s="20">
        <f>+D136-H136</f>
        <v>-2145.6699999999892</v>
      </c>
      <c r="M136" s="15"/>
      <c r="N136" s="21">
        <f>IF(H136=0,0,L136/H136)</f>
        <v>-0.40007122586804095</v>
      </c>
      <c r="O136" s="28"/>
      <c r="P136" s="20">
        <f>+P77-P79+P133</f>
        <v>129204.2000000001</v>
      </c>
      <c r="Q136" s="14"/>
      <c r="R136" s="21">
        <f>IF(P$12=0,0,P136/P$12)</f>
        <v>0.25040674753701875</v>
      </c>
      <c r="S136" s="14"/>
      <c r="T136" s="20">
        <f>+T77-T79+T133</f>
        <v>124000.84999999996</v>
      </c>
      <c r="U136" s="14"/>
      <c r="V136" s="21">
        <f>IF(T$12=0,0,T136/T$12)</f>
        <v>0.24484307256125476</v>
      </c>
      <c r="W136" s="15"/>
      <c r="X136" s="20">
        <f>+P136-T136</f>
        <v>5203.3500000001368</v>
      </c>
      <c r="Y136" s="15"/>
      <c r="Z136" s="21">
        <f>IF(T136=0,0,X136/T136)</f>
        <v>4.1962212355803517E-2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51"/>
      <c r="B138" s="10" t="s">
        <v>13</v>
      </c>
      <c r="C138" s="10"/>
      <c r="D138" s="4">
        <v>5771.12</v>
      </c>
      <c r="E138" s="4"/>
      <c r="F138" s="12">
        <f>IF(D$12=0,0,D138/D$12)</f>
        <v>0.13057881345673691</v>
      </c>
      <c r="G138" s="4"/>
      <c r="H138" s="4">
        <v>6480.75</v>
      </c>
      <c r="I138" s="4"/>
      <c r="J138" s="12">
        <f>IF(H$12=0,0,H138/H$12)</f>
        <v>0.13326551561617067</v>
      </c>
      <c r="K138" s="4"/>
      <c r="L138" s="4">
        <f>+D138-H138</f>
        <v>-709.63000000000011</v>
      </c>
      <c r="M138" s="4"/>
      <c r="N138" s="12">
        <f>IF(H138=0,0,L138/H138)</f>
        <v>-0.109498129074567</v>
      </c>
      <c r="O138" s="10"/>
      <c r="P138" s="4">
        <v>55729.52</v>
      </c>
      <c r="Q138" s="4"/>
      <c r="R138" s="12">
        <f>IF(P$12=0,0,P138/P$12)</f>
        <v>0.10800769514457909</v>
      </c>
      <c r="S138" s="4"/>
      <c r="T138" s="4">
        <v>54653.66</v>
      </c>
      <c r="U138" s="4"/>
      <c r="V138" s="12">
        <f>IF(T$12=0,0,T138/T$12)</f>
        <v>0.10791514768744045</v>
      </c>
      <c r="W138" s="4"/>
      <c r="X138" s="4">
        <f>+P138-T138</f>
        <v>1075.8599999999933</v>
      </c>
      <c r="Y138" s="4"/>
      <c r="Z138" s="12">
        <f>IF(T138=0,0,X138/T138)</f>
        <v>1.9685049455059243E-2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9" t="s">
        <v>4</v>
      </c>
      <c r="C140" s="29"/>
      <c r="D140" s="32">
        <f>+D136-D138</f>
        <v>-2553.5700000000024</v>
      </c>
      <c r="E140" s="14"/>
      <c r="F140" s="30">
        <f>IF(D$12=0,0,D140/D$12)</f>
        <v>-5.7777717441106755E-2</v>
      </c>
      <c r="G140" s="14"/>
      <c r="H140" s="32">
        <f>+H136-H138</f>
        <v>-1117.5300000000134</v>
      </c>
      <c r="I140" s="14"/>
      <c r="J140" s="30">
        <f>IF(H$12=0,0,H140/H$12)</f>
        <v>-2.2980088981451371E-2</v>
      </c>
      <c r="K140" s="15"/>
      <c r="L140" s="32">
        <f>D140-H140</f>
        <v>-1436.039999999989</v>
      </c>
      <c r="M140" s="15"/>
      <c r="N140" s="30">
        <f>IF(H140=0,0,L140/H140)</f>
        <v>1.2850124828863403</v>
      </c>
      <c r="O140" s="28"/>
      <c r="P140" s="32">
        <f>+P136-P138</f>
        <v>73474.680000000109</v>
      </c>
      <c r="Q140" s="14"/>
      <c r="R140" s="30">
        <f>IF(P$12=0,0,P140/P$12)</f>
        <v>0.14239905239243966</v>
      </c>
      <c r="S140" s="14"/>
      <c r="T140" s="32">
        <f>+T136-T138</f>
        <v>69347.189999999959</v>
      </c>
      <c r="U140" s="14"/>
      <c r="V140" s="30">
        <f>IF(T$12=0,0,T140/T$12)</f>
        <v>0.13692792487381431</v>
      </c>
      <c r="W140" s="15"/>
      <c r="X140" s="32">
        <f>P140-T140</f>
        <v>4127.4900000001508</v>
      </c>
      <c r="Y140" s="15"/>
      <c r="Z140" s="30">
        <f>IF(T140=0,0,X140/T140)</f>
        <v>5.951921051163217E-2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9" t="s">
        <v>5</v>
      </c>
      <c r="C143" s="29"/>
      <c r="D143" s="36">
        <f>SUM(D140:D142)</f>
        <v>-2553.5700000000024</v>
      </c>
      <c r="E143" s="14"/>
      <c r="F143" s="31">
        <f>IF(D$12=0,0,D143/D$12)</f>
        <v>-5.7777717441106755E-2</v>
      </c>
      <c r="G143" s="14"/>
      <c r="H143" s="36">
        <f>SUM(H140:H142)</f>
        <v>-1117.5300000000134</v>
      </c>
      <c r="I143" s="14"/>
      <c r="J143" s="31">
        <f>IF(H$12=0,0,H143/H$12)</f>
        <v>-2.2980088981451371E-2</v>
      </c>
      <c r="K143" s="15"/>
      <c r="L143" s="36">
        <f>+D143-H143</f>
        <v>-1436.039999999989</v>
      </c>
      <c r="M143" s="15"/>
      <c r="N143" s="31">
        <f>IF(H143=0,0,L143/H143)</f>
        <v>1.2850124828863403</v>
      </c>
      <c r="O143" s="28"/>
      <c r="P143" s="36">
        <f>SUM(P140:P142)</f>
        <v>73474.680000000109</v>
      </c>
      <c r="Q143" s="14"/>
      <c r="R143" s="31">
        <f>IF(P$12=0,0,P143/P$12)</f>
        <v>0.14239905239243966</v>
      </c>
      <c r="S143" s="14"/>
      <c r="T143" s="36">
        <f>SUM(T140:T142)</f>
        <v>69347.189999999959</v>
      </c>
      <c r="U143" s="14"/>
      <c r="V143" s="31">
        <f>IF(T$12=0,0,T143/T$12)</f>
        <v>0.13692792487381431</v>
      </c>
      <c r="W143" s="15"/>
      <c r="X143" s="36">
        <f>+P143-T143</f>
        <v>4127.4900000001508</v>
      </c>
      <c r="Y143" s="15"/>
      <c r="Z143" s="31">
        <f>IF(T143=0,0,X143/T143)</f>
        <v>5.951921051163217E-2</v>
      </c>
    </row>
    <row r="144" spans="1:26" ht="15.75" thickTop="1" x14ac:dyDescent="0.25">
      <c r="A144" s="9"/>
      <c r="C144" s="9"/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  <row r="145" spans="1:24" x14ac:dyDescent="0.25">
      <c r="A145" s="9"/>
      <c r="B145" s="62">
        <v>43847.453219675925</v>
      </c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A146" s="9"/>
      <c r="B146" s="56" t="s">
        <v>313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25">
      <c r="A147" s="9"/>
      <c r="B147" s="54"/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25"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","307", " - ", "Art Store")</f>
        <v>Department 307 - Art 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21723.599999999991</v>
      </c>
      <c r="E12" s="4"/>
      <c r="F12" s="12"/>
      <c r="G12" s="4"/>
      <c r="H12" s="4">
        <f>SUM(OSRRefH13x_0)</f>
        <v>28573.629999999997</v>
      </c>
      <c r="I12" s="4"/>
      <c r="J12" s="12"/>
      <c r="K12" s="4"/>
      <c r="L12" s="4">
        <f t="shared" ref="L12:L46" si="0">+D12-H12</f>
        <v>-6850.0300000000061</v>
      </c>
      <c r="M12" s="4"/>
      <c r="N12" s="12">
        <f t="shared" ref="N12:N46" si="1">IF(H12=0,0,L12/H12)</f>
        <v>-0.23973257860481872</v>
      </c>
      <c r="O12" s="10"/>
      <c r="P12" s="4">
        <f>SUM(OSRRefP13x_0)</f>
        <v>268844.10000000009</v>
      </c>
      <c r="Q12" s="4"/>
      <c r="R12" s="12"/>
      <c r="S12" s="4"/>
      <c r="T12" s="4">
        <f>SUM(OSRRefT13x_0)</f>
        <v>266428.9599999999</v>
      </c>
      <c r="U12" s="4"/>
      <c r="V12" s="12"/>
      <c r="W12" s="4"/>
      <c r="X12" s="4">
        <f t="shared" ref="X12:X46" si="2">+P12-T12</f>
        <v>2415.1400000001886</v>
      </c>
      <c r="Y12" s="4"/>
      <c r="Z12" s="12">
        <f t="shared" ref="Z12:Z46" si="3">IF(T12=0,0,X12/T12)</f>
        <v>9.0648554121150696E-3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10.98</v>
      </c>
      <c r="M14" s="2"/>
      <c r="N14" s="19">
        <f t="shared" si="1"/>
        <v>0</v>
      </c>
      <c r="O14" s="11"/>
      <c r="P14" s="2">
        <f>--32.94</f>
        <v>32.94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32.94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--39.9</f>
        <v>39.9</v>
      </c>
      <c r="U15" s="2"/>
      <c r="V15" s="19"/>
      <c r="W15" s="2"/>
      <c r="X15" s="2">
        <f t="shared" si="2"/>
        <v>-39.9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--295.84</f>
        <v>295.83999999999997</v>
      </c>
      <c r="E16" s="2"/>
      <c r="F16" s="19"/>
      <c r="G16" s="2"/>
      <c r="H16" s="2">
        <f>--485.28</f>
        <v>485.28</v>
      </c>
      <c r="I16" s="2"/>
      <c r="J16" s="19"/>
      <c r="K16" s="2"/>
      <c r="L16" s="2">
        <f t="shared" si="0"/>
        <v>-189.44</v>
      </c>
      <c r="M16" s="2"/>
      <c r="N16" s="19">
        <f t="shared" si="1"/>
        <v>-0.39037256841411144</v>
      </c>
      <c r="O16" s="11"/>
      <c r="P16" s="2">
        <f>--1605.01</f>
        <v>1605.01</v>
      </c>
      <c r="Q16" s="2"/>
      <c r="R16" s="19"/>
      <c r="S16" s="2"/>
      <c r="T16" s="2">
        <f>--1366.81</f>
        <v>1366.81</v>
      </c>
      <c r="U16" s="2"/>
      <c r="V16" s="19"/>
      <c r="W16" s="2"/>
      <c r="X16" s="2">
        <f t="shared" si="2"/>
        <v>238.20000000000005</v>
      </c>
      <c r="Y16" s="2"/>
      <c r="Z16" s="19">
        <f t="shared" si="3"/>
        <v>0.17427440536724201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--481.51</f>
        <v>481.51</v>
      </c>
      <c r="E17" s="2"/>
      <c r="F17" s="19"/>
      <c r="G17" s="2"/>
      <c r="H17" s="2">
        <f>--325.43</f>
        <v>325.43</v>
      </c>
      <c r="I17" s="2"/>
      <c r="J17" s="19"/>
      <c r="K17" s="2"/>
      <c r="L17" s="2">
        <f t="shared" si="0"/>
        <v>156.07999999999998</v>
      </c>
      <c r="M17" s="2"/>
      <c r="N17" s="19">
        <f t="shared" si="1"/>
        <v>0.4796115908183019</v>
      </c>
      <c r="O17" s="11"/>
      <c r="P17" s="2">
        <f>--3957.54</f>
        <v>3957.54</v>
      </c>
      <c r="Q17" s="2"/>
      <c r="R17" s="19"/>
      <c r="S17" s="2"/>
      <c r="T17" s="2">
        <f>--3458.49</f>
        <v>3458.49</v>
      </c>
      <c r="U17" s="2"/>
      <c r="V17" s="19"/>
      <c r="W17" s="2"/>
      <c r="X17" s="2">
        <f t="shared" si="2"/>
        <v>499.05000000000018</v>
      </c>
      <c r="Y17" s="2"/>
      <c r="Z17" s="19">
        <f t="shared" si="3"/>
        <v>0.14429707762636301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--251.38</f>
        <v>251.38</v>
      </c>
      <c r="E18" s="2"/>
      <c r="F18" s="19"/>
      <c r="G18" s="2"/>
      <c r="H18" s="2">
        <f>--305.91</f>
        <v>305.91000000000003</v>
      </c>
      <c r="I18" s="2"/>
      <c r="J18" s="19"/>
      <c r="K18" s="2"/>
      <c r="L18" s="2">
        <f t="shared" si="0"/>
        <v>-54.53000000000003</v>
      </c>
      <c r="M18" s="2"/>
      <c r="N18" s="19">
        <f t="shared" si="1"/>
        <v>-0.1782550423327123</v>
      </c>
      <c r="O18" s="11"/>
      <c r="P18" s="2">
        <f>--5815.92</f>
        <v>5815.92</v>
      </c>
      <c r="Q18" s="2"/>
      <c r="R18" s="19"/>
      <c r="S18" s="2"/>
      <c r="T18" s="2">
        <f>--3389.32</f>
        <v>3389.32</v>
      </c>
      <c r="U18" s="2"/>
      <c r="V18" s="19"/>
      <c r="W18" s="2"/>
      <c r="X18" s="2">
        <f t="shared" si="2"/>
        <v>2426.6</v>
      </c>
      <c r="Y18" s="2"/>
      <c r="Z18" s="19">
        <f t="shared" si="3"/>
        <v>0.71595482279631306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--12683.13</f>
        <v>12683.13</v>
      </c>
      <c r="E19" s="2"/>
      <c r="F19" s="19"/>
      <c r="G19" s="2"/>
      <c r="H19" s="2">
        <f>--17247.13</f>
        <v>17247.13</v>
      </c>
      <c r="I19" s="2"/>
      <c r="J19" s="19"/>
      <c r="K19" s="2"/>
      <c r="L19" s="2">
        <f t="shared" si="0"/>
        <v>-4564.0000000000018</v>
      </c>
      <c r="M19" s="2"/>
      <c r="N19" s="19">
        <f t="shared" si="1"/>
        <v>-0.26462373739862816</v>
      </c>
      <c r="O19" s="11"/>
      <c r="P19" s="2">
        <f>--181951.06</f>
        <v>181951.06</v>
      </c>
      <c r="Q19" s="2"/>
      <c r="R19" s="19"/>
      <c r="S19" s="2"/>
      <c r="T19" s="2">
        <f>--187445.88</f>
        <v>187445.88</v>
      </c>
      <c r="U19" s="2"/>
      <c r="V19" s="19"/>
      <c r="W19" s="2"/>
      <c r="X19" s="2">
        <f t="shared" si="2"/>
        <v>-5494.820000000007</v>
      </c>
      <c r="Y19" s="2"/>
      <c r="Z19" s="19">
        <f t="shared" si="3"/>
        <v>-2.9314167908091694E-2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--26.89</f>
        <v>26.89</v>
      </c>
      <c r="E20" s="2"/>
      <c r="F20" s="19"/>
      <c r="G20" s="2"/>
      <c r="H20" s="2">
        <f>--35.23</f>
        <v>35.229999999999997</v>
      </c>
      <c r="I20" s="2"/>
      <c r="J20" s="19"/>
      <c r="K20" s="2"/>
      <c r="L20" s="2">
        <f t="shared" si="0"/>
        <v>-8.3399999999999963</v>
      </c>
      <c r="M20" s="2"/>
      <c r="N20" s="19">
        <f t="shared" si="1"/>
        <v>-0.2367300596082883</v>
      </c>
      <c r="O20" s="11"/>
      <c r="P20" s="2">
        <f>--306.94</f>
        <v>306.94</v>
      </c>
      <c r="Q20" s="2"/>
      <c r="R20" s="19"/>
      <c r="S20" s="2"/>
      <c r="T20" s="2">
        <f>--323.52</f>
        <v>323.52</v>
      </c>
      <c r="U20" s="2"/>
      <c r="V20" s="19"/>
      <c r="W20" s="2"/>
      <c r="X20" s="2">
        <f t="shared" si="2"/>
        <v>-16.579999999999984</v>
      </c>
      <c r="Y20" s="2"/>
      <c r="Z20" s="19">
        <f t="shared" si="3"/>
        <v>-5.1248763600395604E-2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--203.26</f>
        <v>203.26</v>
      </c>
      <c r="E21" s="2"/>
      <c r="F21" s="19"/>
      <c r="G21" s="2"/>
      <c r="H21" s="2">
        <f>--27.67</f>
        <v>27.67</v>
      </c>
      <c r="I21" s="2"/>
      <c r="J21" s="19"/>
      <c r="K21" s="2"/>
      <c r="L21" s="2">
        <f t="shared" si="0"/>
        <v>175.58999999999997</v>
      </c>
      <c r="M21" s="2"/>
      <c r="N21" s="19">
        <f t="shared" si="1"/>
        <v>6.3458619443440538</v>
      </c>
      <c r="O21" s="11"/>
      <c r="P21" s="2">
        <f>--866.34</f>
        <v>866.34</v>
      </c>
      <c r="Q21" s="2"/>
      <c r="R21" s="19"/>
      <c r="S21" s="2"/>
      <c r="T21" s="2">
        <f>--243.61</f>
        <v>243.61</v>
      </c>
      <c r="U21" s="2"/>
      <c r="V21" s="19"/>
      <c r="W21" s="2"/>
      <c r="X21" s="2">
        <f t="shared" si="2"/>
        <v>622.73</v>
      </c>
      <c r="Y21" s="2"/>
      <c r="Z21" s="19">
        <f t="shared" si="3"/>
        <v>2.5562579532859897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--22.41</f>
        <v>22.41</v>
      </c>
      <c r="E22" s="2"/>
      <c r="F22" s="19"/>
      <c r="G22" s="2"/>
      <c r="H22" s="2">
        <f>--20.19</f>
        <v>20.190000000000001</v>
      </c>
      <c r="I22" s="2"/>
      <c r="J22" s="19"/>
      <c r="K22" s="2"/>
      <c r="L22" s="2">
        <f t="shared" si="0"/>
        <v>2.2199999999999989</v>
      </c>
      <c r="M22" s="2"/>
      <c r="N22" s="19">
        <f t="shared" si="1"/>
        <v>0.10995542347696874</v>
      </c>
      <c r="O22" s="11"/>
      <c r="P22" s="2">
        <f>--131.02</f>
        <v>131.02000000000001</v>
      </c>
      <c r="Q22" s="2"/>
      <c r="R22" s="19"/>
      <c r="S22" s="2"/>
      <c r="T22" s="2">
        <f>--112.45</f>
        <v>112.45</v>
      </c>
      <c r="U22" s="2"/>
      <c r="V22" s="19"/>
      <c r="W22" s="2"/>
      <c r="X22" s="2">
        <f t="shared" si="2"/>
        <v>18.570000000000007</v>
      </c>
      <c r="Y22" s="2"/>
      <c r="Z22" s="19">
        <f t="shared" si="3"/>
        <v>0.16514006224988889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--547.26</f>
        <v>547.26</v>
      </c>
      <c r="E23" s="2"/>
      <c r="F23" s="19"/>
      <c r="G23" s="2"/>
      <c r="H23" s="2">
        <f>--660.99</f>
        <v>660.99</v>
      </c>
      <c r="I23" s="2"/>
      <c r="J23" s="19"/>
      <c r="K23" s="2"/>
      <c r="L23" s="2">
        <f t="shared" si="0"/>
        <v>-113.73000000000002</v>
      </c>
      <c r="M23" s="2"/>
      <c r="N23" s="19">
        <f t="shared" si="1"/>
        <v>-0.17206009168066086</v>
      </c>
      <c r="O23" s="11"/>
      <c r="P23" s="2">
        <f>--5271.51</f>
        <v>5271.51</v>
      </c>
      <c r="Q23" s="2"/>
      <c r="R23" s="19"/>
      <c r="S23" s="2"/>
      <c r="T23" s="2">
        <f>--4358.93</f>
        <v>4358.93</v>
      </c>
      <c r="U23" s="2"/>
      <c r="V23" s="19"/>
      <c r="W23" s="2"/>
      <c r="X23" s="2">
        <f t="shared" si="2"/>
        <v>912.57999999999993</v>
      </c>
      <c r="Y23" s="2"/>
      <c r="Z23" s="19">
        <f t="shared" si="3"/>
        <v>0.20935871876813802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--133.49</f>
        <v>133.49</v>
      </c>
      <c r="E24" s="2"/>
      <c r="F24" s="19"/>
      <c r="G24" s="2"/>
      <c r="H24" s="2">
        <f>--163.03</f>
        <v>163.03</v>
      </c>
      <c r="I24" s="2"/>
      <c r="J24" s="19"/>
      <c r="K24" s="2"/>
      <c r="L24" s="2">
        <f t="shared" si="0"/>
        <v>-29.539999999999992</v>
      </c>
      <c r="M24" s="2"/>
      <c r="N24" s="19">
        <f t="shared" si="1"/>
        <v>-0.18119364534134816</v>
      </c>
      <c r="O24" s="11"/>
      <c r="P24" s="2">
        <f>--1250.89</f>
        <v>1250.8900000000001</v>
      </c>
      <c r="Q24" s="2"/>
      <c r="R24" s="19"/>
      <c r="S24" s="2"/>
      <c r="T24" s="2">
        <f>--1244.13</f>
        <v>1244.1300000000001</v>
      </c>
      <c r="U24" s="2"/>
      <c r="V24" s="19"/>
      <c r="W24" s="2"/>
      <c r="X24" s="2">
        <f t="shared" si="2"/>
        <v>6.7599999999999909</v>
      </c>
      <c r="Y24" s="2"/>
      <c r="Z24" s="19">
        <f t="shared" si="3"/>
        <v>5.4335157901505395E-3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--19.09</f>
        <v>19.09</v>
      </c>
      <c r="E25" s="2"/>
      <c r="F25" s="19"/>
      <c r="G25" s="2"/>
      <c r="H25" s="2">
        <f>--35.98</f>
        <v>35.979999999999997</v>
      </c>
      <c r="I25" s="2"/>
      <c r="J25" s="19"/>
      <c r="K25" s="2"/>
      <c r="L25" s="2">
        <f t="shared" si="0"/>
        <v>-16.889999999999997</v>
      </c>
      <c r="M25" s="2"/>
      <c r="N25" s="19">
        <f t="shared" si="1"/>
        <v>-0.46942745969983318</v>
      </c>
      <c r="O25" s="11"/>
      <c r="P25" s="2">
        <f>--396.26</f>
        <v>396.26</v>
      </c>
      <c r="Q25" s="2"/>
      <c r="R25" s="19"/>
      <c r="S25" s="2"/>
      <c r="T25" s="2">
        <f>--417.83</f>
        <v>417.83</v>
      </c>
      <c r="U25" s="2"/>
      <c r="V25" s="19"/>
      <c r="W25" s="2"/>
      <c r="X25" s="2">
        <f t="shared" si="2"/>
        <v>-21.569999999999993</v>
      </c>
      <c r="Y25" s="2"/>
      <c r="Z25" s="19">
        <f t="shared" si="3"/>
        <v>-5.1623866165665451E-2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>0</f>
        <v>0</v>
      </c>
      <c r="E26" s="2"/>
      <c r="F26" s="19"/>
      <c r="G26" s="2"/>
      <c r="H26" s="2">
        <f>--49.9</f>
        <v>49.9</v>
      </c>
      <c r="I26" s="2"/>
      <c r="J26" s="19"/>
      <c r="K26" s="2"/>
      <c r="L26" s="2">
        <f t="shared" si="0"/>
        <v>-49.9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--554.23</f>
        <v>554.23</v>
      </c>
      <c r="U26" s="2"/>
      <c r="V26" s="19"/>
      <c r="W26" s="2"/>
      <c r="X26" s="2">
        <f t="shared" si="2"/>
        <v>-554.23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"4081", " - ", "TAXABLE SALES-ELECTRONICS")</f>
        <v xml:space="preserve">          4081 - TAXABLE SALES-ELECTRONICS</v>
      </c>
      <c r="C27" s="11"/>
      <c r="D27" s="2">
        <f>--310.76</f>
        <v>310.76</v>
      </c>
      <c r="E27" s="2"/>
      <c r="F27" s="19"/>
      <c r="G27" s="2"/>
      <c r="H27" s="2">
        <f>--286.76</f>
        <v>286.76</v>
      </c>
      <c r="I27" s="2"/>
      <c r="J27" s="19"/>
      <c r="K27" s="2"/>
      <c r="L27" s="2">
        <f t="shared" si="0"/>
        <v>24</v>
      </c>
      <c r="M27" s="2"/>
      <c r="N27" s="19">
        <f t="shared" si="1"/>
        <v>8.3693681127074912E-2</v>
      </c>
      <c r="O27" s="11"/>
      <c r="P27" s="2">
        <f>--2534.43</f>
        <v>2534.4299999999998</v>
      </c>
      <c r="Q27" s="2"/>
      <c r="R27" s="19"/>
      <c r="S27" s="2"/>
      <c r="T27" s="2">
        <f>--2868.9</f>
        <v>2868.9</v>
      </c>
      <c r="U27" s="2"/>
      <c r="V27" s="19"/>
      <c r="W27" s="2"/>
      <c r="X27" s="2">
        <f t="shared" si="2"/>
        <v>-334.47000000000025</v>
      </c>
      <c r="Y27" s="2"/>
      <c r="Z27" s="19">
        <f t="shared" si="3"/>
        <v>-0.1165847537383667</v>
      </c>
    </row>
    <row r="28" spans="1:26" s="24" customFormat="1" hidden="1" outlineLevel="1" x14ac:dyDescent="0.25">
      <c r="A28" s="44"/>
      <c r="B28" s="11" t="str">
        <f>CONCATENATE("          ", "4082", " - ", "TAXABLE SALES-COMPUTER HARDWAR")</f>
        <v xml:space="preserve">          4082 - TAXABLE SALES-COMPUTER HARDWAR</v>
      </c>
      <c r="C28" s="11"/>
      <c r="D28" s="2">
        <f>--19</f>
        <v>19</v>
      </c>
      <c r="E28" s="2"/>
      <c r="F28" s="19"/>
      <c r="G28" s="2"/>
      <c r="H28" s="2">
        <f>--183</f>
        <v>183</v>
      </c>
      <c r="I28" s="2"/>
      <c r="J28" s="19"/>
      <c r="K28" s="2"/>
      <c r="L28" s="2">
        <f t="shared" si="0"/>
        <v>-164</v>
      </c>
      <c r="M28" s="2"/>
      <c r="N28" s="19">
        <f t="shared" si="1"/>
        <v>-0.89617486338797814</v>
      </c>
      <c r="O28" s="11"/>
      <c r="P28" s="2">
        <f>--181</f>
        <v>181</v>
      </c>
      <c r="Q28" s="2"/>
      <c r="R28" s="19"/>
      <c r="S28" s="2"/>
      <c r="T28" s="2">
        <f>--549</f>
        <v>549</v>
      </c>
      <c r="U28" s="2"/>
      <c r="V28" s="19"/>
      <c r="W28" s="2"/>
      <c r="X28" s="2">
        <f t="shared" si="2"/>
        <v>-368</v>
      </c>
      <c r="Y28" s="2"/>
      <c r="Z28" s="19">
        <f t="shared" si="3"/>
        <v>-0.67030965391621133</v>
      </c>
    </row>
    <row r="29" spans="1:26" s="24" customFormat="1" hidden="1" outlineLevel="1" x14ac:dyDescent="0.25">
      <c r="A29" s="44"/>
      <c r="B29" s="11" t="str">
        <f>CONCATENATE("          ", "4083", " - ", "TAXABLE SALES-COMPUTER EQUIPME")</f>
        <v xml:space="preserve">          4083 - TAXABLE SALES-COMPUTER EQUIPME</v>
      </c>
      <c r="C29" s="11"/>
      <c r="D29" s="2">
        <f>--129.88</f>
        <v>129.88</v>
      </c>
      <c r="E29" s="2"/>
      <c r="F29" s="19"/>
      <c r="G29" s="2"/>
      <c r="H29" s="2">
        <f>--154.89</f>
        <v>154.88999999999999</v>
      </c>
      <c r="I29" s="2"/>
      <c r="J29" s="19"/>
      <c r="K29" s="2"/>
      <c r="L29" s="2">
        <f t="shared" si="0"/>
        <v>-25.009999999999991</v>
      </c>
      <c r="M29" s="2"/>
      <c r="N29" s="19">
        <f t="shared" si="1"/>
        <v>-0.16146942991800628</v>
      </c>
      <c r="O29" s="11"/>
      <c r="P29" s="2">
        <f>--699.48</f>
        <v>699.48</v>
      </c>
      <c r="Q29" s="2"/>
      <c r="R29" s="19"/>
      <c r="S29" s="2"/>
      <c r="T29" s="2">
        <f>--844.33</f>
        <v>844.33</v>
      </c>
      <c r="U29" s="2"/>
      <c r="V29" s="19"/>
      <c r="W29" s="2"/>
      <c r="X29" s="2">
        <f t="shared" si="2"/>
        <v>-144.85000000000002</v>
      </c>
      <c r="Y29" s="2"/>
      <c r="Z29" s="19">
        <f t="shared" si="3"/>
        <v>-0.1715561451091398</v>
      </c>
    </row>
    <row r="30" spans="1:26" s="24" customFormat="1" hidden="1" outlineLevel="1" x14ac:dyDescent="0.25">
      <c r="A30" s="44"/>
      <c r="B30" s="11" t="str">
        <f>CONCATENATE("          ", "4086", " - ", "TAXABLE SALES-COMPUTER SUPPLIE")</f>
        <v xml:space="preserve">          4086 - TAXABLE SALES-COMPUTER SUPPLIE</v>
      </c>
      <c r="C30" s="11"/>
      <c r="D30" s="2">
        <f>--58.98</f>
        <v>58.98</v>
      </c>
      <c r="E30" s="2"/>
      <c r="F30" s="19"/>
      <c r="G30" s="2"/>
      <c r="H30" s="2">
        <f>--177.92</f>
        <v>177.92</v>
      </c>
      <c r="I30" s="2"/>
      <c r="J30" s="19"/>
      <c r="K30" s="2"/>
      <c r="L30" s="2">
        <f t="shared" si="0"/>
        <v>-118.94</v>
      </c>
      <c r="M30" s="2"/>
      <c r="N30" s="19">
        <f t="shared" si="1"/>
        <v>-0.66850269784172667</v>
      </c>
      <c r="O30" s="11"/>
      <c r="P30" s="2">
        <f>--698.77</f>
        <v>698.77</v>
      </c>
      <c r="Q30" s="2"/>
      <c r="R30" s="19"/>
      <c r="S30" s="2"/>
      <c r="T30" s="2">
        <f>--1273.32</f>
        <v>1273.32</v>
      </c>
      <c r="U30" s="2"/>
      <c r="V30" s="19"/>
      <c r="W30" s="2"/>
      <c r="X30" s="2">
        <f t="shared" si="2"/>
        <v>-574.54999999999995</v>
      </c>
      <c r="Y30" s="2"/>
      <c r="Z30" s="19">
        <f t="shared" si="3"/>
        <v>-0.45122200232463167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 t="shared" ref="D31:D33" si="5">0</f>
        <v>0</v>
      </c>
      <c r="E31" s="2"/>
      <c r="F31" s="19"/>
      <c r="G31" s="2"/>
      <c r="H31" s="2">
        <f t="shared" ref="H31:H33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--1.79</f>
        <v>1.79</v>
      </c>
      <c r="U31" s="2"/>
      <c r="V31" s="19"/>
      <c r="W31" s="2"/>
      <c r="X31" s="2">
        <f t="shared" si="2"/>
        <v>-1.79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--12.17</f>
        <v>12.17</v>
      </c>
      <c r="Q32" s="2"/>
      <c r="R32" s="19"/>
      <c r="S32" s="2"/>
      <c r="T32" s="2">
        <f>--10.24</f>
        <v>10.24</v>
      </c>
      <c r="U32" s="2"/>
      <c r="V32" s="19"/>
      <c r="W32" s="2"/>
      <c r="X32" s="2">
        <f t="shared" si="2"/>
        <v>1.9299999999999997</v>
      </c>
      <c r="Y32" s="2"/>
      <c r="Z32" s="19">
        <f t="shared" si="3"/>
        <v>0.18847656249999997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 t="shared" si="5"/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--95.4</f>
        <v>95.4</v>
      </c>
      <c r="Q33" s="2"/>
      <c r="R33" s="19"/>
      <c r="S33" s="2"/>
      <c r="T33" s="2">
        <f>--284.8</f>
        <v>284.8</v>
      </c>
      <c r="U33" s="2"/>
      <c r="V33" s="19"/>
      <c r="W33" s="2"/>
      <c r="X33" s="2">
        <f t="shared" si="2"/>
        <v>-189.4</v>
      </c>
      <c r="Y33" s="2"/>
      <c r="Z33" s="19">
        <f t="shared" si="3"/>
        <v>-0.66502808988764039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>--3897.56</f>
        <v>3897.56</v>
      </c>
      <c r="E34" s="2"/>
      <c r="F34" s="19"/>
      <c r="G34" s="2"/>
      <c r="H34" s="2">
        <f>--5448.63</f>
        <v>5448.63</v>
      </c>
      <c r="I34" s="2"/>
      <c r="J34" s="19"/>
      <c r="K34" s="2"/>
      <c r="L34" s="2">
        <f t="shared" si="0"/>
        <v>-1551.0700000000002</v>
      </c>
      <c r="M34" s="2"/>
      <c r="N34" s="19">
        <f t="shared" si="1"/>
        <v>-0.28467155963976271</v>
      </c>
      <c r="O34" s="11"/>
      <c r="P34" s="2">
        <f>--38131.24</f>
        <v>38131.24</v>
      </c>
      <c r="Q34" s="2"/>
      <c r="R34" s="19"/>
      <c r="S34" s="2"/>
      <c r="T34" s="2">
        <f>--38036.51</f>
        <v>38036.51</v>
      </c>
      <c r="U34" s="2"/>
      <c r="V34" s="19"/>
      <c r="W34" s="2"/>
      <c r="X34" s="2">
        <f t="shared" si="2"/>
        <v>94.729999999995925</v>
      </c>
      <c r="Y34" s="2"/>
      <c r="Z34" s="19">
        <f t="shared" si="3"/>
        <v>2.490501888843007E-3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>--1170.81</f>
        <v>1170.81</v>
      </c>
      <c r="E35" s="2"/>
      <c r="F35" s="19"/>
      <c r="G35" s="2"/>
      <c r="H35" s="2">
        <f>--1361.04</f>
        <v>1361.04</v>
      </c>
      <c r="I35" s="2"/>
      <c r="J35" s="19"/>
      <c r="K35" s="2"/>
      <c r="L35" s="2">
        <f t="shared" si="0"/>
        <v>-190.23000000000002</v>
      </c>
      <c r="M35" s="2"/>
      <c r="N35" s="19">
        <f t="shared" si="1"/>
        <v>-0.1397681184976195</v>
      </c>
      <c r="O35" s="11"/>
      <c r="P35" s="2">
        <f>--11445.2</f>
        <v>11445.2</v>
      </c>
      <c r="Q35" s="2"/>
      <c r="R35" s="19"/>
      <c r="S35" s="2"/>
      <c r="T35" s="2">
        <f>--9997.23</f>
        <v>9997.23</v>
      </c>
      <c r="U35" s="2"/>
      <c r="V35" s="19"/>
      <c r="W35" s="2"/>
      <c r="X35" s="2">
        <f t="shared" si="2"/>
        <v>1447.9700000000012</v>
      </c>
      <c r="Y35" s="2"/>
      <c r="Z35" s="19">
        <f t="shared" si="3"/>
        <v>0.14483711988220749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>--1131.55</f>
        <v>1131.55</v>
      </c>
      <c r="E36" s="2"/>
      <c r="F36" s="19"/>
      <c r="G36" s="2"/>
      <c r="H36" s="2">
        <f>--1339.07</f>
        <v>1339.07</v>
      </c>
      <c r="I36" s="2"/>
      <c r="J36" s="19"/>
      <c r="K36" s="2"/>
      <c r="L36" s="2">
        <f t="shared" si="0"/>
        <v>-207.51999999999998</v>
      </c>
      <c r="M36" s="2"/>
      <c r="N36" s="19">
        <f t="shared" si="1"/>
        <v>-0.15497322768787292</v>
      </c>
      <c r="O36" s="11"/>
      <c r="P36" s="2">
        <f>--10606.99</f>
        <v>10606.99</v>
      </c>
      <c r="Q36" s="2"/>
      <c r="R36" s="19"/>
      <c r="S36" s="2"/>
      <c r="T36" s="2">
        <f>--8724.02</f>
        <v>8724.02</v>
      </c>
      <c r="U36" s="2"/>
      <c r="V36" s="19"/>
      <c r="W36" s="2"/>
      <c r="X36" s="2">
        <f t="shared" si="2"/>
        <v>1882.9699999999993</v>
      </c>
      <c r="Y36" s="2"/>
      <c r="Z36" s="19">
        <f t="shared" si="3"/>
        <v>0.21583742357307747</v>
      </c>
    </row>
    <row r="37" spans="1:26" s="24" customFormat="1" hidden="1" outlineLevel="1" x14ac:dyDescent="0.25">
      <c r="A37" s="44"/>
      <c r="B37" s="11" t="str">
        <f>CONCATENATE("          ", "4134", " - ", "NON-TAXABLE SALES-SODA")</f>
        <v xml:space="preserve">          4134 - NON-TAXABLE SALES-SODA</v>
      </c>
      <c r="C37" s="11"/>
      <c r="D37" s="2">
        <f>0</f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0</f>
        <v>0</v>
      </c>
      <c r="Q37" s="2"/>
      <c r="R37" s="19"/>
      <c r="S37" s="2"/>
      <c r="T37" s="2">
        <f>--109.47</f>
        <v>109.47</v>
      </c>
      <c r="U37" s="2"/>
      <c r="V37" s="19"/>
      <c r="W37" s="2"/>
      <c r="X37" s="2">
        <f t="shared" si="2"/>
        <v>-109.47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"4135", " - ", "NON-TAXABLE SALES")</f>
        <v xml:space="preserve">          4135 - NON-TAXABLE SALES</v>
      </c>
      <c r="C38" s="11"/>
      <c r="D38" s="2">
        <f>--3.59</f>
        <v>3.59</v>
      </c>
      <c r="E38" s="2"/>
      <c r="F38" s="19"/>
      <c r="G38" s="2"/>
      <c r="H38" s="2">
        <f>--25.13</f>
        <v>25.13</v>
      </c>
      <c r="I38" s="2"/>
      <c r="J38" s="19"/>
      <c r="K38" s="2"/>
      <c r="L38" s="2">
        <f t="shared" si="0"/>
        <v>-21.54</v>
      </c>
      <c r="M38" s="2"/>
      <c r="N38" s="19">
        <f t="shared" si="1"/>
        <v>-0.8571428571428571</v>
      </c>
      <c r="O38" s="11"/>
      <c r="P38" s="2">
        <f>--68.16</f>
        <v>68.16</v>
      </c>
      <c r="Q38" s="2"/>
      <c r="R38" s="19"/>
      <c r="S38" s="2"/>
      <c r="T38" s="2">
        <f>--65.62</f>
        <v>65.62</v>
      </c>
      <c r="U38" s="2"/>
      <c r="V38" s="19"/>
      <c r="W38" s="2"/>
      <c r="X38" s="2">
        <f t="shared" si="2"/>
        <v>2.539999999999992</v>
      </c>
      <c r="Y38" s="2"/>
      <c r="Z38" s="19">
        <f t="shared" si="3"/>
        <v>3.8707711063699968E-2</v>
      </c>
    </row>
    <row r="39" spans="1:26" s="24" customFormat="1" hidden="1" outlineLevel="1" x14ac:dyDescent="0.25">
      <c r="A39" s="44"/>
      <c r="B39" s="11" t="str">
        <f>CONCATENATE("          ", "4137", " - ", "NON-TAXABLE SALES-WATER")</f>
        <v xml:space="preserve">          4137 - NON-TAXABLE SALES-WATER</v>
      </c>
      <c r="C39" s="11"/>
      <c r="D39" s="2">
        <f>--617.73</f>
        <v>617.73</v>
      </c>
      <c r="E39" s="2"/>
      <c r="F39" s="19"/>
      <c r="G39" s="2"/>
      <c r="H39" s="2">
        <f>--747.15</f>
        <v>747.15</v>
      </c>
      <c r="I39" s="2"/>
      <c r="J39" s="19"/>
      <c r="K39" s="2"/>
      <c r="L39" s="2">
        <f t="shared" si="0"/>
        <v>-129.41999999999996</v>
      </c>
      <c r="M39" s="2"/>
      <c r="N39" s="19">
        <f t="shared" si="1"/>
        <v>-0.17321822927123062</v>
      </c>
      <c r="O39" s="11"/>
      <c r="P39" s="2">
        <f>--5820.07</f>
        <v>5820.07</v>
      </c>
      <c r="Q39" s="2"/>
      <c r="R39" s="19"/>
      <c r="S39" s="2"/>
      <c r="T39" s="2">
        <f>--5472.11</f>
        <v>5472.11</v>
      </c>
      <c r="U39" s="2"/>
      <c r="V39" s="19"/>
      <c r="W39" s="2"/>
      <c r="X39" s="2">
        <f t="shared" si="2"/>
        <v>347.96000000000004</v>
      </c>
      <c r="Y39" s="2"/>
      <c r="Z39" s="19">
        <f t="shared" si="3"/>
        <v>6.3587903020955364E-2</v>
      </c>
    </row>
    <row r="40" spans="1:26" s="24" customFormat="1" hidden="1" outlineLevel="1" x14ac:dyDescent="0.25">
      <c r="A40" s="44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>0</f>
        <v>0</v>
      </c>
      <c r="E40" s="2"/>
      <c r="F40" s="19"/>
      <c r="G40" s="2"/>
      <c r="H40" s="2">
        <f>-44.97</f>
        <v>-44.97</v>
      </c>
      <c r="I40" s="2"/>
      <c r="J40" s="19"/>
      <c r="K40" s="2"/>
      <c r="L40" s="2">
        <f t="shared" si="0"/>
        <v>44.97</v>
      </c>
      <c r="M40" s="2"/>
      <c r="N40" s="19">
        <f t="shared" si="1"/>
        <v>-1</v>
      </c>
      <c r="O40" s="11"/>
      <c r="P40" s="2">
        <f>-30.97</f>
        <v>-30.97</v>
      </c>
      <c r="Q40" s="2"/>
      <c r="R40" s="19"/>
      <c r="S40" s="2"/>
      <c r="T40" s="2">
        <f>-127.94</f>
        <v>-127.94</v>
      </c>
      <c r="U40" s="2"/>
      <c r="V40" s="19"/>
      <c r="W40" s="2"/>
      <c r="X40" s="2">
        <f t="shared" si="2"/>
        <v>96.97</v>
      </c>
      <c r="Y40" s="2"/>
      <c r="Z40" s="19">
        <f t="shared" si="3"/>
        <v>-0.7579334062841957</v>
      </c>
    </row>
    <row r="41" spans="1:26" s="24" customFormat="1" hidden="1" outlineLevel="1" x14ac:dyDescent="0.25">
      <c r="A41" s="44"/>
      <c r="B41" s="11" t="str">
        <f>CONCATENATE("          ", "4225", " - ", "SALES RETURN TAXABLE-TEST FORM")</f>
        <v xml:space="preserve">          4225 - SALES RETURN TAXABLE-TEST FORM</v>
      </c>
      <c r="C41" s="11"/>
      <c r="D41" s="2">
        <f>-0.9</f>
        <v>-0.9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-0.9</v>
      </c>
      <c r="M41" s="2"/>
      <c r="N41" s="19">
        <f t="shared" si="1"/>
        <v>0</v>
      </c>
      <c r="O41" s="11"/>
      <c r="P41" s="2">
        <f>-1.39</f>
        <v>-1.39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-1.39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>-0.79</f>
        <v>-0.79</v>
      </c>
      <c r="E42" s="2"/>
      <c r="F42" s="19"/>
      <c r="G42" s="2"/>
      <c r="H42" s="2">
        <f>-2.29</f>
        <v>-2.29</v>
      </c>
      <c r="I42" s="2"/>
      <c r="J42" s="19"/>
      <c r="K42" s="2"/>
      <c r="L42" s="2">
        <f t="shared" si="0"/>
        <v>1.5</v>
      </c>
      <c r="M42" s="2"/>
      <c r="N42" s="19">
        <f t="shared" si="1"/>
        <v>-0.65502183406113534</v>
      </c>
      <c r="O42" s="11"/>
      <c r="P42" s="2">
        <f>-6.77</f>
        <v>-6.77</v>
      </c>
      <c r="Q42" s="2"/>
      <c r="R42" s="19"/>
      <c r="S42" s="2"/>
      <c r="T42" s="2">
        <f>-62.28</f>
        <v>-62.28</v>
      </c>
      <c r="U42" s="2"/>
      <c r="V42" s="19"/>
      <c r="W42" s="2"/>
      <c r="X42" s="2">
        <f t="shared" si="2"/>
        <v>55.510000000000005</v>
      </c>
      <c r="Y42" s="2"/>
      <c r="Z42" s="19">
        <f t="shared" si="3"/>
        <v>-0.89129736673089277</v>
      </c>
    </row>
    <row r="43" spans="1:26" s="24" customFormat="1" hidden="1" outlineLevel="1" x14ac:dyDescent="0.25">
      <c r="A43" s="44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>-2.49</f>
        <v>-2.4900000000000002</v>
      </c>
      <c r="E43" s="2"/>
      <c r="F43" s="19"/>
      <c r="G43" s="2"/>
      <c r="H43" s="2">
        <f>-11.6</f>
        <v>-11.6</v>
      </c>
      <c r="I43" s="2"/>
      <c r="J43" s="19"/>
      <c r="K43" s="2"/>
      <c r="L43" s="2">
        <f t="shared" si="0"/>
        <v>9.11</v>
      </c>
      <c r="M43" s="2"/>
      <c r="N43" s="19">
        <f t="shared" si="1"/>
        <v>-0.78534482758620683</v>
      </c>
      <c r="O43" s="11"/>
      <c r="P43" s="2">
        <f>-27.98</f>
        <v>-27.98</v>
      </c>
      <c r="Q43" s="2"/>
      <c r="R43" s="19"/>
      <c r="S43" s="2"/>
      <c r="T43" s="2">
        <f>-51.6</f>
        <v>-51.6</v>
      </c>
      <c r="U43" s="2"/>
      <c r="V43" s="19"/>
      <c r="W43" s="2"/>
      <c r="X43" s="2">
        <f t="shared" si="2"/>
        <v>23.62</v>
      </c>
      <c r="Y43" s="2"/>
      <c r="Z43" s="19">
        <f t="shared" si="3"/>
        <v>-0.45775193798449615</v>
      </c>
    </row>
    <row r="44" spans="1:26" s="24" customFormat="1" hidden="1" outlineLevel="1" x14ac:dyDescent="0.25">
      <c r="A44" s="44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>-277.33</f>
        <v>-277.33</v>
      </c>
      <c r="E44" s="2"/>
      <c r="F44" s="19"/>
      <c r="G44" s="2"/>
      <c r="H44" s="2">
        <f>-447.84</f>
        <v>-447.84</v>
      </c>
      <c r="I44" s="2"/>
      <c r="J44" s="19"/>
      <c r="K44" s="2"/>
      <c r="L44" s="2">
        <f t="shared" si="0"/>
        <v>170.51</v>
      </c>
      <c r="M44" s="2"/>
      <c r="N44" s="19">
        <f t="shared" si="1"/>
        <v>-0.38073865666309398</v>
      </c>
      <c r="O44" s="11"/>
      <c r="P44" s="2">
        <f>-2910.87</f>
        <v>-2910.87</v>
      </c>
      <c r="Q44" s="2"/>
      <c r="R44" s="19"/>
      <c r="S44" s="2"/>
      <c r="T44" s="2">
        <f>-4564.03</f>
        <v>-4564.03</v>
      </c>
      <c r="U44" s="2"/>
      <c r="V44" s="19"/>
      <c r="W44" s="2"/>
      <c r="X44" s="2">
        <f t="shared" si="2"/>
        <v>1653.1599999999999</v>
      </c>
      <c r="Y44" s="2"/>
      <c r="Z44" s="19">
        <f t="shared" si="3"/>
        <v>-0.36221497229422239</v>
      </c>
    </row>
    <row r="45" spans="1:26" s="24" customFormat="1" hidden="1" outlineLevel="1" x14ac:dyDescent="0.25">
      <c r="A45" s="44"/>
      <c r="B45" s="11" t="str">
        <f>CONCATENATE("          ", "4233", " - ", "SALES RETURN TAXABLE-CANDY")</f>
        <v xml:space="preserve">          4233 - SALES RETURN TAXABLE-CANDY</v>
      </c>
      <c r="C45" s="11"/>
      <c r="D45" s="2">
        <f>0</f>
        <v>0</v>
      </c>
      <c r="E45" s="2"/>
      <c r="F45" s="19"/>
      <c r="G45" s="2"/>
      <c r="H45" s="2">
        <f t="shared" ref="H45:H46" si="7"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-1.29</f>
        <v>-1.29</v>
      </c>
      <c r="Q45" s="2"/>
      <c r="R45" s="19"/>
      <c r="S45" s="2"/>
      <c r="T45" s="2">
        <f>-1.89</f>
        <v>-1.89</v>
      </c>
      <c r="U45" s="2"/>
      <c r="V45" s="19"/>
      <c r="W45" s="2"/>
      <c r="X45" s="2">
        <f t="shared" si="2"/>
        <v>0.59999999999999987</v>
      </c>
      <c r="Y45" s="2"/>
      <c r="Z45" s="19">
        <f t="shared" si="3"/>
        <v>-0.31746031746031739</v>
      </c>
    </row>
    <row r="46" spans="1:26" s="24" customFormat="1" hidden="1" outlineLevel="1" x14ac:dyDescent="0.25">
      <c r="A46" s="44"/>
      <c r="B46" s="11" t="str">
        <f>CONCATENATE("          ", "4281", " - ", "SALES RETURN TAXABLE-ELECTRONI")</f>
        <v xml:space="preserve">          4281 - SALES RETURN TAXABLE-ELECTRONI</v>
      </c>
      <c r="C46" s="11"/>
      <c r="D46" s="2">
        <f>-9.99</f>
        <v>-9.99</v>
      </c>
      <c r="E46" s="2"/>
      <c r="F46" s="19"/>
      <c r="G46" s="2"/>
      <c r="H46" s="2">
        <f t="shared" si="7"/>
        <v>0</v>
      </c>
      <c r="I46" s="2"/>
      <c r="J46" s="19"/>
      <c r="K46" s="2"/>
      <c r="L46" s="2">
        <f t="shared" si="0"/>
        <v>-9.99</v>
      </c>
      <c r="M46" s="2"/>
      <c r="N46" s="19">
        <f t="shared" si="1"/>
        <v>0</v>
      </c>
      <c r="O46" s="11"/>
      <c r="P46" s="2">
        <f>-54.97</f>
        <v>-54.97</v>
      </c>
      <c r="Q46" s="2"/>
      <c r="R46" s="19"/>
      <c r="S46" s="2"/>
      <c r="T46" s="2">
        <f>-24.99</f>
        <v>-24.99</v>
      </c>
      <c r="U46" s="2"/>
      <c r="V46" s="19"/>
      <c r="W46" s="2"/>
      <c r="X46" s="2">
        <f t="shared" si="2"/>
        <v>-29.98</v>
      </c>
      <c r="Y46" s="2"/>
      <c r="Z46" s="19">
        <f t="shared" si="3"/>
        <v>1.1996798719487796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collapsed="1" x14ac:dyDescent="0.25">
      <c r="A48" s="10"/>
      <c r="B48" s="28" t="s">
        <v>8</v>
      </c>
      <c r="C48" s="10"/>
      <c r="D48" s="4">
        <f>SUM(OSRRefD16x_0)</f>
        <v>11423.37</v>
      </c>
      <c r="E48" s="4"/>
      <c r="F48" s="12">
        <f t="shared" ref="F48:F68" si="8">IF(D$12=0,0,D48/D$12)</f>
        <v>0.52585068773131549</v>
      </c>
      <c r="G48" s="4"/>
      <c r="H48" s="4">
        <f>SUM(OSRRefH16x_0)</f>
        <v>15205.979999999998</v>
      </c>
      <c r="I48" s="4"/>
      <c r="J48" s="12">
        <f t="shared" ref="J48:J68" si="9">IF(H$12=0,0,H48/H$12)</f>
        <v>0.53216829643275987</v>
      </c>
      <c r="K48" s="4"/>
      <c r="L48" s="4">
        <f t="shared" ref="L48:L68" si="10">+D48-H48</f>
        <v>-3782.6099999999969</v>
      </c>
      <c r="M48" s="4"/>
      <c r="N48" s="12">
        <f t="shared" ref="N48:N68" si="11">IF(H48=0,0,L48/H48)</f>
        <v>-0.24875805439701995</v>
      </c>
      <c r="O48" s="10"/>
      <c r="P48" s="4">
        <f>SUM(OSRRefP16x_0)</f>
        <v>141187.01</v>
      </c>
      <c r="Q48" s="4"/>
      <c r="R48" s="12">
        <f t="shared" ref="R48:R68" si="12">IF(P$12=0,0,P48/P$12)</f>
        <v>0.52516313357815914</v>
      </c>
      <c r="S48" s="4"/>
      <c r="T48" s="4">
        <f>SUM(OSRRefT16x_0)</f>
        <v>143332.13</v>
      </c>
      <c r="U48" s="4"/>
      <c r="V48" s="12">
        <f t="shared" ref="V48:V68" si="13">IF(T$12=0,0,T48/T$12)</f>
        <v>0.53797503844927386</v>
      </c>
      <c r="W48" s="4"/>
      <c r="X48" s="4">
        <f t="shared" ref="X48:X68" si="14">+P48-T48</f>
        <v>-2145.1199999999953</v>
      </c>
      <c r="Y48" s="4"/>
      <c r="Z48" s="12">
        <f t="shared" ref="Z48:Z68" si="15">IF(T48=0,0,X48/T48)</f>
        <v>-1.4966079133827115E-2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/>
      <c r="E49" s="2"/>
      <c r="F49" s="19">
        <f t="shared" si="8"/>
        <v>0</v>
      </c>
      <c r="G49" s="2"/>
      <c r="H49" s="2"/>
      <c r="I49" s="2"/>
      <c r="J49" s="19">
        <f t="shared" si="9"/>
        <v>0</v>
      </c>
      <c r="K49" s="2"/>
      <c r="L49" s="2">
        <f t="shared" si="10"/>
        <v>0</v>
      </c>
      <c r="M49" s="2"/>
      <c r="N49" s="19">
        <f t="shared" si="11"/>
        <v>0</v>
      </c>
      <c r="O49" s="11"/>
      <c r="P49" s="2">
        <v>14.46</v>
      </c>
      <c r="Q49" s="2"/>
      <c r="R49" s="19">
        <f t="shared" si="12"/>
        <v>5.3785818621275287E-5</v>
      </c>
      <c r="S49" s="2"/>
      <c r="T49" s="2"/>
      <c r="U49" s="2"/>
      <c r="V49" s="19">
        <f t="shared" si="13"/>
        <v>0</v>
      </c>
      <c r="W49" s="2"/>
      <c r="X49" s="2">
        <f t="shared" si="14"/>
        <v>14.46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"5025", " - ", "PURCHASES @ COST-TEST FORMS")</f>
        <v xml:space="preserve">          5025 - PURCHASES @ COST-TEST FORMS</v>
      </c>
      <c r="C50" s="11"/>
      <c r="D50" s="2">
        <v>68.08</v>
      </c>
      <c r="E50" s="2"/>
      <c r="F50" s="19">
        <f t="shared" si="8"/>
        <v>3.1339188716419022E-3</v>
      </c>
      <c r="G50" s="2"/>
      <c r="H50" s="2">
        <v>116</v>
      </c>
      <c r="I50" s="2"/>
      <c r="J50" s="19">
        <f t="shared" si="9"/>
        <v>4.0596872011011559E-3</v>
      </c>
      <c r="K50" s="2"/>
      <c r="L50" s="2">
        <f t="shared" si="10"/>
        <v>-47.92</v>
      </c>
      <c r="M50" s="2"/>
      <c r="N50" s="19">
        <f t="shared" si="11"/>
        <v>-0.4131034482758621</v>
      </c>
      <c r="O50" s="11"/>
      <c r="P50" s="2">
        <v>472.36</v>
      </c>
      <c r="Q50" s="2"/>
      <c r="R50" s="19">
        <f t="shared" si="12"/>
        <v>1.7570034082949927E-3</v>
      </c>
      <c r="S50" s="2"/>
      <c r="T50" s="2">
        <v>381.18</v>
      </c>
      <c r="U50" s="2"/>
      <c r="V50" s="19">
        <f t="shared" si="13"/>
        <v>1.4307003262708383E-3</v>
      </c>
      <c r="W50" s="2"/>
      <c r="X50" s="2">
        <f t="shared" si="14"/>
        <v>91.18</v>
      </c>
      <c r="Y50" s="2"/>
      <c r="Z50" s="19">
        <f t="shared" si="15"/>
        <v>0.23920457526627842</v>
      </c>
    </row>
    <row r="51" spans="1:26" s="24" customFormat="1" hidden="1" outlineLevel="1" x14ac:dyDescent="0.25">
      <c r="A51" s="44"/>
      <c r="B51" s="11" t="str">
        <f>CONCATENATE("          ", "5026", " - ", "PURCHASES @ COST-WRITING INSTR")</f>
        <v xml:space="preserve">          5026 - PURCHASES @ COST-WRITING INSTR</v>
      </c>
      <c r="C51" s="11"/>
      <c r="D51" s="2">
        <v>10.68</v>
      </c>
      <c r="E51" s="2"/>
      <c r="F51" s="19">
        <f t="shared" si="8"/>
        <v>4.9163122134452872E-4</v>
      </c>
      <c r="G51" s="2"/>
      <c r="H51" s="2">
        <v>129.9</v>
      </c>
      <c r="I51" s="2"/>
      <c r="J51" s="19">
        <f t="shared" si="9"/>
        <v>4.546149719164139E-3</v>
      </c>
      <c r="K51" s="2"/>
      <c r="L51" s="2">
        <f t="shared" si="10"/>
        <v>-119.22</v>
      </c>
      <c r="M51" s="2"/>
      <c r="N51" s="19">
        <f t="shared" si="11"/>
        <v>-0.91778290993071587</v>
      </c>
      <c r="O51" s="11"/>
      <c r="P51" s="2">
        <v>2588.19</v>
      </c>
      <c r="Q51" s="2"/>
      <c r="R51" s="19">
        <f t="shared" si="12"/>
        <v>9.6271035890317068E-3</v>
      </c>
      <c r="S51" s="2"/>
      <c r="T51" s="2">
        <v>1560.02</v>
      </c>
      <c r="U51" s="2"/>
      <c r="V51" s="19">
        <f t="shared" si="13"/>
        <v>5.8552944094365737E-3</v>
      </c>
      <c r="W51" s="2"/>
      <c r="X51" s="2">
        <f t="shared" si="14"/>
        <v>1028.17</v>
      </c>
      <c r="Y51" s="2"/>
      <c r="Z51" s="19">
        <f t="shared" si="15"/>
        <v>0.65907488365533784</v>
      </c>
    </row>
    <row r="52" spans="1:26" s="24" customFormat="1" hidden="1" outlineLevel="1" x14ac:dyDescent="0.25">
      <c r="A52" s="44"/>
      <c r="B52" s="11" t="str">
        <f>CONCATENATE("          ", "5027", " - ", "PURCHASES @ COST-SCHOOL SUPPLI")</f>
        <v xml:space="preserve">          5027 - PURCHASES @ COST-SCHOOL SUPPLI</v>
      </c>
      <c r="C52" s="11"/>
      <c r="D52" s="2">
        <v>86.87</v>
      </c>
      <c r="E52" s="2"/>
      <c r="F52" s="19">
        <f t="shared" si="8"/>
        <v>3.9988767975841959E-3</v>
      </c>
      <c r="G52" s="2"/>
      <c r="H52" s="2">
        <v>114.23</v>
      </c>
      <c r="I52" s="2"/>
      <c r="J52" s="19">
        <f t="shared" si="9"/>
        <v>3.9977419739809054E-3</v>
      </c>
      <c r="K52" s="2"/>
      <c r="L52" s="2">
        <f t="shared" si="10"/>
        <v>-27.36</v>
      </c>
      <c r="M52" s="2"/>
      <c r="N52" s="19">
        <f t="shared" si="11"/>
        <v>-0.23951676442265604</v>
      </c>
      <c r="O52" s="11"/>
      <c r="P52" s="2">
        <v>1941.94</v>
      </c>
      <c r="Q52" s="2"/>
      <c r="R52" s="19">
        <f t="shared" si="12"/>
        <v>7.2232940949792067E-3</v>
      </c>
      <c r="S52" s="2"/>
      <c r="T52" s="2">
        <v>1869.85</v>
      </c>
      <c r="U52" s="2"/>
      <c r="V52" s="19">
        <f t="shared" si="13"/>
        <v>7.0181935177016817E-3</v>
      </c>
      <c r="W52" s="2"/>
      <c r="X52" s="2">
        <f t="shared" si="14"/>
        <v>72.090000000000146</v>
      </c>
      <c r="Y52" s="2"/>
      <c r="Z52" s="19">
        <f t="shared" si="15"/>
        <v>3.8553894697435705E-2</v>
      </c>
    </row>
    <row r="53" spans="1:26" s="24" customFormat="1" hidden="1" outlineLevel="1" x14ac:dyDescent="0.25">
      <c r="A53" s="44"/>
      <c r="B53" s="11" t="str">
        <f>CONCATENATE("          ", "5028", " - ", "PURCHASES @ COST-ART/TECH")</f>
        <v xml:space="preserve">          5028 - PURCHASES @ COST-ART/TECH</v>
      </c>
      <c r="C53" s="11"/>
      <c r="D53" s="2">
        <v>7498.58</v>
      </c>
      <c r="E53" s="2"/>
      <c r="F53" s="19">
        <f t="shared" si="8"/>
        <v>0.34518127750464944</v>
      </c>
      <c r="G53" s="2"/>
      <c r="H53" s="2">
        <v>11767.57</v>
      </c>
      <c r="I53" s="2"/>
      <c r="J53" s="19">
        <f t="shared" si="9"/>
        <v>0.41183321825053382</v>
      </c>
      <c r="K53" s="2"/>
      <c r="L53" s="2">
        <f t="shared" si="10"/>
        <v>-4268.99</v>
      </c>
      <c r="M53" s="2"/>
      <c r="N53" s="19">
        <f t="shared" si="11"/>
        <v>-0.36277583222364512</v>
      </c>
      <c r="O53" s="11"/>
      <c r="P53" s="2">
        <v>99490.83</v>
      </c>
      <c r="Q53" s="2"/>
      <c r="R53" s="19">
        <f t="shared" si="12"/>
        <v>0.37006886147027207</v>
      </c>
      <c r="S53" s="2"/>
      <c r="T53" s="2">
        <v>94579.93</v>
      </c>
      <c r="U53" s="2"/>
      <c r="V53" s="19">
        <f t="shared" si="13"/>
        <v>0.35499117663485241</v>
      </c>
      <c r="W53" s="2"/>
      <c r="X53" s="2">
        <f t="shared" si="14"/>
        <v>4910.9000000000087</v>
      </c>
      <c r="Y53" s="2"/>
      <c r="Z53" s="19">
        <f t="shared" si="15"/>
        <v>5.1923278014690953E-2</v>
      </c>
    </row>
    <row r="54" spans="1:26" s="24" customFormat="1" hidden="1" outlineLevel="1" x14ac:dyDescent="0.25">
      <c r="A54" s="44"/>
      <c r="B54" s="11" t="str">
        <f>CONCATENATE("          ", "5031", " - ", "PURCHASES @ COST-FOOD")</f>
        <v xml:space="preserve">          5031 - PURCHASES @ COST-FOOD</v>
      </c>
      <c r="C54" s="11"/>
      <c r="D54" s="2">
        <v>1692.91</v>
      </c>
      <c r="E54" s="2"/>
      <c r="F54" s="19">
        <f t="shared" si="8"/>
        <v>7.7929532858273989E-2</v>
      </c>
      <c r="G54" s="2"/>
      <c r="H54" s="2">
        <v>1531.05</v>
      </c>
      <c r="I54" s="2"/>
      <c r="J54" s="19">
        <f t="shared" si="9"/>
        <v>5.3582621459016586E-2</v>
      </c>
      <c r="K54" s="2"/>
      <c r="L54" s="2">
        <f t="shared" si="10"/>
        <v>161.86000000000013</v>
      </c>
      <c r="M54" s="2"/>
      <c r="N54" s="19">
        <f t="shared" si="11"/>
        <v>0.10571829790013398</v>
      </c>
      <c r="O54" s="11"/>
      <c r="P54" s="2">
        <v>22241.56</v>
      </c>
      <c r="Q54" s="2"/>
      <c r="R54" s="19">
        <f t="shared" si="12"/>
        <v>8.2730325865436494E-2</v>
      </c>
      <c r="S54" s="2"/>
      <c r="T54" s="2">
        <v>18224.34</v>
      </c>
      <c r="U54" s="2"/>
      <c r="V54" s="19">
        <f t="shared" si="13"/>
        <v>6.8402248764548743E-2</v>
      </c>
      <c r="W54" s="2"/>
      <c r="X54" s="2">
        <f t="shared" si="14"/>
        <v>4017.2200000000012</v>
      </c>
      <c r="Y54" s="2"/>
      <c r="Z54" s="19">
        <f t="shared" si="15"/>
        <v>0.2204315766716381</v>
      </c>
    </row>
    <row r="55" spans="1:26" s="24" customFormat="1" hidden="1" outlineLevel="1" x14ac:dyDescent="0.25">
      <c r="A55" s="44"/>
      <c r="B55" s="11" t="str">
        <f>CONCATENATE("          ", "5032", " - ", "PURCHASES @ COST-JUICE")</f>
        <v xml:space="preserve">          5032 - PURCHASES @ COST-JUICE</v>
      </c>
      <c r="C55" s="11"/>
      <c r="D55" s="2">
        <v>358.99</v>
      </c>
      <c r="E55" s="2"/>
      <c r="F55" s="19">
        <f t="shared" si="8"/>
        <v>1.6525345706973067E-2</v>
      </c>
      <c r="G55" s="2"/>
      <c r="H55" s="2">
        <v>891.9</v>
      </c>
      <c r="I55" s="2"/>
      <c r="J55" s="19">
        <f t="shared" si="9"/>
        <v>3.1214094953983796E-2</v>
      </c>
      <c r="K55" s="2"/>
      <c r="L55" s="2">
        <f t="shared" si="10"/>
        <v>-532.91</v>
      </c>
      <c r="M55" s="2"/>
      <c r="N55" s="19">
        <f t="shared" si="11"/>
        <v>-0.59749971969951787</v>
      </c>
      <c r="O55" s="11"/>
      <c r="P55" s="2">
        <v>5021.4799999999996</v>
      </c>
      <c r="Q55" s="2"/>
      <c r="R55" s="19">
        <f t="shared" si="12"/>
        <v>1.8678036825059571E-2</v>
      </c>
      <c r="S55" s="2"/>
      <c r="T55" s="2">
        <v>5570.25</v>
      </c>
      <c r="U55" s="2"/>
      <c r="V55" s="19">
        <f t="shared" si="13"/>
        <v>2.0907074065822283E-2</v>
      </c>
      <c r="W55" s="2"/>
      <c r="X55" s="2">
        <f t="shared" si="14"/>
        <v>-548.77000000000044</v>
      </c>
      <c r="Y55" s="2"/>
      <c r="Z55" s="19">
        <f t="shared" si="15"/>
        <v>-9.8518019837529808E-2</v>
      </c>
    </row>
    <row r="56" spans="1:26" s="24" customFormat="1" hidden="1" outlineLevel="1" x14ac:dyDescent="0.25">
      <c r="A56" s="44"/>
      <c r="B56" s="11" t="str">
        <f>CONCATENATE("          ", "5033", " - ", "PURCHASES @ COST-CANDY")</f>
        <v xml:space="preserve">          5033 - PURCHASES @ COST-CANDY</v>
      </c>
      <c r="C56" s="11"/>
      <c r="D56" s="2">
        <v>259.47000000000003</v>
      </c>
      <c r="E56" s="2"/>
      <c r="F56" s="19">
        <f t="shared" si="8"/>
        <v>1.194415290283379E-2</v>
      </c>
      <c r="G56" s="2"/>
      <c r="H56" s="2">
        <v>143.51</v>
      </c>
      <c r="I56" s="2"/>
      <c r="J56" s="19">
        <f t="shared" si="9"/>
        <v>5.0224630192243691E-3</v>
      </c>
      <c r="K56" s="2"/>
      <c r="L56" s="2">
        <f t="shared" si="10"/>
        <v>115.96000000000004</v>
      </c>
      <c r="M56" s="2"/>
      <c r="N56" s="19">
        <f t="shared" si="11"/>
        <v>0.80802731516967485</v>
      </c>
      <c r="O56" s="11"/>
      <c r="P56" s="2">
        <v>5908.33</v>
      </c>
      <c r="Q56" s="2"/>
      <c r="R56" s="19">
        <f t="shared" si="12"/>
        <v>2.1976788778329141E-2</v>
      </c>
      <c r="S56" s="2"/>
      <c r="T56" s="2">
        <v>3969.68</v>
      </c>
      <c r="U56" s="2"/>
      <c r="V56" s="19">
        <f t="shared" si="13"/>
        <v>1.4899581486937461E-2</v>
      </c>
      <c r="W56" s="2"/>
      <c r="X56" s="2">
        <f t="shared" si="14"/>
        <v>1938.65</v>
      </c>
      <c r="Y56" s="2"/>
      <c r="Z56" s="19">
        <f t="shared" si="15"/>
        <v>0.48836430140464726</v>
      </c>
    </row>
    <row r="57" spans="1:26" s="24" customFormat="1" hidden="1" outlineLevel="1" x14ac:dyDescent="0.25">
      <c r="A57" s="44"/>
      <c r="B57" s="11" t="str">
        <f>CONCATENATE("          ", "5034", " - ", "PURCHASES @ COST-SODA")</f>
        <v xml:space="preserve">          5034 - PURCHASES @ COST-SODA</v>
      </c>
      <c r="C57" s="11"/>
      <c r="D57" s="2">
        <v>42.24</v>
      </c>
      <c r="E57" s="2"/>
      <c r="F57" s="19">
        <f t="shared" si="8"/>
        <v>1.9444291001491473E-3</v>
      </c>
      <c r="G57" s="2"/>
      <c r="H57" s="2">
        <v>360.44</v>
      </c>
      <c r="I57" s="2"/>
      <c r="J57" s="19">
        <f t="shared" si="9"/>
        <v>1.2614428058318108E-2</v>
      </c>
      <c r="K57" s="2"/>
      <c r="L57" s="2">
        <f t="shared" si="10"/>
        <v>-318.2</v>
      </c>
      <c r="M57" s="2"/>
      <c r="N57" s="19">
        <f t="shared" si="11"/>
        <v>-0.88280989901231821</v>
      </c>
      <c r="O57" s="11"/>
      <c r="P57" s="2">
        <v>2124.16</v>
      </c>
      <c r="Q57" s="2"/>
      <c r="R57" s="19">
        <f t="shared" si="12"/>
        <v>7.9010846806755256E-3</v>
      </c>
      <c r="S57" s="2"/>
      <c r="T57" s="2">
        <v>2030.04</v>
      </c>
      <c r="U57" s="2"/>
      <c r="V57" s="19">
        <f t="shared" si="13"/>
        <v>7.6194419705725713E-3</v>
      </c>
      <c r="W57" s="2"/>
      <c r="X57" s="2">
        <f t="shared" si="14"/>
        <v>94.119999999999891</v>
      </c>
      <c r="Y57" s="2"/>
      <c r="Z57" s="19">
        <f t="shared" si="15"/>
        <v>4.6363618450867908E-2</v>
      </c>
    </row>
    <row r="58" spans="1:26" s="24" customFormat="1" hidden="1" outlineLevel="1" x14ac:dyDescent="0.25">
      <c r="A58" s="44"/>
      <c r="B58" s="11" t="str">
        <f>CONCATENATE("          ", "5035", " - ", "PURCHASES @ COST-HEALTH &amp; BEAU")</f>
        <v xml:space="preserve">          5035 - PURCHASES @ COST-HEALTH &amp; BEAU</v>
      </c>
      <c r="C58" s="11"/>
      <c r="D58" s="2">
        <v>21.41</v>
      </c>
      <c r="E58" s="2"/>
      <c r="F58" s="19">
        <f t="shared" si="8"/>
        <v>9.8556408698374158E-4</v>
      </c>
      <c r="G58" s="2"/>
      <c r="H58" s="2">
        <v>42.48</v>
      </c>
      <c r="I58" s="2"/>
      <c r="J58" s="19">
        <f t="shared" si="9"/>
        <v>1.4866854508860093E-3</v>
      </c>
      <c r="K58" s="2"/>
      <c r="L58" s="2">
        <f t="shared" si="10"/>
        <v>-21.069999999999997</v>
      </c>
      <c r="M58" s="2"/>
      <c r="N58" s="19">
        <f t="shared" si="11"/>
        <v>-0.49599811676082861</v>
      </c>
      <c r="O58" s="11"/>
      <c r="P58" s="2">
        <v>788.13</v>
      </c>
      <c r="Q58" s="2"/>
      <c r="R58" s="19">
        <f t="shared" si="12"/>
        <v>2.9315502925301305E-3</v>
      </c>
      <c r="S58" s="2"/>
      <c r="T58" s="2">
        <v>522.16999999999996</v>
      </c>
      <c r="U58" s="2"/>
      <c r="V58" s="19">
        <f t="shared" si="13"/>
        <v>1.959884541079919E-3</v>
      </c>
      <c r="W58" s="2"/>
      <c r="X58" s="2">
        <f t="shared" si="14"/>
        <v>265.96000000000004</v>
      </c>
      <c r="Y58" s="2"/>
      <c r="Z58" s="19">
        <f t="shared" si="15"/>
        <v>0.50933603998697752</v>
      </c>
    </row>
    <row r="59" spans="1:26" s="24" customFormat="1" hidden="1" outlineLevel="1" x14ac:dyDescent="0.25">
      <c r="A59" s="44"/>
      <c r="B59" s="11" t="str">
        <f>CONCATENATE("          ", "5037", " - ", "PURCHASES @ COST-WATER")</f>
        <v xml:space="preserve">          5037 - PURCHASES @ COST-WATER</v>
      </c>
      <c r="C59" s="11"/>
      <c r="D59" s="2">
        <v>235.9</v>
      </c>
      <c r="E59" s="2"/>
      <c r="F59" s="19">
        <f t="shared" si="8"/>
        <v>1.0859157782319695E-2</v>
      </c>
      <c r="G59" s="2"/>
      <c r="H59" s="2">
        <v>390.37</v>
      </c>
      <c r="I59" s="2"/>
      <c r="J59" s="19">
        <f t="shared" si="9"/>
        <v>1.3661897350809122E-2</v>
      </c>
      <c r="K59" s="2"/>
      <c r="L59" s="2">
        <f t="shared" si="10"/>
        <v>-154.47</v>
      </c>
      <c r="M59" s="2"/>
      <c r="N59" s="19">
        <f t="shared" si="11"/>
        <v>-0.39570151394830544</v>
      </c>
      <c r="O59" s="11"/>
      <c r="P59" s="2">
        <v>3729.51</v>
      </c>
      <c r="Q59" s="2"/>
      <c r="R59" s="19">
        <f t="shared" si="12"/>
        <v>1.3872389239711784E-2</v>
      </c>
      <c r="S59" s="2"/>
      <c r="T59" s="2">
        <v>3845.34</v>
      </c>
      <c r="U59" s="2"/>
      <c r="V59" s="19">
        <f t="shared" si="13"/>
        <v>1.4432890478572605E-2</v>
      </c>
      <c r="W59" s="2"/>
      <c r="X59" s="2">
        <f t="shared" si="14"/>
        <v>-115.82999999999993</v>
      </c>
      <c r="Y59" s="2"/>
      <c r="Z59" s="19">
        <f t="shared" si="15"/>
        <v>-3.0122173851987059E-2</v>
      </c>
    </row>
    <row r="60" spans="1:26" s="24" customFormat="1" hidden="1" outlineLevel="1" x14ac:dyDescent="0.25">
      <c r="A60" s="44"/>
      <c r="B60" s="11" t="str">
        <f>CONCATENATE("          ", "5081", " - ", "PURCHASES @ COST-ELECTRONICS")</f>
        <v xml:space="preserve">          5081 - PURCHASES @ COST-ELECTRONICS</v>
      </c>
      <c r="C60" s="11"/>
      <c r="D60" s="2">
        <v>526.74</v>
      </c>
      <c r="E60" s="2"/>
      <c r="F60" s="19">
        <f t="shared" si="8"/>
        <v>2.4247362315638302E-2</v>
      </c>
      <c r="G60" s="2"/>
      <c r="H60" s="2">
        <v>84.08</v>
      </c>
      <c r="I60" s="2"/>
      <c r="J60" s="19">
        <f t="shared" si="9"/>
        <v>2.9425732747291825E-3</v>
      </c>
      <c r="K60" s="2"/>
      <c r="L60" s="2">
        <f t="shared" si="10"/>
        <v>442.66</v>
      </c>
      <c r="M60" s="2"/>
      <c r="N60" s="19">
        <f t="shared" si="11"/>
        <v>5.2647478591817318</v>
      </c>
      <c r="O60" s="11"/>
      <c r="P60" s="2">
        <v>1771.55</v>
      </c>
      <c r="Q60" s="2"/>
      <c r="R60" s="19">
        <f t="shared" si="12"/>
        <v>6.5895067066749817E-3</v>
      </c>
      <c r="S60" s="2"/>
      <c r="T60" s="2">
        <v>1928.88</v>
      </c>
      <c r="U60" s="2"/>
      <c r="V60" s="19">
        <f t="shared" si="13"/>
        <v>7.2397535162844187E-3</v>
      </c>
      <c r="W60" s="2"/>
      <c r="X60" s="2">
        <f t="shared" si="14"/>
        <v>-157.33000000000015</v>
      </c>
      <c r="Y60" s="2"/>
      <c r="Z60" s="19">
        <f t="shared" si="15"/>
        <v>-8.1565468043631614E-2</v>
      </c>
    </row>
    <row r="61" spans="1:26" s="24" customFormat="1" hidden="1" outlineLevel="1" x14ac:dyDescent="0.25">
      <c r="A61" s="44"/>
      <c r="B61" s="11" t="str">
        <f>CONCATENATE("          ", "5082", " - ", "PURCHASES @ COST-COMPUTER HARD")</f>
        <v xml:space="preserve">          5082 - PURCHASES @ COST-COMPUTER HARD</v>
      </c>
      <c r="C61" s="11"/>
      <c r="D61" s="2">
        <v>105</v>
      </c>
      <c r="E61" s="2"/>
      <c r="F61" s="19">
        <f t="shared" si="8"/>
        <v>4.8334530188366585E-3</v>
      </c>
      <c r="G61" s="2"/>
      <c r="H61" s="2">
        <v>183</v>
      </c>
      <c r="I61" s="2"/>
      <c r="J61" s="19">
        <f t="shared" si="9"/>
        <v>6.4045065327716505E-3</v>
      </c>
      <c r="K61" s="2"/>
      <c r="L61" s="2">
        <f t="shared" si="10"/>
        <v>-78</v>
      </c>
      <c r="M61" s="2"/>
      <c r="N61" s="19">
        <f t="shared" si="11"/>
        <v>-0.42622950819672129</v>
      </c>
      <c r="O61" s="11"/>
      <c r="P61" s="2">
        <v>349.6</v>
      </c>
      <c r="Q61" s="2"/>
      <c r="R61" s="19">
        <f t="shared" si="12"/>
        <v>1.3003818941907221E-3</v>
      </c>
      <c r="S61" s="2"/>
      <c r="T61" s="2">
        <v>683</v>
      </c>
      <c r="U61" s="2"/>
      <c r="V61" s="19">
        <f t="shared" si="13"/>
        <v>2.5635351352195357E-3</v>
      </c>
      <c r="W61" s="2"/>
      <c r="X61" s="2">
        <f t="shared" si="14"/>
        <v>-333.4</v>
      </c>
      <c r="Y61" s="2"/>
      <c r="Z61" s="19">
        <f t="shared" si="15"/>
        <v>-0.48814055636896042</v>
      </c>
    </row>
    <row r="62" spans="1:26" s="24" customFormat="1" hidden="1" outlineLevel="1" x14ac:dyDescent="0.25">
      <c r="A62" s="44"/>
      <c r="B62" s="11" t="str">
        <f>CONCATENATE("          ", "5083", " - ", "PURCHASES @ COST-COMPUTER EQUI")</f>
        <v xml:space="preserve">          5083 - PURCHASES @ COST-COMPUTER EQUI</v>
      </c>
      <c r="C62" s="11"/>
      <c r="D62" s="2">
        <v>147.19999999999999</v>
      </c>
      <c r="E62" s="2"/>
      <c r="F62" s="19">
        <f t="shared" si="8"/>
        <v>6.7760408035500586E-3</v>
      </c>
      <c r="G62" s="2"/>
      <c r="H62" s="2">
        <v>95.15</v>
      </c>
      <c r="I62" s="2"/>
      <c r="J62" s="19">
        <f t="shared" si="9"/>
        <v>3.3299934240066807E-3</v>
      </c>
      <c r="K62" s="2"/>
      <c r="L62" s="2">
        <f t="shared" si="10"/>
        <v>52.049999999999983</v>
      </c>
      <c r="M62" s="2"/>
      <c r="N62" s="19">
        <f t="shared" si="11"/>
        <v>0.54703100367840229</v>
      </c>
      <c r="O62" s="11"/>
      <c r="P62" s="2">
        <v>339.4</v>
      </c>
      <c r="Q62" s="2"/>
      <c r="R62" s="19">
        <f t="shared" si="12"/>
        <v>1.2624416901840132E-3</v>
      </c>
      <c r="S62" s="2"/>
      <c r="T62" s="2">
        <v>518.04</v>
      </c>
      <c r="U62" s="2"/>
      <c r="V62" s="19">
        <f t="shared" si="13"/>
        <v>1.9443832232051656E-3</v>
      </c>
      <c r="W62" s="2"/>
      <c r="X62" s="2">
        <f t="shared" si="14"/>
        <v>-178.64</v>
      </c>
      <c r="Y62" s="2"/>
      <c r="Z62" s="19">
        <f t="shared" si="15"/>
        <v>-0.3448382364296193</v>
      </c>
    </row>
    <row r="63" spans="1:26" s="24" customFormat="1" hidden="1" outlineLevel="1" x14ac:dyDescent="0.25">
      <c r="A63" s="44"/>
      <c r="B63" s="11" t="str">
        <f>CONCATENATE("          ", "5086", " - ", "PURCHASES @ COST-COMPUTER SUPP")</f>
        <v xml:space="preserve">          5086 - PURCHASES @ COST-COMPUTER SUPP</v>
      </c>
      <c r="C63" s="11"/>
      <c r="D63" s="2">
        <v>151.26</v>
      </c>
      <c r="E63" s="2"/>
      <c r="F63" s="19">
        <f t="shared" si="8"/>
        <v>6.9629343202784093E-3</v>
      </c>
      <c r="G63" s="2"/>
      <c r="H63" s="2">
        <v>146.41999999999999</v>
      </c>
      <c r="I63" s="2"/>
      <c r="J63" s="19">
        <f t="shared" si="9"/>
        <v>5.124305172286475E-3</v>
      </c>
      <c r="K63" s="2"/>
      <c r="L63" s="2">
        <f t="shared" si="10"/>
        <v>4.8400000000000034</v>
      </c>
      <c r="M63" s="2"/>
      <c r="N63" s="19">
        <f t="shared" si="11"/>
        <v>3.3055593498156018E-2</v>
      </c>
      <c r="O63" s="11"/>
      <c r="P63" s="2">
        <v>379.26</v>
      </c>
      <c r="Q63" s="2"/>
      <c r="R63" s="19">
        <f t="shared" si="12"/>
        <v>1.4107060560376809E-3</v>
      </c>
      <c r="S63" s="2"/>
      <c r="T63" s="2">
        <v>635.17999999999995</v>
      </c>
      <c r="U63" s="2"/>
      <c r="V63" s="19">
        <f t="shared" si="13"/>
        <v>2.384050142296844E-3</v>
      </c>
      <c r="W63" s="2"/>
      <c r="X63" s="2">
        <f t="shared" si="14"/>
        <v>-255.91999999999996</v>
      </c>
      <c r="Y63" s="2"/>
      <c r="Z63" s="19">
        <f t="shared" si="15"/>
        <v>-0.40290941150539999</v>
      </c>
    </row>
    <row r="64" spans="1:26" s="24" customFormat="1" hidden="1" outlineLevel="1" x14ac:dyDescent="0.25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-11383</v>
      </c>
      <c r="E64" s="2"/>
      <c r="F64" s="19">
        <f t="shared" si="8"/>
        <v>-0.5239923401277875</v>
      </c>
      <c r="G64" s="2"/>
      <c r="H64" s="2">
        <v>-16147</v>
      </c>
      <c r="I64" s="2"/>
      <c r="J64" s="19">
        <f t="shared" si="9"/>
        <v>-0.56510145893258934</v>
      </c>
      <c r="K64" s="2"/>
      <c r="L64" s="2">
        <f t="shared" si="10"/>
        <v>4764</v>
      </c>
      <c r="M64" s="2"/>
      <c r="N64" s="19">
        <f t="shared" si="11"/>
        <v>-0.29503932619062362</v>
      </c>
      <c r="O64" s="11"/>
      <c r="P64" s="2">
        <v>-148230</v>
      </c>
      <c r="Q64" s="2"/>
      <c r="R64" s="19">
        <f t="shared" si="12"/>
        <v>-0.55136043528572865</v>
      </c>
      <c r="S64" s="2"/>
      <c r="T64" s="2">
        <v>-141044</v>
      </c>
      <c r="U64" s="2"/>
      <c r="V64" s="19">
        <f t="shared" si="13"/>
        <v>-0.52938689547862983</v>
      </c>
      <c r="W64" s="2"/>
      <c r="X64" s="2">
        <f t="shared" si="14"/>
        <v>-7186</v>
      </c>
      <c r="Y64" s="2"/>
      <c r="Z64" s="19">
        <f t="shared" si="15"/>
        <v>5.0948640140665323E-2</v>
      </c>
    </row>
    <row r="65" spans="1:26" s="24" customFormat="1" hidden="1" outlineLevel="1" x14ac:dyDescent="0.25">
      <c r="A65" s="44"/>
      <c r="B65" s="11" t="str">
        <f>CONCATENATE("          ", "5300", " - ", "COG$ OFFSET")</f>
        <v xml:space="preserve">          5300 - COG$ OFFSET</v>
      </c>
      <c r="C65" s="11"/>
      <c r="D65" s="2">
        <v>11343</v>
      </c>
      <c r="E65" s="2"/>
      <c r="F65" s="19">
        <f t="shared" si="8"/>
        <v>0.52215102469204022</v>
      </c>
      <c r="G65" s="2"/>
      <c r="H65" s="2">
        <v>15204</v>
      </c>
      <c r="I65" s="2"/>
      <c r="J65" s="19">
        <f t="shared" si="9"/>
        <v>0.53209900177191349</v>
      </c>
      <c r="K65" s="2"/>
      <c r="L65" s="2">
        <f t="shared" si="10"/>
        <v>-3861</v>
      </c>
      <c r="M65" s="2"/>
      <c r="N65" s="19">
        <f t="shared" si="11"/>
        <v>-0.25394632991318072</v>
      </c>
      <c r="O65" s="11"/>
      <c r="P65" s="2">
        <v>141110</v>
      </c>
      <c r="Q65" s="2"/>
      <c r="R65" s="19">
        <f t="shared" si="12"/>
        <v>0.52487668503790841</v>
      </c>
      <c r="S65" s="2"/>
      <c r="T65" s="2">
        <v>143328</v>
      </c>
      <c r="U65" s="2"/>
      <c r="V65" s="19">
        <f t="shared" si="13"/>
        <v>0.5379595371313991</v>
      </c>
      <c r="W65" s="2"/>
      <c r="X65" s="2">
        <f t="shared" si="14"/>
        <v>-2218</v>
      </c>
      <c r="Y65" s="2"/>
      <c r="Z65" s="19">
        <f t="shared" si="15"/>
        <v>-1.5474994418396964E-2</v>
      </c>
    </row>
    <row r="66" spans="1:26" s="24" customFormat="1" hidden="1" outlineLevel="1" x14ac:dyDescent="0.25">
      <c r="A66" s="44"/>
      <c r="B66" s="11" t="str">
        <f>CONCATENATE("          ", "5500", " - ", "FREIGHT-IN")</f>
        <v xml:space="preserve">          5500 - FREIGHT-IN</v>
      </c>
      <c r="C66" s="11"/>
      <c r="D66" s="2">
        <v>80</v>
      </c>
      <c r="E66" s="2"/>
      <c r="F66" s="19">
        <f t="shared" si="8"/>
        <v>3.6826308714945971E-3</v>
      </c>
      <c r="G66" s="2"/>
      <c r="H66" s="2"/>
      <c r="I66" s="2"/>
      <c r="J66" s="19">
        <f t="shared" si="9"/>
        <v>0</v>
      </c>
      <c r="K66" s="2"/>
      <c r="L66" s="2">
        <f t="shared" si="10"/>
        <v>80</v>
      </c>
      <c r="M66" s="2"/>
      <c r="N66" s="19">
        <f t="shared" si="11"/>
        <v>0</v>
      </c>
      <c r="O66" s="11"/>
      <c r="P66" s="2">
        <v>80</v>
      </c>
      <c r="Q66" s="2"/>
      <c r="R66" s="19">
        <f t="shared" si="12"/>
        <v>2.9757022750359771E-4</v>
      </c>
      <c r="S66" s="2"/>
      <c r="T66" s="2"/>
      <c r="U66" s="2"/>
      <c r="V66" s="19">
        <f t="shared" si="13"/>
        <v>0</v>
      </c>
      <c r="W66" s="2"/>
      <c r="X66" s="2">
        <f t="shared" si="14"/>
        <v>80</v>
      </c>
      <c r="Y66" s="2"/>
      <c r="Z66" s="19">
        <f t="shared" si="15"/>
        <v>0</v>
      </c>
    </row>
    <row r="67" spans="1:26" s="24" customFormat="1" hidden="1" outlineLevel="1" x14ac:dyDescent="0.25">
      <c r="A67" s="44"/>
      <c r="B67" s="11" t="str">
        <f>CONCATENATE("          ", "5527", " - ", "FREIGHT-IN-SCHOOL SUPPLIES")</f>
        <v xml:space="preserve">          5527 - FREIGHT-IN-SCHOOL SUPPLIES</v>
      </c>
      <c r="C67" s="11"/>
      <c r="D67" s="2"/>
      <c r="E67" s="2"/>
      <c r="F67" s="19">
        <f t="shared" si="8"/>
        <v>0</v>
      </c>
      <c r="G67" s="2"/>
      <c r="H67" s="2"/>
      <c r="I67" s="2"/>
      <c r="J67" s="19">
        <f t="shared" si="9"/>
        <v>0</v>
      </c>
      <c r="K67" s="2"/>
      <c r="L67" s="2">
        <f t="shared" si="10"/>
        <v>0</v>
      </c>
      <c r="M67" s="2"/>
      <c r="N67" s="19">
        <f t="shared" si="11"/>
        <v>0</v>
      </c>
      <c r="O67" s="11"/>
      <c r="P67" s="2">
        <v>12.52</v>
      </c>
      <c r="Q67" s="2"/>
      <c r="R67" s="19">
        <f t="shared" si="12"/>
        <v>4.6569740604313039E-5</v>
      </c>
      <c r="S67" s="2"/>
      <c r="T67" s="2">
        <v>88.48</v>
      </c>
      <c r="U67" s="2"/>
      <c r="V67" s="19">
        <f t="shared" si="13"/>
        <v>3.3209603040150004E-4</v>
      </c>
      <c r="W67" s="2"/>
      <c r="X67" s="2">
        <f t="shared" si="14"/>
        <v>-75.960000000000008</v>
      </c>
      <c r="Y67" s="2"/>
      <c r="Z67" s="19">
        <f t="shared" si="15"/>
        <v>-0.85849909584086803</v>
      </c>
    </row>
    <row r="68" spans="1:26" s="24" customFormat="1" hidden="1" outlineLevel="1" x14ac:dyDescent="0.25">
      <c r="A68" s="44"/>
      <c r="B68" s="11" t="str">
        <f>CONCATENATE("          ", "5528", " - ", "FREIGHT-IN-ART/TECH")</f>
        <v xml:space="preserve">          5528 - FREIGHT-IN-ART/TECH</v>
      </c>
      <c r="C68" s="11"/>
      <c r="D68" s="2">
        <v>178.04</v>
      </c>
      <c r="E68" s="2"/>
      <c r="F68" s="19">
        <f t="shared" si="8"/>
        <v>8.1956950045112258E-3</v>
      </c>
      <c r="G68" s="2"/>
      <c r="H68" s="2">
        <v>152.88</v>
      </c>
      <c r="I68" s="2"/>
      <c r="J68" s="19">
        <f t="shared" si="9"/>
        <v>5.3503877526236603E-3</v>
      </c>
      <c r="K68" s="2"/>
      <c r="L68" s="2">
        <f t="shared" si="10"/>
        <v>25.159999999999997</v>
      </c>
      <c r="M68" s="2"/>
      <c r="N68" s="19">
        <f t="shared" si="11"/>
        <v>0.16457352171637885</v>
      </c>
      <c r="O68" s="11"/>
      <c r="P68" s="2">
        <v>1053.73</v>
      </c>
      <c r="Q68" s="2"/>
      <c r="R68" s="19">
        <f t="shared" si="12"/>
        <v>3.9194834478420756E-3</v>
      </c>
      <c r="S68" s="2"/>
      <c r="T68" s="2">
        <v>4641.75</v>
      </c>
      <c r="U68" s="2"/>
      <c r="V68" s="19">
        <f t="shared" si="13"/>
        <v>1.7422092553302019E-2</v>
      </c>
      <c r="W68" s="2"/>
      <c r="X68" s="2">
        <f t="shared" si="14"/>
        <v>-3588.02</v>
      </c>
      <c r="Y68" s="2"/>
      <c r="Z68" s="19">
        <f t="shared" si="15"/>
        <v>-0.77298863575160226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6</v>
      </c>
      <c r="C70" s="29"/>
      <c r="D70" s="20">
        <f>D12-D48</f>
        <v>10300.22999999999</v>
      </c>
      <c r="E70" s="14"/>
      <c r="F70" s="21">
        <f>IF(D$12=0,0,D70/D$12)</f>
        <v>0.47414931226868451</v>
      </c>
      <c r="G70" s="14"/>
      <c r="H70" s="20">
        <f>H12-H48</f>
        <v>13367.65</v>
      </c>
      <c r="I70" s="14"/>
      <c r="J70" s="21">
        <f>IF(H$12=0,0,H70/H$12)</f>
        <v>0.46783170356724019</v>
      </c>
      <c r="K70" s="15"/>
      <c r="L70" s="20">
        <f>+D70-H70</f>
        <v>-3067.4200000000092</v>
      </c>
      <c r="M70" s="15"/>
      <c r="N70" s="21">
        <f>IF(H70=0,0,L70/H70)</f>
        <v>-0.2294659121087109</v>
      </c>
      <c r="O70" s="28"/>
      <c r="P70" s="20">
        <f>P12-P48</f>
        <v>127657.09000000008</v>
      </c>
      <c r="Q70" s="14"/>
      <c r="R70" s="21">
        <f>IF(P$12=0,0,P70/P$12)</f>
        <v>0.47483686642184092</v>
      </c>
      <c r="S70" s="14"/>
      <c r="T70" s="20">
        <f>T12-T48</f>
        <v>123096.8299999999</v>
      </c>
      <c r="U70" s="14"/>
      <c r="V70" s="21">
        <f>IF(T$12=0,0,T70/T$12)</f>
        <v>0.46202496155072609</v>
      </c>
      <c r="W70" s="15"/>
      <c r="X70" s="20">
        <f>+P70-T70</f>
        <v>4560.2600000001839</v>
      </c>
      <c r="Y70" s="15"/>
      <c r="Z70" s="21">
        <f>IF(T70=0,0,X70/T70)</f>
        <v>3.704612052154542E-2</v>
      </c>
    </row>
    <row r="71" spans="1:26" x14ac:dyDescent="0.25">
      <c r="A71" s="9"/>
      <c r="B71" s="10"/>
      <c r="C71" s="9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9</v>
      </c>
      <c r="C72" s="10"/>
      <c r="D72" s="22">
        <f>SUM(OSRRefD22x_0)</f>
        <v>10040.460000000001</v>
      </c>
      <c r="E72" s="22"/>
      <c r="F72" s="33">
        <f t="shared" ref="F72:F81" si="16">IF(D$12=0,0,D72/D$12)</f>
        <v>0.46219134950008312</v>
      </c>
      <c r="G72" s="22"/>
      <c r="H72" s="22">
        <f>SUM(OSRRefH22x_0)</f>
        <v>9266.0400000000027</v>
      </c>
      <c r="I72" s="22"/>
      <c r="J72" s="33">
        <f t="shared" ref="J72:J81" si="17">IF(H$12=0,0,H72/H$12)</f>
        <v>0.3242864137318221</v>
      </c>
      <c r="K72" s="4"/>
      <c r="L72" s="22">
        <f t="shared" ref="L72:L81" si="18">+D72-H72</f>
        <v>774.41999999999825</v>
      </c>
      <c r="M72" s="4"/>
      <c r="N72" s="33">
        <f t="shared" ref="N72:N81" si="19">IF(H72=0,0,L72/H72)</f>
        <v>8.3576155509796857E-2</v>
      </c>
      <c r="O72" s="10"/>
      <c r="P72" s="22">
        <f>SUM(OSRRefP22x_0)</f>
        <v>70669.340000000011</v>
      </c>
      <c r="Q72" s="22"/>
      <c r="R72" s="33">
        <f t="shared" ref="R72:R81" si="20">IF(P$12=0,0,P72/P$12)</f>
        <v>0.26286364476661378</v>
      </c>
      <c r="S72" s="22"/>
      <c r="T72" s="22">
        <f>SUM(OSRRefT22x_0)</f>
        <v>64466.799999999996</v>
      </c>
      <c r="U72" s="22"/>
      <c r="V72" s="33">
        <f t="shared" ref="V72:V81" si="21">IF(T$12=0,0,T72/T$12)</f>
        <v>0.2419661886605721</v>
      </c>
      <c r="W72" s="4"/>
      <c r="X72" s="22">
        <f t="shared" ref="X72:X81" si="22">+P72-T72</f>
        <v>6202.5400000000154</v>
      </c>
      <c r="Y72" s="4"/>
      <c r="Z72" s="33">
        <f t="shared" ref="Z72:Z81" si="23">IF(T72=0,0,X72/T72)</f>
        <v>9.621293440964987E-2</v>
      </c>
    </row>
    <row r="73" spans="1:26" s="27" customFormat="1" outlineLevel="1" collapsed="1" x14ac:dyDescent="0.25">
      <c r="A73" s="25"/>
      <c r="B73" s="13" t="str">
        <f>CONCATENATE("     ","*Benefits                                         ")</f>
        <v xml:space="preserve">     *Benefits                                         </v>
      </c>
      <c r="C73" s="13"/>
      <c r="D73" s="1">
        <f>SUM(OSRRefD22_0x_0)</f>
        <v>2102.62</v>
      </c>
      <c r="E73" s="1"/>
      <c r="F73" s="5">
        <f t="shared" si="16"/>
        <v>9.6789666537774627E-2</v>
      </c>
      <c r="G73" s="1"/>
      <c r="H73" s="1">
        <f>SUM(OSRRefH22_0x_0)</f>
        <v>1475.6100000000001</v>
      </c>
      <c r="I73" s="1"/>
      <c r="J73" s="5">
        <f t="shared" si="17"/>
        <v>5.1642370955317901E-2</v>
      </c>
      <c r="K73" s="1"/>
      <c r="L73" s="1">
        <f t="shared" si="18"/>
        <v>627.00999999999976</v>
      </c>
      <c r="M73" s="1"/>
      <c r="N73" s="5">
        <f t="shared" si="19"/>
        <v>0.4249157975345787</v>
      </c>
      <c r="O73" s="13"/>
      <c r="P73" s="1">
        <f>SUM(OSRRefP22_0x_0)</f>
        <v>11604.459999999997</v>
      </c>
      <c r="Q73" s="1"/>
      <c r="R73" s="5">
        <f t="shared" si="20"/>
        <v>4.3164272528204983E-2</v>
      </c>
      <c r="S73" s="1"/>
      <c r="T73" s="1">
        <f>SUM(OSRRefT22_0x_0)</f>
        <v>10722.54</v>
      </c>
      <c r="U73" s="1"/>
      <c r="V73" s="5">
        <f t="shared" si="21"/>
        <v>4.0245399749336573E-2</v>
      </c>
      <c r="W73" s="1"/>
      <c r="X73" s="1">
        <f t="shared" si="22"/>
        <v>881.91999999999643</v>
      </c>
      <c r="Y73" s="1"/>
      <c r="Z73" s="5">
        <f t="shared" si="23"/>
        <v>8.224916857386369E-2</v>
      </c>
    </row>
    <row r="74" spans="1:26" s="24" customFormat="1" hidden="1" outlineLevel="2" x14ac:dyDescent="0.25">
      <c r="A74" s="26"/>
      <c r="B74" s="11" t="str">
        <f>CONCATENATE("          ", "6111", " - ", "F.I.C.A.")</f>
        <v xml:space="preserve">          6111 - F.I.C.A.</v>
      </c>
      <c r="C74" s="11"/>
      <c r="D74" s="6">
        <v>254.78</v>
      </c>
      <c r="E74" s="2"/>
      <c r="F74" s="7">
        <f t="shared" si="16"/>
        <v>1.1728258667992418E-2</v>
      </c>
      <c r="G74" s="2"/>
      <c r="H74" s="6">
        <v>245.22</v>
      </c>
      <c r="I74" s="2"/>
      <c r="J74" s="7">
        <f t="shared" si="17"/>
        <v>8.5820387539140112E-3</v>
      </c>
      <c r="K74" s="2"/>
      <c r="L74" s="6">
        <f t="shared" si="18"/>
        <v>9.5600000000000023</v>
      </c>
      <c r="M74" s="2"/>
      <c r="N74" s="7">
        <f t="shared" si="19"/>
        <v>3.8985400864529819E-2</v>
      </c>
      <c r="O74" s="11"/>
      <c r="P74" s="6">
        <v>1777.43</v>
      </c>
      <c r="Q74" s="2"/>
      <c r="R74" s="7">
        <f t="shared" si="20"/>
        <v>6.611378118396496E-3</v>
      </c>
      <c r="S74" s="2"/>
      <c r="T74" s="6">
        <v>2472.9</v>
      </c>
      <c r="U74" s="2"/>
      <c r="V74" s="7">
        <f t="shared" si="21"/>
        <v>9.2816486616169695E-3</v>
      </c>
      <c r="W74" s="2"/>
      <c r="X74" s="6">
        <f t="shared" si="22"/>
        <v>-695.47</v>
      </c>
      <c r="Y74" s="2"/>
      <c r="Z74" s="7">
        <f t="shared" si="23"/>
        <v>-0.2812366047959885</v>
      </c>
    </row>
    <row r="75" spans="1:26" s="24" customFormat="1" hidden="1" outlineLevel="2" x14ac:dyDescent="0.25">
      <c r="A75" s="26"/>
      <c r="B75" s="11" t="str">
        <f>CONCATENATE("          ", "6112", " - ", "COMPENSATION INSURANCE")</f>
        <v xml:space="preserve">          6112 - COMPENSATION INSURANCE</v>
      </c>
      <c r="C75" s="11"/>
      <c r="D75" s="6">
        <v>227.41</v>
      </c>
      <c r="E75" s="2"/>
      <c r="F75" s="7">
        <f t="shared" si="16"/>
        <v>1.0468338581082329E-2</v>
      </c>
      <c r="G75" s="2"/>
      <c r="H75" s="6">
        <v>110</v>
      </c>
      <c r="I75" s="2"/>
      <c r="J75" s="7">
        <f t="shared" si="17"/>
        <v>3.8497033803545442E-3</v>
      </c>
      <c r="K75" s="2"/>
      <c r="L75" s="6">
        <f t="shared" si="18"/>
        <v>117.41</v>
      </c>
      <c r="M75" s="2"/>
      <c r="N75" s="7">
        <f t="shared" si="19"/>
        <v>1.0673636363636363</v>
      </c>
      <c r="O75" s="11"/>
      <c r="P75" s="6">
        <v>811.47</v>
      </c>
      <c r="Q75" s="2"/>
      <c r="R75" s="7">
        <f t="shared" si="20"/>
        <v>3.0183664064043054E-3</v>
      </c>
      <c r="S75" s="2"/>
      <c r="T75" s="6">
        <v>586.16999999999996</v>
      </c>
      <c r="U75" s="2"/>
      <c r="V75" s="7">
        <f t="shared" si="21"/>
        <v>2.2000986679526135E-3</v>
      </c>
      <c r="W75" s="2"/>
      <c r="X75" s="6">
        <f t="shared" si="22"/>
        <v>225.30000000000007</v>
      </c>
      <c r="Y75" s="2"/>
      <c r="Z75" s="7">
        <f t="shared" si="23"/>
        <v>0.38435948615589349</v>
      </c>
    </row>
    <row r="76" spans="1:26" s="24" customFormat="1" hidden="1" outlineLevel="2" x14ac:dyDescent="0.25">
      <c r="A76" s="26"/>
      <c r="B76" s="11" t="str">
        <f>CONCATENATE("          ", "6113", " - ", "GROUP INSURANCE")</f>
        <v xml:space="preserve">          6113 - GROUP INSURANCE</v>
      </c>
      <c r="C76" s="11"/>
      <c r="D76" s="6">
        <v>966.41</v>
      </c>
      <c r="E76" s="2"/>
      <c r="F76" s="7">
        <f t="shared" si="16"/>
        <v>4.4486641256513672E-2</v>
      </c>
      <c r="G76" s="2"/>
      <c r="H76" s="6">
        <v>526.20000000000005</v>
      </c>
      <c r="I76" s="2"/>
      <c r="J76" s="7">
        <f t="shared" si="17"/>
        <v>1.8415581079477831E-2</v>
      </c>
      <c r="K76" s="2"/>
      <c r="L76" s="6">
        <f t="shared" si="18"/>
        <v>440.20999999999992</v>
      </c>
      <c r="M76" s="2"/>
      <c r="N76" s="7">
        <f t="shared" si="19"/>
        <v>0.83658304827061936</v>
      </c>
      <c r="O76" s="11"/>
      <c r="P76" s="6">
        <v>5061.4799999999996</v>
      </c>
      <c r="Q76" s="2"/>
      <c r="R76" s="7">
        <f t="shared" si="20"/>
        <v>1.8826821938811369E-2</v>
      </c>
      <c r="S76" s="2"/>
      <c r="T76" s="6">
        <v>3156.3</v>
      </c>
      <c r="U76" s="2"/>
      <c r="V76" s="7">
        <f t="shared" si="21"/>
        <v>1.1846685135129459E-2</v>
      </c>
      <c r="W76" s="2"/>
      <c r="X76" s="6">
        <f t="shared" si="22"/>
        <v>1905.1799999999994</v>
      </c>
      <c r="Y76" s="2"/>
      <c r="Z76" s="7">
        <f t="shared" si="23"/>
        <v>0.60361182397110513</v>
      </c>
    </row>
    <row r="77" spans="1:26" s="24" customFormat="1" hidden="1" outlineLevel="2" x14ac:dyDescent="0.25">
      <c r="A77" s="26"/>
      <c r="B77" s="11" t="str">
        <f>CONCATENATE("          ", "6114", " - ", "STATE UNEMPLOYMENT INSURANCE")</f>
        <v xml:space="preserve">          6114 - STATE UNEMPLOYMENT INSURANCE</v>
      </c>
      <c r="C77" s="11"/>
      <c r="D77" s="6">
        <v>31.12</v>
      </c>
      <c r="E77" s="2"/>
      <c r="F77" s="7">
        <f t="shared" si="16"/>
        <v>1.4325434090113984E-3</v>
      </c>
      <c r="G77" s="2"/>
      <c r="H77" s="6">
        <v>24.03</v>
      </c>
      <c r="I77" s="2"/>
      <c r="J77" s="7">
        <f t="shared" si="17"/>
        <v>8.4098520209017905E-4</v>
      </c>
      <c r="K77" s="2"/>
      <c r="L77" s="6">
        <f t="shared" si="18"/>
        <v>7.09</v>
      </c>
      <c r="M77" s="2"/>
      <c r="N77" s="7">
        <f t="shared" si="19"/>
        <v>0.29504785684560964</v>
      </c>
      <c r="O77" s="11"/>
      <c r="P77" s="6">
        <v>133.44</v>
      </c>
      <c r="Q77" s="2"/>
      <c r="R77" s="7">
        <f t="shared" si="20"/>
        <v>4.9634713947600102E-4</v>
      </c>
      <c r="S77" s="2"/>
      <c r="T77" s="6">
        <v>128.07</v>
      </c>
      <c r="U77" s="2"/>
      <c r="V77" s="7">
        <f t="shared" si="21"/>
        <v>4.8069098794665578E-4</v>
      </c>
      <c r="W77" s="2"/>
      <c r="X77" s="6">
        <f t="shared" si="22"/>
        <v>5.3700000000000045</v>
      </c>
      <c r="Y77" s="2"/>
      <c r="Z77" s="7">
        <f t="shared" si="23"/>
        <v>4.1930194424923906E-2</v>
      </c>
    </row>
    <row r="78" spans="1:26" s="24" customFormat="1" hidden="1" outlineLevel="2" x14ac:dyDescent="0.25">
      <c r="A78" s="26"/>
      <c r="B78" s="11" t="str">
        <f>CONCATENATE("          ", "6115", " - ", "P.E.R.S.")</f>
        <v xml:space="preserve">          6115 - P.E.R.S.</v>
      </c>
      <c r="C78" s="11"/>
      <c r="D78" s="6">
        <v>206.11</v>
      </c>
      <c r="E78" s="2"/>
      <c r="F78" s="7">
        <f t="shared" si="16"/>
        <v>9.4878381115468934E-3</v>
      </c>
      <c r="G78" s="2"/>
      <c r="H78" s="6">
        <v>187.84</v>
      </c>
      <c r="I78" s="2"/>
      <c r="J78" s="7">
        <f t="shared" si="17"/>
        <v>6.5738934815072507E-3</v>
      </c>
      <c r="K78" s="2"/>
      <c r="L78" s="6">
        <f t="shared" si="18"/>
        <v>18.27000000000001</v>
      </c>
      <c r="M78" s="2"/>
      <c r="N78" s="7">
        <f t="shared" si="19"/>
        <v>9.7263628620102266E-2</v>
      </c>
      <c r="O78" s="11"/>
      <c r="P78" s="6">
        <v>1243.1199999999999</v>
      </c>
      <c r="Q78" s="2"/>
      <c r="R78" s="7">
        <f t="shared" si="20"/>
        <v>4.6239437651784043E-3</v>
      </c>
      <c r="S78" s="2"/>
      <c r="T78" s="6">
        <v>1499.06</v>
      </c>
      <c r="U78" s="2"/>
      <c r="V78" s="7">
        <f t="shared" si="21"/>
        <v>5.6264904535903324E-3</v>
      </c>
      <c r="W78" s="2"/>
      <c r="X78" s="6">
        <f t="shared" si="22"/>
        <v>-255.94000000000005</v>
      </c>
      <c r="Y78" s="2"/>
      <c r="Z78" s="7">
        <f t="shared" si="23"/>
        <v>-0.17073365976011637</v>
      </c>
    </row>
    <row r="79" spans="1:26" s="24" customFormat="1" hidden="1" outlineLevel="2" x14ac:dyDescent="0.25">
      <c r="A79" s="26"/>
      <c r="B79" s="11" t="str">
        <f>CONCATENATE("          ", "6118", " - ", "VACATION")</f>
        <v xml:space="preserve">          6118 - VACATION</v>
      </c>
      <c r="C79" s="11"/>
      <c r="D79" s="6">
        <v>145.84</v>
      </c>
      <c r="E79" s="2"/>
      <c r="F79" s="7">
        <f t="shared" si="16"/>
        <v>6.7134360787346513E-3</v>
      </c>
      <c r="G79" s="2"/>
      <c r="H79" s="6">
        <v>105.69</v>
      </c>
      <c r="I79" s="2"/>
      <c r="J79" s="7">
        <f t="shared" si="17"/>
        <v>3.6988650024515615E-3</v>
      </c>
      <c r="K79" s="2"/>
      <c r="L79" s="6">
        <f t="shared" si="18"/>
        <v>40.150000000000006</v>
      </c>
      <c r="M79" s="2"/>
      <c r="N79" s="7">
        <f t="shared" si="19"/>
        <v>0.37988456807645005</v>
      </c>
      <c r="O79" s="11"/>
      <c r="P79" s="6">
        <v>1249.32</v>
      </c>
      <c r="Q79" s="2"/>
      <c r="R79" s="7">
        <f t="shared" si="20"/>
        <v>4.6470054578099333E-3</v>
      </c>
      <c r="S79" s="2"/>
      <c r="T79" s="6">
        <v>809.27</v>
      </c>
      <c r="U79" s="2"/>
      <c r="V79" s="7">
        <f t="shared" si="21"/>
        <v>3.0374701008478969E-3</v>
      </c>
      <c r="W79" s="2"/>
      <c r="X79" s="6">
        <f t="shared" si="22"/>
        <v>440.04999999999995</v>
      </c>
      <c r="Y79" s="2"/>
      <c r="Z79" s="7">
        <f t="shared" si="23"/>
        <v>0.54376166174453511</v>
      </c>
    </row>
    <row r="80" spans="1:26" s="24" customFormat="1" hidden="1" outlineLevel="2" x14ac:dyDescent="0.25">
      <c r="A80" s="26"/>
      <c r="B80" s="11" t="str">
        <f>CONCATENATE("          ", "6119", " - ", "SICK LEAVE")</f>
        <v xml:space="preserve">          6119 - SICK LEAVE</v>
      </c>
      <c r="C80" s="11"/>
      <c r="D80" s="6">
        <v>102.89</v>
      </c>
      <c r="E80" s="2"/>
      <c r="F80" s="7">
        <f t="shared" si="16"/>
        <v>4.7363236296009891E-3</v>
      </c>
      <c r="G80" s="2"/>
      <c r="H80" s="6">
        <v>126.63</v>
      </c>
      <c r="I80" s="2"/>
      <c r="J80" s="7">
        <f t="shared" si="17"/>
        <v>4.4317085368572352E-3</v>
      </c>
      <c r="K80" s="2"/>
      <c r="L80" s="6">
        <f t="shared" si="18"/>
        <v>-23.739999999999995</v>
      </c>
      <c r="M80" s="2"/>
      <c r="N80" s="7">
        <f t="shared" si="19"/>
        <v>-0.18747532180367998</v>
      </c>
      <c r="O80" s="11"/>
      <c r="P80" s="6">
        <v>376.14</v>
      </c>
      <c r="Q80" s="2"/>
      <c r="R80" s="7">
        <f t="shared" si="20"/>
        <v>1.3991008171650404E-3</v>
      </c>
      <c r="S80" s="2"/>
      <c r="T80" s="6">
        <v>1172.03</v>
      </c>
      <c r="U80" s="2"/>
      <c r="V80" s="7">
        <f t="shared" si="21"/>
        <v>4.3990337987281879E-3</v>
      </c>
      <c r="W80" s="2"/>
      <c r="X80" s="6">
        <f t="shared" si="22"/>
        <v>-795.89</v>
      </c>
      <c r="Y80" s="2"/>
      <c r="Z80" s="7">
        <f t="shared" si="23"/>
        <v>-0.6790696483878399</v>
      </c>
    </row>
    <row r="81" spans="1:26" s="24" customFormat="1" hidden="1" outlineLevel="2" x14ac:dyDescent="0.25">
      <c r="A81" s="26"/>
      <c r="B81" s="11" t="str">
        <f>CONCATENATE("          ", "6156", " - ", "EMPLOYEE MEALS")</f>
        <v xml:space="preserve">          6156 - EMPLOYEE MEALS</v>
      </c>
      <c r="C81" s="11"/>
      <c r="D81" s="6">
        <v>168.06</v>
      </c>
      <c r="E81" s="2"/>
      <c r="F81" s="7">
        <f t="shared" si="16"/>
        <v>7.7362868032922749E-3</v>
      </c>
      <c r="G81" s="2"/>
      <c r="H81" s="6">
        <v>150</v>
      </c>
      <c r="I81" s="2"/>
      <c r="J81" s="7">
        <f t="shared" si="17"/>
        <v>5.2495955186652871E-3</v>
      </c>
      <c r="K81" s="2"/>
      <c r="L81" s="6">
        <f t="shared" si="18"/>
        <v>18.060000000000002</v>
      </c>
      <c r="M81" s="2"/>
      <c r="N81" s="7">
        <f t="shared" si="19"/>
        <v>0.12040000000000002</v>
      </c>
      <c r="O81" s="11"/>
      <c r="P81" s="6">
        <v>952.06</v>
      </c>
      <c r="Q81" s="2"/>
      <c r="R81" s="7">
        <f t="shared" si="20"/>
        <v>3.5413088849634402E-3</v>
      </c>
      <c r="S81" s="2"/>
      <c r="T81" s="6">
        <v>898.74</v>
      </c>
      <c r="U81" s="2"/>
      <c r="V81" s="7">
        <f t="shared" si="21"/>
        <v>3.3732819435244588E-3</v>
      </c>
      <c r="W81" s="2"/>
      <c r="X81" s="6">
        <f t="shared" si="22"/>
        <v>53.319999999999936</v>
      </c>
      <c r="Y81" s="2"/>
      <c r="Z81" s="7">
        <f t="shared" si="23"/>
        <v>5.9327502948572378E-2</v>
      </c>
    </row>
    <row r="82" spans="1:26" s="27" customFormat="1" outlineLevel="1" collapsed="1" x14ac:dyDescent="0.25">
      <c r="A82" s="25"/>
      <c r="B82" s="13" t="str">
        <f>CONCATENATE("     ","*Payroll                                          ")</f>
        <v xml:space="preserve">     *Payroll                                          </v>
      </c>
      <c r="C82" s="13"/>
      <c r="D82" s="1">
        <f>SUM(OSRRefD22_1x_0)</f>
        <v>6985.42</v>
      </c>
      <c r="E82" s="1"/>
      <c r="F82" s="5">
        <f t="shared" ref="F82:F86" si="24">IF(D$12=0,0,D82/D$12)</f>
        <v>0.32155904177944739</v>
      </c>
      <c r="G82" s="1"/>
      <c r="H82" s="1">
        <f>SUM(OSRRefH22_1x_0)</f>
        <v>6424.85</v>
      </c>
      <c r="I82" s="1"/>
      <c r="J82" s="5">
        <f t="shared" ref="J82:J86" si="25">IF(H$12=0,0,H82/H$12)</f>
        <v>0.22485242512064449</v>
      </c>
      <c r="K82" s="1"/>
      <c r="L82" s="1">
        <f t="shared" ref="L82:L86" si="26">+D82-H82</f>
        <v>560.56999999999971</v>
      </c>
      <c r="M82" s="1"/>
      <c r="N82" s="5">
        <f t="shared" ref="N82:N86" si="27">IF(H82=0,0,L82/H82)</f>
        <v>8.7250285998894866E-2</v>
      </c>
      <c r="O82" s="13"/>
      <c r="P82" s="1">
        <f>SUM(OSRRefP22_1x_0)</f>
        <v>47640.04</v>
      </c>
      <c r="Q82" s="1"/>
      <c r="R82" s="5">
        <f t="shared" ref="R82:R86" si="28">IF(P$12=0,0,P82/P$12)</f>
        <v>0.17720321926350618</v>
      </c>
      <c r="S82" s="1"/>
      <c r="T82" s="1">
        <f>SUM(OSRRefT22_1x_0)</f>
        <v>41575.599999999999</v>
      </c>
      <c r="U82" s="1"/>
      <c r="V82" s="5">
        <f t="shared" ref="V82:V86" si="29">IF(T$12=0,0,T82/T$12)</f>
        <v>0.15604760083138114</v>
      </c>
      <c r="W82" s="1"/>
      <c r="X82" s="1">
        <f t="shared" ref="X82:X86" si="30">+P82-T82</f>
        <v>6064.4400000000023</v>
      </c>
      <c r="Y82" s="1"/>
      <c r="Z82" s="5">
        <f t="shared" ref="Z82:Z86" si="31">IF(T82=0,0,X82/T82)</f>
        <v>0.14586536333811184</v>
      </c>
    </row>
    <row r="83" spans="1:26" s="24" customFormat="1" hidden="1" outlineLevel="2" x14ac:dyDescent="0.25">
      <c r="A83" s="26"/>
      <c r="B83" s="11" t="str">
        <f>CONCATENATE("          ", "6002", " - ", "STAFF SALARIES")</f>
        <v xml:space="preserve">          6002 - STAFF SALARIES</v>
      </c>
      <c r="C83" s="11"/>
      <c r="D83" s="6">
        <v>1896.17</v>
      </c>
      <c r="E83" s="2"/>
      <c r="F83" s="7">
        <f t="shared" si="24"/>
        <v>8.7286177245023883E-2</v>
      </c>
      <c r="G83" s="2"/>
      <c r="H83" s="6">
        <v>2625.16</v>
      </c>
      <c r="I83" s="2"/>
      <c r="J83" s="7">
        <f t="shared" si="25"/>
        <v>9.1873521145195772E-2</v>
      </c>
      <c r="K83" s="2"/>
      <c r="L83" s="6">
        <f t="shared" si="26"/>
        <v>-728.98999999999978</v>
      </c>
      <c r="M83" s="2"/>
      <c r="N83" s="7">
        <f t="shared" si="27"/>
        <v>-0.27769355010742197</v>
      </c>
      <c r="O83" s="11"/>
      <c r="P83" s="6">
        <v>15836.02</v>
      </c>
      <c r="Q83" s="2"/>
      <c r="R83" s="7">
        <f t="shared" si="28"/>
        <v>5.8904100926894042E-2</v>
      </c>
      <c r="S83" s="2"/>
      <c r="T83" s="6">
        <v>16752.32</v>
      </c>
      <c r="U83" s="2"/>
      <c r="V83" s="7">
        <f t="shared" si="29"/>
        <v>6.287724877956212E-2</v>
      </c>
      <c r="W83" s="2"/>
      <c r="X83" s="6">
        <f t="shared" si="30"/>
        <v>-916.29999999999927</v>
      </c>
      <c r="Y83" s="2"/>
      <c r="Z83" s="7">
        <f t="shared" si="31"/>
        <v>-5.4696901682871342E-2</v>
      </c>
    </row>
    <row r="84" spans="1:26" s="24" customFormat="1" hidden="1" outlineLevel="2" x14ac:dyDescent="0.25">
      <c r="A84" s="26"/>
      <c r="B84" s="11" t="str">
        <f>CONCATENATE("          ", "6005", " - ", "TEMPORARY WAGES-HOURLY")</f>
        <v xml:space="preserve">          6005 - TEMPORARY WAGES-HOURLY</v>
      </c>
      <c r="C84" s="11"/>
      <c r="D84" s="6">
        <v>1094.76</v>
      </c>
      <c r="E84" s="2"/>
      <c r="F84" s="7">
        <f t="shared" si="24"/>
        <v>5.0394962160967817E-2</v>
      </c>
      <c r="G84" s="2"/>
      <c r="H84" s="6"/>
      <c r="I84" s="2"/>
      <c r="J84" s="7">
        <f t="shared" si="25"/>
        <v>0</v>
      </c>
      <c r="K84" s="2"/>
      <c r="L84" s="6">
        <f t="shared" si="26"/>
        <v>1094.76</v>
      </c>
      <c r="M84" s="2"/>
      <c r="N84" s="7">
        <f t="shared" si="27"/>
        <v>0</v>
      </c>
      <c r="O84" s="11"/>
      <c r="P84" s="6">
        <v>2776.77</v>
      </c>
      <c r="Q84" s="2"/>
      <c r="R84" s="7">
        <f t="shared" si="28"/>
        <v>1.0328551007814563E-2</v>
      </c>
      <c r="S84" s="2"/>
      <c r="T84" s="6"/>
      <c r="U84" s="2"/>
      <c r="V84" s="7">
        <f t="shared" si="29"/>
        <v>0</v>
      </c>
      <c r="W84" s="2"/>
      <c r="X84" s="6">
        <f t="shared" si="30"/>
        <v>2776.77</v>
      </c>
      <c r="Y84" s="2"/>
      <c r="Z84" s="7">
        <f t="shared" si="31"/>
        <v>0</v>
      </c>
    </row>
    <row r="85" spans="1:26" s="24" customFormat="1" hidden="1" outlineLevel="2" x14ac:dyDescent="0.25">
      <c r="A85" s="26"/>
      <c r="B85" s="11" t="str">
        <f>CONCATENATE("          ", "6006", " - ", "TEMPORARY PART TIME")</f>
        <v xml:space="preserve">          6006 - TEMPORARY PART TIME</v>
      </c>
      <c r="C85" s="11"/>
      <c r="D85" s="6"/>
      <c r="E85" s="2"/>
      <c r="F85" s="7">
        <f t="shared" si="24"/>
        <v>0</v>
      </c>
      <c r="G85" s="2"/>
      <c r="H85" s="6">
        <v>442.75</v>
      </c>
      <c r="I85" s="2"/>
      <c r="J85" s="7">
        <f t="shared" si="25"/>
        <v>1.549505610592704E-2</v>
      </c>
      <c r="K85" s="2"/>
      <c r="L85" s="6">
        <f t="shared" si="26"/>
        <v>-442.75</v>
      </c>
      <c r="M85" s="2"/>
      <c r="N85" s="7">
        <f t="shared" si="27"/>
        <v>-1</v>
      </c>
      <c r="O85" s="11"/>
      <c r="P85" s="6">
        <v>25.5</v>
      </c>
      <c r="Q85" s="2"/>
      <c r="R85" s="7">
        <f t="shared" si="28"/>
        <v>9.4850510016771764E-5</v>
      </c>
      <c r="S85" s="2"/>
      <c r="T85" s="6">
        <v>3877.5</v>
      </c>
      <c r="U85" s="2"/>
      <c r="V85" s="7">
        <f t="shared" si="29"/>
        <v>1.4553598077326134E-2</v>
      </c>
      <c r="W85" s="2"/>
      <c r="X85" s="6">
        <f t="shared" si="30"/>
        <v>-3852</v>
      </c>
      <c r="Y85" s="2"/>
      <c r="Z85" s="7">
        <f t="shared" si="31"/>
        <v>-0.99342359767891686</v>
      </c>
    </row>
    <row r="86" spans="1:26" s="24" customFormat="1" hidden="1" outlineLevel="2" x14ac:dyDescent="0.25">
      <c r="A86" s="26"/>
      <c r="B86" s="11" t="str">
        <f>CONCATENATE("          ", "6007", " - ", "STUDENT HOURLY")</f>
        <v xml:space="preserve">          6007 - STUDENT HOURLY</v>
      </c>
      <c r="C86" s="11"/>
      <c r="D86" s="6">
        <v>3994.49</v>
      </c>
      <c r="E86" s="2"/>
      <c r="F86" s="7">
        <f t="shared" si="24"/>
        <v>0.18387790237345567</v>
      </c>
      <c r="G86" s="2"/>
      <c r="H86" s="6">
        <v>3356.94</v>
      </c>
      <c r="I86" s="2"/>
      <c r="J86" s="7">
        <f t="shared" si="25"/>
        <v>0.11748384786952167</v>
      </c>
      <c r="K86" s="2"/>
      <c r="L86" s="6">
        <f t="shared" si="26"/>
        <v>637.54999999999973</v>
      </c>
      <c r="M86" s="2"/>
      <c r="N86" s="7">
        <f t="shared" si="27"/>
        <v>0.18991998665451265</v>
      </c>
      <c r="O86" s="11"/>
      <c r="P86" s="6">
        <v>29001.75</v>
      </c>
      <c r="Q86" s="2"/>
      <c r="R86" s="7">
        <f t="shared" si="28"/>
        <v>0.1078757168187808</v>
      </c>
      <c r="S86" s="2"/>
      <c r="T86" s="6">
        <v>20945.78</v>
      </c>
      <c r="U86" s="2"/>
      <c r="V86" s="7">
        <f t="shared" si="29"/>
        <v>7.8616753974492887E-2</v>
      </c>
      <c r="W86" s="2"/>
      <c r="X86" s="6">
        <f t="shared" si="30"/>
        <v>8055.9700000000012</v>
      </c>
      <c r="Y86" s="2"/>
      <c r="Z86" s="7">
        <f t="shared" si="31"/>
        <v>0.38461064710886878</v>
      </c>
    </row>
    <row r="87" spans="1:26" s="27" customFormat="1" outlineLevel="1" collapsed="1" x14ac:dyDescent="0.25">
      <c r="A87" s="25"/>
      <c r="B87" s="13" t="str">
        <f>CONCATENATE("     ","Advertising/Promo                                 ")</f>
        <v xml:space="preserve">     Advertising/Promo                                 </v>
      </c>
      <c r="C87" s="13"/>
      <c r="D87" s="1">
        <f>SUM(OSRRefD22_2x_0)</f>
        <v>0</v>
      </c>
      <c r="E87" s="1"/>
      <c r="F87" s="5">
        <f t="shared" ref="F87:F93" si="32">IF(D$12=0,0,D87/D$12)</f>
        <v>0</v>
      </c>
      <c r="G87" s="1"/>
      <c r="H87" s="1">
        <f>SUM(OSRRefH22_2x_0)</f>
        <v>0</v>
      </c>
      <c r="I87" s="1"/>
      <c r="J87" s="5">
        <f t="shared" ref="J87:J93" si="33">IF(H$12=0,0,H87/H$12)</f>
        <v>0</v>
      </c>
      <c r="K87" s="1"/>
      <c r="L87" s="1">
        <f t="shared" ref="L87:L93" si="34">+D87-H87</f>
        <v>0</v>
      </c>
      <c r="M87" s="1"/>
      <c r="N87" s="5">
        <f t="shared" ref="N87:N93" si="35">IF(H87=0,0,L87/H87)</f>
        <v>0</v>
      </c>
      <c r="O87" s="13"/>
      <c r="P87" s="1">
        <f>SUM(OSRRefP22_2x_0)</f>
        <v>963.62</v>
      </c>
      <c r="Q87" s="1"/>
      <c r="R87" s="5">
        <f t="shared" ref="R87:R93" si="36">IF(P$12=0,0,P87/P$12)</f>
        <v>3.5843077828377101E-3</v>
      </c>
      <c r="S87" s="1"/>
      <c r="T87" s="1">
        <f>SUM(OSRRefT22_2x_0)</f>
        <v>0</v>
      </c>
      <c r="U87" s="1"/>
      <c r="V87" s="5">
        <f t="shared" ref="V87:V93" si="37">IF(T$12=0,0,T87/T$12)</f>
        <v>0</v>
      </c>
      <c r="W87" s="1"/>
      <c r="X87" s="1">
        <f t="shared" ref="X87:X93" si="38">+P87-T87</f>
        <v>963.62</v>
      </c>
      <c r="Y87" s="1"/>
      <c r="Z87" s="5">
        <f t="shared" ref="Z87:Z93" si="39">IF(T87=0,0,X87/T87)</f>
        <v>0</v>
      </c>
    </row>
    <row r="88" spans="1:26" s="24" customFormat="1" hidden="1" outlineLevel="2" x14ac:dyDescent="0.25">
      <c r="A88" s="26"/>
      <c r="B88" s="11" t="str">
        <f>CONCATENATE("          ", "6362", " - ", "ADVERTISING EXPENSE")</f>
        <v xml:space="preserve">          6362 - ADVERTISING EXPENSE</v>
      </c>
      <c r="C88" s="11"/>
      <c r="D88" s="6"/>
      <c r="E88" s="2"/>
      <c r="F88" s="7">
        <f t="shared" si="32"/>
        <v>0</v>
      </c>
      <c r="G88" s="2"/>
      <c r="H88" s="6"/>
      <c r="I88" s="2"/>
      <c r="J88" s="7">
        <f t="shared" si="33"/>
        <v>0</v>
      </c>
      <c r="K88" s="2"/>
      <c r="L88" s="6">
        <f t="shared" si="34"/>
        <v>0</v>
      </c>
      <c r="M88" s="2"/>
      <c r="N88" s="7">
        <f t="shared" si="35"/>
        <v>0</v>
      </c>
      <c r="O88" s="11"/>
      <c r="P88" s="6">
        <v>963.62</v>
      </c>
      <c r="Q88" s="2"/>
      <c r="R88" s="7">
        <f t="shared" si="36"/>
        <v>3.5843077828377101E-3</v>
      </c>
      <c r="S88" s="2"/>
      <c r="T88" s="6"/>
      <c r="U88" s="2"/>
      <c r="V88" s="7">
        <f t="shared" si="37"/>
        <v>0</v>
      </c>
      <c r="W88" s="2"/>
      <c r="X88" s="6">
        <f t="shared" si="38"/>
        <v>963.62</v>
      </c>
      <c r="Y88" s="2"/>
      <c r="Z88" s="7">
        <f t="shared" si="39"/>
        <v>0</v>
      </c>
    </row>
    <row r="89" spans="1:26" s="27" customFormat="1" outlineLevel="1" collapsed="1" x14ac:dyDescent="0.25">
      <c r="A89" s="25"/>
      <c r="B89" s="13" t="str">
        <f>CONCATENATE("     ","Bad Debts/Over/Short                              ")</f>
        <v xml:space="preserve">     Bad Debts/Over/Short                              </v>
      </c>
      <c r="C89" s="13"/>
      <c r="D89" s="1">
        <f>SUM(OSRRefD22_3x_0)</f>
        <v>0.23</v>
      </c>
      <c r="E89" s="1"/>
      <c r="F89" s="5">
        <f t="shared" si="32"/>
        <v>1.0587563755546967E-5</v>
      </c>
      <c r="G89" s="1"/>
      <c r="H89" s="1">
        <f>SUM(OSRRefH22_3x_0)</f>
        <v>-4.67</v>
      </c>
      <c r="I89" s="1"/>
      <c r="J89" s="5">
        <f t="shared" si="33"/>
        <v>-1.6343740714777928E-4</v>
      </c>
      <c r="K89" s="1"/>
      <c r="L89" s="1">
        <f t="shared" si="34"/>
        <v>4.9000000000000004</v>
      </c>
      <c r="M89" s="1"/>
      <c r="N89" s="5">
        <f t="shared" si="35"/>
        <v>-1.0492505353319059</v>
      </c>
      <c r="O89" s="13"/>
      <c r="P89" s="1">
        <f>SUM(OSRRefP22_3x_0)</f>
        <v>-46.98</v>
      </c>
      <c r="Q89" s="1"/>
      <c r="R89" s="5">
        <f t="shared" si="36"/>
        <v>-1.7474811610148773E-4</v>
      </c>
      <c r="S89" s="1"/>
      <c r="T89" s="1">
        <f>SUM(OSRRefT22_3x_0)</f>
        <v>9.7200000000000006</v>
      </c>
      <c r="U89" s="1"/>
      <c r="V89" s="5">
        <f t="shared" si="37"/>
        <v>3.6482520518790465E-5</v>
      </c>
      <c r="W89" s="1"/>
      <c r="X89" s="1">
        <f t="shared" si="38"/>
        <v>-56.699999999999996</v>
      </c>
      <c r="Y89" s="1"/>
      <c r="Z89" s="5">
        <f t="shared" si="39"/>
        <v>-5.8333333333333321</v>
      </c>
    </row>
    <row r="90" spans="1:26" s="24" customFormat="1" hidden="1" outlineLevel="2" x14ac:dyDescent="0.25">
      <c r="A90" s="26"/>
      <c r="B90" s="11" t="str">
        <f>CONCATENATE("          ", "6272", " - ", "CASH (OVER/SHORT)")</f>
        <v xml:space="preserve">          6272 - CASH (OVER/SHORT)</v>
      </c>
      <c r="C90" s="11"/>
      <c r="D90" s="6">
        <v>0.23</v>
      </c>
      <c r="E90" s="2"/>
      <c r="F90" s="7">
        <f t="shared" si="32"/>
        <v>1.0587563755546967E-5</v>
      </c>
      <c r="G90" s="2"/>
      <c r="H90" s="6">
        <v>-4.67</v>
      </c>
      <c r="I90" s="2"/>
      <c r="J90" s="7">
        <f t="shared" si="33"/>
        <v>-1.6343740714777928E-4</v>
      </c>
      <c r="K90" s="2"/>
      <c r="L90" s="6">
        <f t="shared" si="34"/>
        <v>4.9000000000000004</v>
      </c>
      <c r="M90" s="2"/>
      <c r="N90" s="7">
        <f t="shared" si="35"/>
        <v>-1.0492505353319059</v>
      </c>
      <c r="O90" s="11"/>
      <c r="P90" s="6">
        <v>-46.98</v>
      </c>
      <c r="Q90" s="2"/>
      <c r="R90" s="7">
        <f t="shared" si="36"/>
        <v>-1.7474811610148773E-4</v>
      </c>
      <c r="S90" s="2"/>
      <c r="T90" s="6">
        <v>9.7200000000000006</v>
      </c>
      <c r="U90" s="2"/>
      <c r="V90" s="7">
        <f t="shared" si="37"/>
        <v>3.6482520518790465E-5</v>
      </c>
      <c r="W90" s="2"/>
      <c r="X90" s="6">
        <f t="shared" si="38"/>
        <v>-56.699999999999996</v>
      </c>
      <c r="Y90" s="2"/>
      <c r="Z90" s="7">
        <f t="shared" si="39"/>
        <v>-5.8333333333333321</v>
      </c>
    </row>
    <row r="91" spans="1:26" s="27" customFormat="1" outlineLevel="1" collapsed="1" x14ac:dyDescent="0.25">
      <c r="A91" s="25"/>
      <c r="B91" s="13" t="str">
        <f>CONCATENATE("     ","Discounts and Markdowns                           ")</f>
        <v xml:space="preserve">     Discounts and Markdowns                           </v>
      </c>
      <c r="C91" s="13"/>
      <c r="D91" s="1">
        <f>SUM(OSRRefD22_4x_0)</f>
        <v>261.77</v>
      </c>
      <c r="E91" s="1"/>
      <c r="F91" s="5">
        <f t="shared" si="32"/>
        <v>1.2050028540389258E-2</v>
      </c>
      <c r="G91" s="1"/>
      <c r="H91" s="1">
        <f>SUM(OSRRefH22_4x_0)</f>
        <v>343.65999999999997</v>
      </c>
      <c r="I91" s="1"/>
      <c r="J91" s="5">
        <f t="shared" si="33"/>
        <v>1.202717330629675E-2</v>
      </c>
      <c r="K91" s="1"/>
      <c r="L91" s="1">
        <f t="shared" si="34"/>
        <v>-81.889999999999986</v>
      </c>
      <c r="M91" s="1"/>
      <c r="N91" s="5">
        <f t="shared" si="35"/>
        <v>-0.23828784263516264</v>
      </c>
      <c r="O91" s="13"/>
      <c r="P91" s="1">
        <f>SUM(OSRRefP22_4x_0)</f>
        <v>5537.38</v>
      </c>
      <c r="Q91" s="1"/>
      <c r="R91" s="5">
        <f t="shared" si="36"/>
        <v>2.0596992829673397E-2</v>
      </c>
      <c r="S91" s="1"/>
      <c r="T91" s="1">
        <f>SUM(OSRRefT22_4x_0)</f>
        <v>5527.88</v>
      </c>
      <c r="U91" s="1"/>
      <c r="V91" s="5">
        <f t="shared" si="37"/>
        <v>2.0748044807141094E-2</v>
      </c>
      <c r="W91" s="1"/>
      <c r="X91" s="1">
        <f t="shared" si="38"/>
        <v>9.5</v>
      </c>
      <c r="Y91" s="1"/>
      <c r="Z91" s="5">
        <f t="shared" si="39"/>
        <v>1.7185611843961879E-3</v>
      </c>
    </row>
    <row r="92" spans="1:26" s="24" customFormat="1" hidden="1" outlineLevel="2" x14ac:dyDescent="0.25">
      <c r="A92" s="26"/>
      <c r="B92" s="11" t="str">
        <f>CONCATENATE("          ", "6382", " - ", "DISCOUNTS/MARK DOWNS")</f>
        <v xml:space="preserve">          6382 - DISCOUNTS/MARK DOWNS</v>
      </c>
      <c r="C92" s="11"/>
      <c r="D92" s="6">
        <v>261.77</v>
      </c>
      <c r="E92" s="2"/>
      <c r="F92" s="7">
        <f t="shared" si="32"/>
        <v>1.2050028540389258E-2</v>
      </c>
      <c r="G92" s="2"/>
      <c r="H92" s="6">
        <v>344.83</v>
      </c>
      <c r="I92" s="2"/>
      <c r="J92" s="7">
        <f t="shared" si="33"/>
        <v>1.206812015134234E-2</v>
      </c>
      <c r="K92" s="2"/>
      <c r="L92" s="6">
        <f t="shared" si="34"/>
        <v>-83.06</v>
      </c>
      <c r="M92" s="2"/>
      <c r="N92" s="7">
        <f t="shared" si="35"/>
        <v>-0.24087231389380276</v>
      </c>
      <c r="O92" s="11"/>
      <c r="P92" s="6">
        <v>5537.38</v>
      </c>
      <c r="Q92" s="2"/>
      <c r="R92" s="7">
        <f t="shared" si="36"/>
        <v>2.0596992829673397E-2</v>
      </c>
      <c r="S92" s="2"/>
      <c r="T92" s="6">
        <v>5598.01</v>
      </c>
      <c r="U92" s="2"/>
      <c r="V92" s="7">
        <f t="shared" si="37"/>
        <v>2.1011266943353313E-2</v>
      </c>
      <c r="W92" s="2"/>
      <c r="X92" s="6">
        <f t="shared" si="38"/>
        <v>-60.630000000000109</v>
      </c>
      <c r="Y92" s="2"/>
      <c r="Z92" s="7">
        <f t="shared" si="39"/>
        <v>-1.0830634457601917E-2</v>
      </c>
    </row>
    <row r="93" spans="1:26" s="24" customFormat="1" hidden="1" outlineLevel="2" x14ac:dyDescent="0.25">
      <c r="A93" s="26"/>
      <c r="B93" s="11" t="str">
        <f>CONCATENATE("          ", "9175", " - ", "EARNED DISCOUNTS")</f>
        <v xml:space="preserve">          9175 - EARNED DISCOUNTS</v>
      </c>
      <c r="C93" s="11"/>
      <c r="D93" s="6"/>
      <c r="E93" s="2"/>
      <c r="F93" s="7">
        <f t="shared" si="32"/>
        <v>0</v>
      </c>
      <c r="G93" s="2"/>
      <c r="H93" s="6">
        <v>-1.17</v>
      </c>
      <c r="I93" s="2"/>
      <c r="J93" s="7">
        <f t="shared" si="33"/>
        <v>-4.094684504558924E-5</v>
      </c>
      <c r="K93" s="2"/>
      <c r="L93" s="6">
        <f t="shared" si="34"/>
        <v>1.17</v>
      </c>
      <c r="M93" s="2"/>
      <c r="N93" s="7">
        <f t="shared" si="35"/>
        <v>-1</v>
      </c>
      <c r="O93" s="11"/>
      <c r="P93" s="6">
        <v>0</v>
      </c>
      <c r="Q93" s="2"/>
      <c r="R93" s="7">
        <f t="shared" si="36"/>
        <v>0</v>
      </c>
      <c r="S93" s="2"/>
      <c r="T93" s="6">
        <v>-70.13</v>
      </c>
      <c r="U93" s="2"/>
      <c r="V93" s="7">
        <f t="shared" si="37"/>
        <v>-2.6322213621221964E-4</v>
      </c>
      <c r="W93" s="2"/>
      <c r="X93" s="6">
        <f t="shared" si="38"/>
        <v>70.13</v>
      </c>
      <c r="Y93" s="2"/>
      <c r="Z93" s="7">
        <f t="shared" si="39"/>
        <v>-1</v>
      </c>
    </row>
    <row r="94" spans="1:26" s="27" customFormat="1" outlineLevel="1" collapsed="1" x14ac:dyDescent="0.25">
      <c r="A94" s="25"/>
      <c r="B94" s="13" t="str">
        <f>CONCATENATE("     ","General                                           ")</f>
        <v xml:space="preserve">     General                                           </v>
      </c>
      <c r="C94" s="13"/>
      <c r="D94" s="1">
        <f>SUM(OSRRefD22_5x_0)</f>
        <v>160</v>
      </c>
      <c r="E94" s="1"/>
      <c r="F94" s="5">
        <f t="shared" ref="F94:F104" si="40">IF(D$12=0,0,D94/D$12)</f>
        <v>7.3652617429891942E-3</v>
      </c>
      <c r="G94" s="1"/>
      <c r="H94" s="1">
        <f>SUM(OSRRefH22_5x_0)</f>
        <v>160</v>
      </c>
      <c r="I94" s="1"/>
      <c r="J94" s="5">
        <f t="shared" ref="J94:J104" si="41">IF(H$12=0,0,H94/H$12)</f>
        <v>5.5995685532429732E-3</v>
      </c>
      <c r="K94" s="1"/>
      <c r="L94" s="1">
        <f t="shared" ref="L94:L104" si="42">+D94-H94</f>
        <v>0</v>
      </c>
      <c r="M94" s="1"/>
      <c r="N94" s="5">
        <f t="shared" ref="N94:N104" si="43">IF(H94=0,0,L94/H94)</f>
        <v>0</v>
      </c>
      <c r="O94" s="13"/>
      <c r="P94" s="1">
        <f>SUM(OSRRefP22_5x_0)</f>
        <v>954.05</v>
      </c>
      <c r="Q94" s="1"/>
      <c r="R94" s="5">
        <f t="shared" ref="R94:R104" si="44">IF(P$12=0,0,P94/P$12)</f>
        <v>3.5487109443725923E-3</v>
      </c>
      <c r="S94" s="1"/>
      <c r="T94" s="1">
        <f>SUM(OSRRefT22_5x_0)</f>
        <v>829.2</v>
      </c>
      <c r="U94" s="1"/>
      <c r="V94" s="5">
        <f t="shared" ref="V94:V104" si="45">IF(T$12=0,0,T94/T$12)</f>
        <v>3.1122742812943471E-3</v>
      </c>
      <c r="W94" s="1"/>
      <c r="X94" s="1">
        <f t="shared" ref="X94:X104" si="46">+P94-T94</f>
        <v>124.84999999999991</v>
      </c>
      <c r="Y94" s="1"/>
      <c r="Z94" s="5">
        <f t="shared" ref="Z94:Z104" si="47">IF(T94=0,0,X94/T94)</f>
        <v>0.15056681138446684</v>
      </c>
    </row>
    <row r="95" spans="1:26" s="24" customFormat="1" hidden="1" outlineLevel="2" x14ac:dyDescent="0.25">
      <c r="A95" s="26"/>
      <c r="B95" s="11" t="str">
        <f>CONCATENATE("          ", "6279", " - ", "GENERAL EXPENSE")</f>
        <v xml:space="preserve">          6279 - GENERAL EXPENSE</v>
      </c>
      <c r="C95" s="11"/>
      <c r="D95" s="6">
        <v>160</v>
      </c>
      <c r="E95" s="2"/>
      <c r="F95" s="7">
        <f t="shared" si="40"/>
        <v>7.3652617429891942E-3</v>
      </c>
      <c r="G95" s="2"/>
      <c r="H95" s="6">
        <v>160</v>
      </c>
      <c r="I95" s="2"/>
      <c r="J95" s="7">
        <f t="shared" si="41"/>
        <v>5.5995685532429732E-3</v>
      </c>
      <c r="K95" s="2"/>
      <c r="L95" s="6">
        <f t="shared" si="42"/>
        <v>0</v>
      </c>
      <c r="M95" s="2"/>
      <c r="N95" s="7">
        <f t="shared" si="43"/>
        <v>0</v>
      </c>
      <c r="O95" s="11"/>
      <c r="P95" s="6">
        <v>954.05</v>
      </c>
      <c r="Q95" s="2"/>
      <c r="R95" s="7">
        <f t="shared" si="44"/>
        <v>3.5487109443725923E-3</v>
      </c>
      <c r="S95" s="2"/>
      <c r="T95" s="6">
        <v>829.2</v>
      </c>
      <c r="U95" s="2"/>
      <c r="V95" s="7">
        <f t="shared" si="45"/>
        <v>3.1122742812943471E-3</v>
      </c>
      <c r="W95" s="2"/>
      <c r="X95" s="6">
        <f t="shared" si="46"/>
        <v>124.84999999999991</v>
      </c>
      <c r="Y95" s="2"/>
      <c r="Z95" s="7">
        <f t="shared" si="47"/>
        <v>0.15056681138446684</v>
      </c>
    </row>
    <row r="96" spans="1:26" s="27" customFormat="1" outlineLevel="1" collapsed="1" x14ac:dyDescent="0.25">
      <c r="A96" s="25"/>
      <c r="B96" s="13" t="str">
        <f>CONCATENATE("     ","Inventory Adjustment                              ")</f>
        <v xml:space="preserve">     Inventory Adjustment                              </v>
      </c>
      <c r="C96" s="13"/>
      <c r="D96" s="1">
        <f>SUM(OSRRefD22_6x_0)</f>
        <v>0</v>
      </c>
      <c r="E96" s="1"/>
      <c r="F96" s="5">
        <f t="shared" si="40"/>
        <v>0</v>
      </c>
      <c r="G96" s="1"/>
      <c r="H96" s="1">
        <f>SUM(OSRRefH22_6x_0)</f>
        <v>400</v>
      </c>
      <c r="I96" s="1"/>
      <c r="J96" s="5">
        <f t="shared" si="41"/>
        <v>1.3998921383107432E-2</v>
      </c>
      <c r="K96" s="1"/>
      <c r="L96" s="1">
        <f t="shared" si="42"/>
        <v>-400</v>
      </c>
      <c r="M96" s="1"/>
      <c r="N96" s="5">
        <f t="shared" si="43"/>
        <v>-1</v>
      </c>
      <c r="O96" s="13"/>
      <c r="P96" s="1">
        <f>SUM(OSRRefP22_6x_0)</f>
        <v>0</v>
      </c>
      <c r="Q96" s="1"/>
      <c r="R96" s="5">
        <f t="shared" si="44"/>
        <v>0</v>
      </c>
      <c r="S96" s="1"/>
      <c r="T96" s="1">
        <f>SUM(OSRRefT22_6x_0)</f>
        <v>2400</v>
      </c>
      <c r="U96" s="1"/>
      <c r="V96" s="5">
        <f t="shared" si="45"/>
        <v>9.0080297577260406E-3</v>
      </c>
      <c r="W96" s="1"/>
      <c r="X96" s="1">
        <f t="shared" si="46"/>
        <v>-2400</v>
      </c>
      <c r="Y96" s="1"/>
      <c r="Z96" s="5">
        <f t="shared" si="47"/>
        <v>-1</v>
      </c>
    </row>
    <row r="97" spans="1:26" s="24" customFormat="1" hidden="1" outlineLevel="2" x14ac:dyDescent="0.25">
      <c r="A97" s="26"/>
      <c r="B97" s="11" t="str">
        <f>CONCATENATE("          ", "6408", " - ", "INVENTORY ADJUSTMENT")</f>
        <v xml:space="preserve">          6408 - INVENTORY ADJUSTMENT</v>
      </c>
      <c r="C97" s="11"/>
      <c r="D97" s="6"/>
      <c r="E97" s="2"/>
      <c r="F97" s="7">
        <f t="shared" si="40"/>
        <v>0</v>
      </c>
      <c r="G97" s="2"/>
      <c r="H97" s="6">
        <v>400</v>
      </c>
      <c r="I97" s="2"/>
      <c r="J97" s="7">
        <f t="shared" si="41"/>
        <v>1.3998921383107432E-2</v>
      </c>
      <c r="K97" s="2"/>
      <c r="L97" s="6">
        <f t="shared" si="42"/>
        <v>-400</v>
      </c>
      <c r="M97" s="2"/>
      <c r="N97" s="7">
        <f t="shared" si="43"/>
        <v>-1</v>
      </c>
      <c r="O97" s="11"/>
      <c r="P97" s="6"/>
      <c r="Q97" s="2"/>
      <c r="R97" s="7">
        <f t="shared" si="44"/>
        <v>0</v>
      </c>
      <c r="S97" s="2"/>
      <c r="T97" s="6">
        <v>2400</v>
      </c>
      <c r="U97" s="2"/>
      <c r="V97" s="7">
        <f t="shared" si="45"/>
        <v>9.0080297577260406E-3</v>
      </c>
      <c r="W97" s="2"/>
      <c r="X97" s="6">
        <f t="shared" si="46"/>
        <v>-2400</v>
      </c>
      <c r="Y97" s="2"/>
      <c r="Z97" s="7">
        <f t="shared" si="47"/>
        <v>-1</v>
      </c>
    </row>
    <row r="98" spans="1:26" s="27" customFormat="1" outlineLevel="1" collapsed="1" x14ac:dyDescent="0.25">
      <c r="A98" s="25"/>
      <c r="B98" s="13" t="str">
        <f>CONCATENATE("     ","Professional Services                             ")</f>
        <v xml:space="preserve">     Professional Services                             </v>
      </c>
      <c r="C98" s="13"/>
      <c r="D98" s="1">
        <f>SUM(OSRRefD22_7x_0)</f>
        <v>41.15</v>
      </c>
      <c r="E98" s="1"/>
      <c r="F98" s="5">
        <f t="shared" si="40"/>
        <v>1.8942532545250335E-3</v>
      </c>
      <c r="G98" s="1"/>
      <c r="H98" s="1">
        <f>SUM(OSRRefH22_7x_0)</f>
        <v>0</v>
      </c>
      <c r="I98" s="1"/>
      <c r="J98" s="5">
        <f t="shared" si="41"/>
        <v>0</v>
      </c>
      <c r="K98" s="1"/>
      <c r="L98" s="1">
        <f t="shared" si="42"/>
        <v>41.15</v>
      </c>
      <c r="M98" s="1"/>
      <c r="N98" s="5">
        <f t="shared" si="43"/>
        <v>0</v>
      </c>
      <c r="O98" s="13"/>
      <c r="P98" s="1">
        <f>SUM(OSRRefP22_7x_0)</f>
        <v>791.15</v>
      </c>
      <c r="Q98" s="1"/>
      <c r="R98" s="5">
        <f t="shared" si="44"/>
        <v>2.9427835686183916E-3</v>
      </c>
      <c r="S98" s="1"/>
      <c r="T98" s="1">
        <f>SUM(OSRRefT22_7x_0)</f>
        <v>750</v>
      </c>
      <c r="U98" s="1"/>
      <c r="V98" s="5">
        <f t="shared" si="45"/>
        <v>2.8150092992893874E-3</v>
      </c>
      <c r="W98" s="1"/>
      <c r="X98" s="1">
        <f t="shared" si="46"/>
        <v>41.149999999999977</v>
      </c>
      <c r="Y98" s="1"/>
      <c r="Z98" s="5">
        <f t="shared" si="47"/>
        <v>5.4866666666666633E-2</v>
      </c>
    </row>
    <row r="99" spans="1:26" s="24" customFormat="1" hidden="1" outlineLevel="2" x14ac:dyDescent="0.25">
      <c r="A99" s="26"/>
      <c r="B99" s="11" t="str">
        <f>CONCATENATE("          ", "6336", " - ", "PROFESSIONAL SERVICES")</f>
        <v xml:space="preserve">          6336 - PROFESSIONAL SERVICES</v>
      </c>
      <c r="C99" s="11"/>
      <c r="D99" s="6">
        <v>41.15</v>
      </c>
      <c r="E99" s="2"/>
      <c r="F99" s="7">
        <f t="shared" si="40"/>
        <v>1.8942532545250335E-3</v>
      </c>
      <c r="G99" s="2"/>
      <c r="H99" s="6"/>
      <c r="I99" s="2"/>
      <c r="J99" s="7">
        <f t="shared" si="41"/>
        <v>0</v>
      </c>
      <c r="K99" s="2"/>
      <c r="L99" s="6">
        <f t="shared" si="42"/>
        <v>41.15</v>
      </c>
      <c r="M99" s="2"/>
      <c r="N99" s="7">
        <f t="shared" si="43"/>
        <v>0</v>
      </c>
      <c r="O99" s="11"/>
      <c r="P99" s="6">
        <v>791.15</v>
      </c>
      <c r="Q99" s="2"/>
      <c r="R99" s="7">
        <f t="shared" si="44"/>
        <v>2.9427835686183916E-3</v>
      </c>
      <c r="S99" s="2"/>
      <c r="T99" s="6">
        <v>750</v>
      </c>
      <c r="U99" s="2"/>
      <c r="V99" s="7">
        <f t="shared" si="45"/>
        <v>2.8150092992893874E-3</v>
      </c>
      <c r="W99" s="2"/>
      <c r="X99" s="6">
        <f t="shared" si="46"/>
        <v>41.149999999999977</v>
      </c>
      <c r="Y99" s="2"/>
      <c r="Z99" s="7">
        <f t="shared" si="47"/>
        <v>5.4866666666666633E-2</v>
      </c>
    </row>
    <row r="100" spans="1:26" s="27" customFormat="1" outlineLevel="1" collapsed="1" x14ac:dyDescent="0.25">
      <c r="A100" s="25"/>
      <c r="B100" s="13" t="str">
        <f>CONCATENATE("     ","Rent                                              ")</f>
        <v xml:space="preserve">     Rent                                              </v>
      </c>
      <c r="C100" s="13"/>
      <c r="D100" s="1">
        <f>SUM(OSRRefD22_8x_0)</f>
        <v>0</v>
      </c>
      <c r="E100" s="1"/>
      <c r="F100" s="5">
        <f t="shared" si="40"/>
        <v>0</v>
      </c>
      <c r="G100" s="1"/>
      <c r="H100" s="1">
        <f>SUM(OSRRefH22_8x_0)</f>
        <v>0</v>
      </c>
      <c r="I100" s="1"/>
      <c r="J100" s="5">
        <f t="shared" si="41"/>
        <v>0</v>
      </c>
      <c r="K100" s="1"/>
      <c r="L100" s="1">
        <f t="shared" si="42"/>
        <v>0</v>
      </c>
      <c r="M100" s="1"/>
      <c r="N100" s="5">
        <f t="shared" si="43"/>
        <v>0</v>
      </c>
      <c r="O100" s="13"/>
      <c r="P100" s="1">
        <f>SUM(OSRRefP22_8x_0)</f>
        <v>0</v>
      </c>
      <c r="Q100" s="1"/>
      <c r="R100" s="5">
        <f t="shared" si="44"/>
        <v>0</v>
      </c>
      <c r="S100" s="1"/>
      <c r="T100" s="1">
        <f>SUM(OSRRefT22_8x_0)</f>
        <v>-0.23</v>
      </c>
      <c r="U100" s="1"/>
      <c r="V100" s="5">
        <f t="shared" si="45"/>
        <v>-8.6326951844874559E-7</v>
      </c>
      <c r="W100" s="1"/>
      <c r="X100" s="1">
        <f t="shared" si="46"/>
        <v>0.23</v>
      </c>
      <c r="Y100" s="1"/>
      <c r="Z100" s="5">
        <f t="shared" si="47"/>
        <v>-1</v>
      </c>
    </row>
    <row r="101" spans="1:26" s="24" customFormat="1" hidden="1" outlineLevel="2" x14ac:dyDescent="0.25">
      <c r="A101" s="26"/>
      <c r="B101" s="11" t="str">
        <f>CONCATENATE("          ", "6273", " - ", "RENT")</f>
        <v xml:space="preserve">          6273 - RENT</v>
      </c>
      <c r="C101" s="11"/>
      <c r="D101" s="6"/>
      <c r="E101" s="2"/>
      <c r="F101" s="7">
        <f t="shared" si="40"/>
        <v>0</v>
      </c>
      <c r="G101" s="2"/>
      <c r="H101" s="6"/>
      <c r="I101" s="2"/>
      <c r="J101" s="7">
        <f t="shared" si="41"/>
        <v>0</v>
      </c>
      <c r="K101" s="2"/>
      <c r="L101" s="6">
        <f t="shared" si="42"/>
        <v>0</v>
      </c>
      <c r="M101" s="2"/>
      <c r="N101" s="7">
        <f t="shared" si="43"/>
        <v>0</v>
      </c>
      <c r="O101" s="11"/>
      <c r="P101" s="6"/>
      <c r="Q101" s="2"/>
      <c r="R101" s="7">
        <f t="shared" si="44"/>
        <v>0</v>
      </c>
      <c r="S101" s="2"/>
      <c r="T101" s="6">
        <v>-0.23</v>
      </c>
      <c r="U101" s="2"/>
      <c r="V101" s="7">
        <f t="shared" si="45"/>
        <v>-8.6326951844874559E-7</v>
      </c>
      <c r="W101" s="2"/>
      <c r="X101" s="6">
        <f t="shared" si="46"/>
        <v>0.23</v>
      </c>
      <c r="Y101" s="2"/>
      <c r="Z101" s="7">
        <f t="shared" si="47"/>
        <v>-1</v>
      </c>
    </row>
    <row r="102" spans="1:26" s="27" customFormat="1" outlineLevel="1" collapsed="1" x14ac:dyDescent="0.25">
      <c r="A102" s="25"/>
      <c r="B102" s="13" t="str">
        <f>CONCATENATE("     ","Repair and Maintenance                            ")</f>
        <v xml:space="preserve">     Repair and Maintenance                            </v>
      </c>
      <c r="C102" s="13"/>
      <c r="D102" s="1">
        <f>SUM(OSRRefD22_9x_0)</f>
        <v>61.11</v>
      </c>
      <c r="E102" s="1"/>
      <c r="F102" s="5">
        <f t="shared" si="40"/>
        <v>2.8130696569629355E-3</v>
      </c>
      <c r="G102" s="1"/>
      <c r="H102" s="1">
        <f>SUM(OSRRefH22_9x_0)</f>
        <v>76.13</v>
      </c>
      <c r="I102" s="1"/>
      <c r="J102" s="5">
        <f t="shared" si="41"/>
        <v>2.6643447122399219E-3</v>
      </c>
      <c r="K102" s="1"/>
      <c r="L102" s="1">
        <f t="shared" si="42"/>
        <v>-15.019999999999996</v>
      </c>
      <c r="M102" s="1"/>
      <c r="N102" s="5">
        <f t="shared" si="43"/>
        <v>-0.19729410219361615</v>
      </c>
      <c r="O102" s="13"/>
      <c r="P102" s="1">
        <f>SUM(OSRRefP22_9x_0)</f>
        <v>129.53</v>
      </c>
      <c r="Q102" s="1"/>
      <c r="R102" s="5">
        <f t="shared" si="44"/>
        <v>4.8180339460676263E-4</v>
      </c>
      <c r="S102" s="1"/>
      <c r="T102" s="1">
        <f>SUM(OSRRefT22_9x_0)</f>
        <v>125.75</v>
      </c>
      <c r="U102" s="1"/>
      <c r="V102" s="5">
        <f t="shared" si="45"/>
        <v>4.7198322584752063E-4</v>
      </c>
      <c r="W102" s="1"/>
      <c r="X102" s="1">
        <f t="shared" si="46"/>
        <v>3.7800000000000011</v>
      </c>
      <c r="Y102" s="1"/>
      <c r="Z102" s="5">
        <f t="shared" si="47"/>
        <v>3.0059642147117305E-2</v>
      </c>
    </row>
    <row r="103" spans="1:26" s="24" customFormat="1" hidden="1" outlineLevel="2" x14ac:dyDescent="0.25">
      <c r="A103" s="26"/>
      <c r="B103" s="11" t="str">
        <f>CONCATENATE("          ", "6373", " - ", "MAINTENANCE CONTRACTS")</f>
        <v xml:space="preserve">          6373 - MAINTENANCE CONTRACTS</v>
      </c>
      <c r="C103" s="11"/>
      <c r="D103" s="6">
        <v>61.11</v>
      </c>
      <c r="E103" s="2"/>
      <c r="F103" s="7">
        <f t="shared" si="40"/>
        <v>2.8130696569629355E-3</v>
      </c>
      <c r="G103" s="2"/>
      <c r="H103" s="6">
        <v>49.62</v>
      </c>
      <c r="I103" s="2"/>
      <c r="J103" s="7">
        <f t="shared" si="41"/>
        <v>1.7365661975744769E-3</v>
      </c>
      <c r="K103" s="2"/>
      <c r="L103" s="6">
        <f t="shared" si="42"/>
        <v>11.490000000000002</v>
      </c>
      <c r="M103" s="2"/>
      <c r="N103" s="7">
        <f t="shared" si="43"/>
        <v>0.23155985489721892</v>
      </c>
      <c r="O103" s="11"/>
      <c r="P103" s="6">
        <v>119.73</v>
      </c>
      <c r="Q103" s="2"/>
      <c r="R103" s="7">
        <f t="shared" si="44"/>
        <v>4.4535104173757192E-4</v>
      </c>
      <c r="S103" s="2"/>
      <c r="T103" s="6">
        <v>99.24</v>
      </c>
      <c r="U103" s="2"/>
      <c r="V103" s="7">
        <f t="shared" si="45"/>
        <v>3.7248203048197175E-4</v>
      </c>
      <c r="W103" s="2"/>
      <c r="X103" s="6">
        <f t="shared" si="46"/>
        <v>20.490000000000009</v>
      </c>
      <c r="Y103" s="2"/>
      <c r="Z103" s="7">
        <f t="shared" si="47"/>
        <v>0.20646916565900858</v>
      </c>
    </row>
    <row r="104" spans="1:26" s="24" customFormat="1" hidden="1" outlineLevel="2" x14ac:dyDescent="0.25">
      <c r="A104" s="26"/>
      <c r="B104" s="11" t="str">
        <f>CONCATENATE("          ", "6375", " - ", "OUTSIDE REPAIRS &amp; MAINTENANCE")</f>
        <v xml:space="preserve">          6375 - OUTSIDE REPAIRS &amp; MAINTENANCE</v>
      </c>
      <c r="C104" s="11"/>
      <c r="D104" s="6"/>
      <c r="E104" s="2"/>
      <c r="F104" s="7">
        <f t="shared" si="40"/>
        <v>0</v>
      </c>
      <c r="G104" s="2"/>
      <c r="H104" s="6">
        <v>26.51</v>
      </c>
      <c r="I104" s="2"/>
      <c r="J104" s="7">
        <f t="shared" si="41"/>
        <v>9.2777851466544512E-4</v>
      </c>
      <c r="K104" s="2"/>
      <c r="L104" s="6">
        <f t="shared" si="42"/>
        <v>-26.51</v>
      </c>
      <c r="M104" s="2"/>
      <c r="N104" s="7">
        <f t="shared" si="43"/>
        <v>-1</v>
      </c>
      <c r="O104" s="11"/>
      <c r="P104" s="6">
        <v>9.8000000000000007</v>
      </c>
      <c r="Q104" s="2"/>
      <c r="R104" s="7">
        <f t="shared" si="44"/>
        <v>3.6452352869190725E-5</v>
      </c>
      <c r="S104" s="2"/>
      <c r="T104" s="6">
        <v>26.51</v>
      </c>
      <c r="U104" s="2"/>
      <c r="V104" s="7">
        <f t="shared" si="45"/>
        <v>9.9501195365548888E-5</v>
      </c>
      <c r="W104" s="2"/>
      <c r="X104" s="6">
        <f t="shared" si="46"/>
        <v>-16.71</v>
      </c>
      <c r="Y104" s="2"/>
      <c r="Z104" s="7">
        <f t="shared" si="47"/>
        <v>-0.63032817804602037</v>
      </c>
    </row>
    <row r="105" spans="1:26" s="27" customFormat="1" outlineLevel="1" collapsed="1" x14ac:dyDescent="0.25">
      <c r="A105" s="25"/>
      <c r="B105" s="13" t="str">
        <f>CONCATENATE("     ","Services                                          ")</f>
        <v xml:space="preserve">     Services                                          </v>
      </c>
      <c r="C105" s="13"/>
      <c r="D105" s="1">
        <f>SUM(OSRRefD22_10x_0)</f>
        <v>109.66</v>
      </c>
      <c r="E105" s="1"/>
      <c r="F105" s="5">
        <f t="shared" ref="F105:F107" si="48">IF(D$12=0,0,D105/D$12)</f>
        <v>5.0479662671012188E-3</v>
      </c>
      <c r="G105" s="1"/>
      <c r="H105" s="1">
        <f>SUM(OSRRefH22_10x_0)</f>
        <v>168.62</v>
      </c>
      <c r="I105" s="1"/>
      <c r="J105" s="5">
        <f t="shared" ref="J105:J107" si="49">IF(H$12=0,0,H105/H$12)</f>
        <v>5.9012453090489386E-3</v>
      </c>
      <c r="K105" s="1"/>
      <c r="L105" s="1">
        <f t="shared" ref="L105:L107" si="50">+D105-H105</f>
        <v>-58.960000000000008</v>
      </c>
      <c r="M105" s="1"/>
      <c r="N105" s="5">
        <f t="shared" ref="N105:N107" si="51">IF(H105=0,0,L105/H105)</f>
        <v>-0.34966196180761477</v>
      </c>
      <c r="O105" s="13"/>
      <c r="P105" s="1">
        <f>SUM(OSRRefP22_10x_0)</f>
        <v>1230.69</v>
      </c>
      <c r="Q105" s="1"/>
      <c r="R105" s="5">
        <f t="shared" ref="R105:R107" si="52">IF(P$12=0,0,P105/P$12)</f>
        <v>4.5777087910800337E-3</v>
      </c>
      <c r="S105" s="1"/>
      <c r="T105" s="1">
        <f>SUM(OSRRefT22_10x_0)</f>
        <v>1187.4000000000001</v>
      </c>
      <c r="U105" s="1"/>
      <c r="V105" s="5">
        <f t="shared" ref="V105:V107" si="53">IF(T$12=0,0,T105/T$12)</f>
        <v>4.4567227226349586E-3</v>
      </c>
      <c r="W105" s="1"/>
      <c r="X105" s="1">
        <f t="shared" ref="X105:X107" si="54">+P105-T105</f>
        <v>43.289999999999964</v>
      </c>
      <c r="Y105" s="1"/>
      <c r="Z105" s="5">
        <f t="shared" ref="Z105:Z107" si="55">IF(T105=0,0,X105/T105)</f>
        <v>3.6457806973218765E-2</v>
      </c>
    </row>
    <row r="106" spans="1:26" s="24" customFormat="1" hidden="1" outlineLevel="2" x14ac:dyDescent="0.25">
      <c r="A106" s="26"/>
      <c r="B106" s="11" t="str">
        <f>CONCATENATE("          ", "6282", " - ", "JANITORIAL/EXTERMINATOR EXPENS")</f>
        <v xml:space="preserve">          6282 - JANITORIAL/EXTERMINATOR EXPENS</v>
      </c>
      <c r="C106" s="11"/>
      <c r="D106" s="6">
        <v>44</v>
      </c>
      <c r="E106" s="2"/>
      <c r="F106" s="7">
        <f t="shared" si="48"/>
        <v>2.0254469793220286E-3</v>
      </c>
      <c r="G106" s="2"/>
      <c r="H106" s="6"/>
      <c r="I106" s="2"/>
      <c r="J106" s="7">
        <f t="shared" si="49"/>
        <v>0</v>
      </c>
      <c r="K106" s="2"/>
      <c r="L106" s="6">
        <f t="shared" si="50"/>
        <v>44</v>
      </c>
      <c r="M106" s="2"/>
      <c r="N106" s="7">
        <f t="shared" si="51"/>
        <v>0</v>
      </c>
      <c r="O106" s="11"/>
      <c r="P106" s="6">
        <v>264</v>
      </c>
      <c r="Q106" s="2"/>
      <c r="R106" s="7">
        <f t="shared" si="52"/>
        <v>9.8198175076187242E-4</v>
      </c>
      <c r="S106" s="2"/>
      <c r="T106" s="6">
        <v>200.79</v>
      </c>
      <c r="U106" s="2"/>
      <c r="V106" s="7">
        <f t="shared" si="53"/>
        <v>7.5363428960575484E-4</v>
      </c>
      <c r="W106" s="2"/>
      <c r="X106" s="6">
        <f t="shared" si="54"/>
        <v>63.210000000000008</v>
      </c>
      <c r="Y106" s="2"/>
      <c r="Z106" s="7">
        <f t="shared" si="55"/>
        <v>0.31480651426863893</v>
      </c>
    </row>
    <row r="107" spans="1:26" s="24" customFormat="1" hidden="1" outlineLevel="2" x14ac:dyDescent="0.25">
      <c r="A107" s="26"/>
      <c r="B107" s="11" t="str">
        <f>CONCATENATE("          ", "6285", " - ", "JANITORIAL SERVICES")</f>
        <v xml:space="preserve">          6285 - JANITORIAL SERVICES</v>
      </c>
      <c r="C107" s="11"/>
      <c r="D107" s="6">
        <v>65.66</v>
      </c>
      <c r="E107" s="2"/>
      <c r="F107" s="7">
        <f t="shared" si="48"/>
        <v>3.0225192877791907E-3</v>
      </c>
      <c r="G107" s="2"/>
      <c r="H107" s="6">
        <v>168.62</v>
      </c>
      <c r="I107" s="2"/>
      <c r="J107" s="7">
        <f t="shared" si="49"/>
        <v>5.9012453090489386E-3</v>
      </c>
      <c r="K107" s="2"/>
      <c r="L107" s="6">
        <f t="shared" si="50"/>
        <v>-102.96000000000001</v>
      </c>
      <c r="M107" s="2"/>
      <c r="N107" s="7">
        <f t="shared" si="51"/>
        <v>-0.61060372435061083</v>
      </c>
      <c r="O107" s="11"/>
      <c r="P107" s="6">
        <v>966.69</v>
      </c>
      <c r="Q107" s="2"/>
      <c r="R107" s="7">
        <f t="shared" si="52"/>
        <v>3.5957270403181611E-3</v>
      </c>
      <c r="S107" s="2"/>
      <c r="T107" s="6">
        <v>986.61</v>
      </c>
      <c r="U107" s="2"/>
      <c r="V107" s="7">
        <f t="shared" si="53"/>
        <v>3.7030884330292034E-3</v>
      </c>
      <c r="W107" s="2"/>
      <c r="X107" s="6">
        <f t="shared" si="54"/>
        <v>-19.919999999999959</v>
      </c>
      <c r="Y107" s="2"/>
      <c r="Z107" s="7">
        <f t="shared" si="55"/>
        <v>-2.0190348770030668E-2</v>
      </c>
    </row>
    <row r="108" spans="1:26" s="27" customFormat="1" outlineLevel="1" collapsed="1" x14ac:dyDescent="0.25">
      <c r="A108" s="25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SUM(OSRRefD22_11x_0)</f>
        <v>230.66</v>
      </c>
      <c r="E108" s="1"/>
      <c r="F108" s="5">
        <f t="shared" ref="F108:F110" si="56">IF(D$12=0,0,D108/D$12)</f>
        <v>1.0617945460236797E-2</v>
      </c>
      <c r="G108" s="1"/>
      <c r="H108" s="1">
        <f>SUM(OSRRefH22_11x_0)</f>
        <v>118.64</v>
      </c>
      <c r="I108" s="1"/>
      <c r="J108" s="5">
        <f t="shared" ref="J108:J110" si="57">IF(H$12=0,0,H108/H$12)</f>
        <v>4.1520800822296648E-3</v>
      </c>
      <c r="K108" s="1"/>
      <c r="L108" s="1">
        <f t="shared" ref="L108:L110" si="58">+D108-H108</f>
        <v>112.02</v>
      </c>
      <c r="M108" s="1"/>
      <c r="N108" s="5">
        <f t="shared" ref="N108:N110" si="59">IF(H108=0,0,L108/H108)</f>
        <v>0.94420094403236676</v>
      </c>
      <c r="O108" s="13"/>
      <c r="P108" s="1">
        <f>SUM(OSRRefP22_11x_0)</f>
        <v>1208.83</v>
      </c>
      <c r="Q108" s="1"/>
      <c r="R108" s="5">
        <f t="shared" ref="R108:R110" si="60">IF(P$12=0,0,P108/P$12)</f>
        <v>4.496397726414675E-3</v>
      </c>
      <c r="S108" s="1"/>
      <c r="T108" s="1">
        <f>SUM(OSRRefT22_11x_0)</f>
        <v>786.99</v>
      </c>
      <c r="U108" s="1"/>
      <c r="V108" s="5">
        <f t="shared" ref="V108:V110" si="61">IF(T$12=0,0,T108/T$12)</f>
        <v>2.95384555793034E-3</v>
      </c>
      <c r="W108" s="1"/>
      <c r="X108" s="1">
        <f t="shared" ref="X108:X110" si="62">+P108-T108</f>
        <v>421.83999999999992</v>
      </c>
      <c r="Y108" s="1"/>
      <c r="Z108" s="5">
        <f t="shared" ref="Z108:Z110" si="63">IF(T108=0,0,X108/T108)</f>
        <v>0.53601697607339349</v>
      </c>
    </row>
    <row r="109" spans="1:26" s="24" customFormat="1" hidden="1" outlineLevel="2" x14ac:dyDescent="0.25">
      <c r="A109" s="26"/>
      <c r="B109" s="11" t="str">
        <f>CONCATENATE("          ", "6241", " - ", "OFFICE EXPENSE")</f>
        <v xml:space="preserve">          6241 - OFFICE EXPENSE</v>
      </c>
      <c r="C109" s="11"/>
      <c r="D109" s="6">
        <v>231.06</v>
      </c>
      <c r="E109" s="2"/>
      <c r="F109" s="7">
        <f t="shared" si="56"/>
        <v>1.063635861459427E-2</v>
      </c>
      <c r="G109" s="2"/>
      <c r="H109" s="6">
        <v>118.64</v>
      </c>
      <c r="I109" s="2"/>
      <c r="J109" s="7">
        <f t="shared" si="57"/>
        <v>4.1520800822296648E-3</v>
      </c>
      <c r="K109" s="2"/>
      <c r="L109" s="6">
        <f t="shared" si="58"/>
        <v>112.42</v>
      </c>
      <c r="M109" s="2"/>
      <c r="N109" s="7">
        <f t="shared" si="59"/>
        <v>0.94757248819959539</v>
      </c>
      <c r="O109" s="11"/>
      <c r="P109" s="6">
        <v>1209.33</v>
      </c>
      <c r="Q109" s="2"/>
      <c r="R109" s="7">
        <f t="shared" si="60"/>
        <v>4.4982575403365727E-3</v>
      </c>
      <c r="S109" s="2"/>
      <c r="T109" s="6">
        <v>787.89</v>
      </c>
      <c r="U109" s="2"/>
      <c r="V109" s="7">
        <f t="shared" si="61"/>
        <v>2.9572235690894875E-3</v>
      </c>
      <c r="W109" s="2"/>
      <c r="X109" s="6">
        <f t="shared" si="62"/>
        <v>421.43999999999994</v>
      </c>
      <c r="Y109" s="2"/>
      <c r="Z109" s="7">
        <f t="shared" si="63"/>
        <v>0.53489700338879786</v>
      </c>
    </row>
    <row r="110" spans="1:26" s="24" customFormat="1" hidden="1" outlineLevel="2" x14ac:dyDescent="0.25">
      <c r="A110" s="26"/>
      <c r="B110" s="11" t="str">
        <f>CONCATENATE("          ", "6247", " - ", "STORE SUPPLIES")</f>
        <v xml:space="preserve">          6247 - STORE SUPPLIES</v>
      </c>
      <c r="C110" s="11"/>
      <c r="D110" s="6">
        <v>-0.4</v>
      </c>
      <c r="E110" s="2"/>
      <c r="F110" s="7">
        <f t="shared" si="56"/>
        <v>-1.8413154357472989E-5</v>
      </c>
      <c r="G110" s="2"/>
      <c r="H110" s="6"/>
      <c r="I110" s="2"/>
      <c r="J110" s="7">
        <f t="shared" si="57"/>
        <v>0</v>
      </c>
      <c r="K110" s="2"/>
      <c r="L110" s="6">
        <f t="shared" si="58"/>
        <v>-0.4</v>
      </c>
      <c r="M110" s="2"/>
      <c r="N110" s="7">
        <f t="shared" si="59"/>
        <v>0</v>
      </c>
      <c r="O110" s="11"/>
      <c r="P110" s="6">
        <v>-0.5</v>
      </c>
      <c r="Q110" s="2"/>
      <c r="R110" s="7">
        <f t="shared" si="60"/>
        <v>-1.8598139218974856E-6</v>
      </c>
      <c r="S110" s="2"/>
      <c r="T110" s="6">
        <v>-0.9</v>
      </c>
      <c r="U110" s="2"/>
      <c r="V110" s="7">
        <f t="shared" si="61"/>
        <v>-3.3780111591472652E-6</v>
      </c>
      <c r="W110" s="2"/>
      <c r="X110" s="6">
        <f t="shared" si="62"/>
        <v>0.4</v>
      </c>
      <c r="Y110" s="2"/>
      <c r="Z110" s="7">
        <f t="shared" si="63"/>
        <v>-0.44444444444444448</v>
      </c>
    </row>
    <row r="111" spans="1:26" s="27" customFormat="1" outlineLevel="1" collapsed="1" x14ac:dyDescent="0.25">
      <c r="A111" s="25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SUM(OSRRefD22_12x_0)</f>
        <v>87.84</v>
      </c>
      <c r="E111" s="1"/>
      <c r="F111" s="5">
        <f t="shared" ref="F111:F114" si="64">IF(D$12=0,0,D111/D$12)</f>
        <v>4.0435286969010683E-3</v>
      </c>
      <c r="G111" s="1"/>
      <c r="H111" s="1">
        <f>SUM(OSRRefH22_12x_0)</f>
        <v>103.2</v>
      </c>
      <c r="I111" s="1"/>
      <c r="J111" s="5">
        <f t="shared" ref="J111:J114" si="65">IF(H$12=0,0,H111/H$12)</f>
        <v>3.611721716841718E-3</v>
      </c>
      <c r="K111" s="1"/>
      <c r="L111" s="1">
        <f t="shared" ref="L111:L114" si="66">+D111-H111</f>
        <v>-15.36</v>
      </c>
      <c r="M111" s="1"/>
      <c r="N111" s="5">
        <f t="shared" ref="N111:N114" si="67">IF(H111=0,0,L111/H111)</f>
        <v>-0.14883720930232558</v>
      </c>
      <c r="O111" s="13"/>
      <c r="P111" s="1">
        <f>SUM(OSRRefP22_12x_0)</f>
        <v>576.57000000000005</v>
      </c>
      <c r="Q111" s="1"/>
      <c r="R111" s="5">
        <f t="shared" ref="R111:R114" si="68">IF(P$12=0,0,P111/P$12)</f>
        <v>2.1446258258968668E-3</v>
      </c>
      <c r="S111" s="1"/>
      <c r="T111" s="1">
        <f>SUM(OSRRefT22_12x_0)</f>
        <v>551.95000000000005</v>
      </c>
      <c r="U111" s="1"/>
      <c r="V111" s="5">
        <f t="shared" ref="V111:V114" si="69">IF(T$12=0,0,T111/T$12)</f>
        <v>2.0716591769903703E-3</v>
      </c>
      <c r="W111" s="1"/>
      <c r="X111" s="1">
        <f t="shared" ref="X111:X114" si="70">+P111-T111</f>
        <v>24.620000000000005</v>
      </c>
      <c r="Y111" s="1"/>
      <c r="Z111" s="5">
        <f t="shared" ref="Z111:Z114" si="71">IF(T111=0,0,X111/T111)</f>
        <v>4.4605489627683674E-2</v>
      </c>
    </row>
    <row r="112" spans="1:26" s="24" customFormat="1" hidden="1" outlineLevel="2" x14ac:dyDescent="0.25">
      <c r="A112" s="26"/>
      <c r="B112" s="11" t="str">
        <f>CONCATENATE("          ", "6309", " - ", "TELEPHONE")</f>
        <v xml:space="preserve">          6309 - TELEPHONE</v>
      </c>
      <c r="C112" s="11"/>
      <c r="D112" s="6">
        <v>87.84</v>
      </c>
      <c r="E112" s="2"/>
      <c r="F112" s="7">
        <f t="shared" si="64"/>
        <v>4.0435286969010683E-3</v>
      </c>
      <c r="G112" s="2"/>
      <c r="H112" s="6">
        <v>103.2</v>
      </c>
      <c r="I112" s="2"/>
      <c r="J112" s="7">
        <f t="shared" si="65"/>
        <v>3.611721716841718E-3</v>
      </c>
      <c r="K112" s="2"/>
      <c r="L112" s="6">
        <f t="shared" si="66"/>
        <v>-15.36</v>
      </c>
      <c r="M112" s="2"/>
      <c r="N112" s="7">
        <f t="shared" si="67"/>
        <v>-0.14883720930232558</v>
      </c>
      <c r="O112" s="11"/>
      <c r="P112" s="6">
        <v>576.57000000000005</v>
      </c>
      <c r="Q112" s="2"/>
      <c r="R112" s="7">
        <f t="shared" si="68"/>
        <v>2.1446258258968668E-3</v>
      </c>
      <c r="S112" s="2"/>
      <c r="T112" s="6">
        <v>551.95000000000005</v>
      </c>
      <c r="U112" s="2"/>
      <c r="V112" s="7">
        <f t="shared" si="69"/>
        <v>2.0716591769903703E-3</v>
      </c>
      <c r="W112" s="2"/>
      <c r="X112" s="6">
        <f t="shared" si="70"/>
        <v>24.620000000000005</v>
      </c>
      <c r="Y112" s="2"/>
      <c r="Z112" s="7">
        <f t="shared" si="71"/>
        <v>4.4605489627683674E-2</v>
      </c>
    </row>
    <row r="113" spans="1:26" s="27" customFormat="1" outlineLevel="1" collapsed="1" x14ac:dyDescent="0.25">
      <c r="A113" s="25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SUM(OSRRefD22_13x_0)</f>
        <v>0</v>
      </c>
      <c r="E113" s="1"/>
      <c r="F113" s="5">
        <f t="shared" si="64"/>
        <v>0</v>
      </c>
      <c r="G113" s="1"/>
      <c r="H113" s="1">
        <f>SUM(OSRRefH22_13x_0)</f>
        <v>0</v>
      </c>
      <c r="I113" s="1"/>
      <c r="J113" s="5">
        <f t="shared" si="65"/>
        <v>0</v>
      </c>
      <c r="K113" s="1"/>
      <c r="L113" s="1">
        <f t="shared" si="66"/>
        <v>0</v>
      </c>
      <c r="M113" s="1"/>
      <c r="N113" s="5">
        <f t="shared" si="67"/>
        <v>0</v>
      </c>
      <c r="O113" s="13"/>
      <c r="P113" s="1">
        <f>SUM(OSRRefP22_13x_0)</f>
        <v>80</v>
      </c>
      <c r="Q113" s="1"/>
      <c r="R113" s="5">
        <f t="shared" si="68"/>
        <v>2.9757022750359771E-4</v>
      </c>
      <c r="S113" s="1"/>
      <c r="T113" s="1">
        <f>SUM(OSRRefT22_13x_0)</f>
        <v>0</v>
      </c>
      <c r="U113" s="1"/>
      <c r="V113" s="5">
        <f t="shared" si="69"/>
        <v>0</v>
      </c>
      <c r="W113" s="1"/>
      <c r="X113" s="1">
        <f t="shared" si="70"/>
        <v>80</v>
      </c>
      <c r="Y113" s="1"/>
      <c r="Z113" s="5">
        <f t="shared" si="71"/>
        <v>0</v>
      </c>
    </row>
    <row r="114" spans="1:26" s="24" customFormat="1" hidden="1" outlineLevel="2" x14ac:dyDescent="0.25">
      <c r="A114" s="26"/>
      <c r="B114" s="11" t="str">
        <f>CONCATENATE("          ", "6376", " - ", "TRAINING")</f>
        <v xml:space="preserve">          6376 - TRAINING</v>
      </c>
      <c r="C114" s="11"/>
      <c r="D114" s="6"/>
      <c r="E114" s="2"/>
      <c r="F114" s="7">
        <f t="shared" si="64"/>
        <v>0</v>
      </c>
      <c r="G114" s="2"/>
      <c r="H114" s="6"/>
      <c r="I114" s="2"/>
      <c r="J114" s="7">
        <f t="shared" si="65"/>
        <v>0</v>
      </c>
      <c r="K114" s="2"/>
      <c r="L114" s="6">
        <f t="shared" si="66"/>
        <v>0</v>
      </c>
      <c r="M114" s="2"/>
      <c r="N114" s="7">
        <f t="shared" si="67"/>
        <v>0</v>
      </c>
      <c r="O114" s="11"/>
      <c r="P114" s="6">
        <v>80</v>
      </c>
      <c r="Q114" s="2"/>
      <c r="R114" s="7">
        <f t="shared" si="68"/>
        <v>2.9757022750359771E-4</v>
      </c>
      <c r="S114" s="2"/>
      <c r="T114" s="6"/>
      <c r="U114" s="2"/>
      <c r="V114" s="7">
        <f t="shared" si="69"/>
        <v>0</v>
      </c>
      <c r="W114" s="2"/>
      <c r="X114" s="6">
        <f t="shared" si="70"/>
        <v>80</v>
      </c>
      <c r="Y114" s="2"/>
      <c r="Z114" s="7">
        <f t="shared" si="71"/>
        <v>0</v>
      </c>
    </row>
    <row r="115" spans="1:26" s="61" customFormat="1" x14ac:dyDescent="0.25">
      <c r="A115" s="37"/>
      <c r="B115" s="37"/>
      <c r="C115" s="37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8" t="s">
        <v>0</v>
      </c>
      <c r="C116" s="10"/>
      <c r="D116" s="4">
        <f>SUM(OSRRefD25x_0)</f>
        <v>68.760000000000005</v>
      </c>
      <c r="E116" s="4"/>
      <c r="F116" s="12">
        <f t="shared" ref="F116:F117" si="72">IF(D$12=0,0,D116/D$12)</f>
        <v>3.1652212340496067E-3</v>
      </c>
      <c r="G116" s="4"/>
      <c r="H116" s="4">
        <f>SUM(OSRRefH25x_0)</f>
        <v>0</v>
      </c>
      <c r="I116" s="4"/>
      <c r="J116" s="12">
        <f t="shared" ref="J116:J117" si="73">IF(H$12=0,0,H116/H$12)</f>
        <v>0</v>
      </c>
      <c r="K116" s="4"/>
      <c r="L116" s="4">
        <f t="shared" ref="L116:L117" si="74">+D116-H116</f>
        <v>68.760000000000005</v>
      </c>
      <c r="M116" s="4"/>
      <c r="N116" s="12">
        <f t="shared" ref="N116:N117" si="75">IF(H116=0,0,L116/H116)</f>
        <v>0</v>
      </c>
      <c r="O116" s="10"/>
      <c r="P116" s="4">
        <f>SUM(OSRRefP25x_0)</f>
        <v>68.760000000000005</v>
      </c>
      <c r="Q116" s="4"/>
      <c r="R116" s="12">
        <f t="shared" ref="R116:R117" si="76">IF(P$12=0,0,P116/P$12)</f>
        <v>2.5576161053934225E-4</v>
      </c>
      <c r="S116" s="4"/>
      <c r="T116" s="4">
        <f>SUM(OSRRefT25x_0)</f>
        <v>0</v>
      </c>
      <c r="U116" s="4"/>
      <c r="V116" s="12">
        <f t="shared" ref="V116:V117" si="77">IF(T$12=0,0,T116/T$12)</f>
        <v>0</v>
      </c>
      <c r="W116" s="4"/>
      <c r="X116" s="4">
        <f t="shared" ref="X116:X117" si="78">+P116-T116</f>
        <v>68.760000000000005</v>
      </c>
      <c r="Y116" s="4"/>
      <c r="Z116" s="12">
        <f t="shared" ref="Z116:Z117" si="79">IF(T116=0,0,X116/T116)</f>
        <v>0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--68.76</f>
        <v>68.760000000000005</v>
      </c>
      <c r="E117" s="2"/>
      <c r="F117" s="19">
        <f t="shared" si="72"/>
        <v>3.1652212340496067E-3</v>
      </c>
      <c r="G117" s="2"/>
      <c r="H117" s="2">
        <f>0</f>
        <v>0</v>
      </c>
      <c r="I117" s="2"/>
      <c r="J117" s="19">
        <f t="shared" si="73"/>
        <v>0</v>
      </c>
      <c r="K117" s="2"/>
      <c r="L117" s="2">
        <f t="shared" si="74"/>
        <v>68.760000000000005</v>
      </c>
      <c r="M117" s="2"/>
      <c r="N117" s="19">
        <f t="shared" si="75"/>
        <v>0</v>
      </c>
      <c r="O117" s="11"/>
      <c r="P117" s="2">
        <f>--68.76</f>
        <v>68.760000000000005</v>
      </c>
      <c r="Q117" s="2"/>
      <c r="R117" s="19">
        <f t="shared" si="76"/>
        <v>2.5576161053934225E-4</v>
      </c>
      <c r="S117" s="2"/>
      <c r="T117" s="2">
        <f>0</f>
        <v>0</v>
      </c>
      <c r="U117" s="2"/>
      <c r="V117" s="19">
        <f t="shared" si="77"/>
        <v>0</v>
      </c>
      <c r="W117" s="2"/>
      <c r="X117" s="2">
        <f t="shared" si="78"/>
        <v>68.760000000000005</v>
      </c>
      <c r="Y117" s="2"/>
      <c r="Z117" s="19">
        <f t="shared" si="79"/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9" t="s">
        <v>3</v>
      </c>
      <c r="C119" s="29"/>
      <c r="D119" s="20">
        <f>+D70-D72+D116</f>
        <v>328.52999999998951</v>
      </c>
      <c r="E119" s="14"/>
      <c r="F119" s="21">
        <f>IF(D$12=0,0,D119/D$12)</f>
        <v>1.5123184002651018E-2</v>
      </c>
      <c r="G119" s="14"/>
      <c r="H119" s="20">
        <f>+H70-H72+H116</f>
        <v>4101.6099999999969</v>
      </c>
      <c r="I119" s="14"/>
      <c r="J119" s="21">
        <f>IF(H$12=0,0,H119/H$12)</f>
        <v>0.14354528983541809</v>
      </c>
      <c r="K119" s="15"/>
      <c r="L119" s="20">
        <f>+D119-H119</f>
        <v>-3773.0800000000072</v>
      </c>
      <c r="M119" s="15"/>
      <c r="N119" s="21">
        <f>IF(H119=0,0,L119/H119)</f>
        <v>-0.91990218475184382</v>
      </c>
      <c r="O119" s="28"/>
      <c r="P119" s="20">
        <f>+P70-P72+P116</f>
        <v>57056.510000000075</v>
      </c>
      <c r="Q119" s="14"/>
      <c r="R119" s="21">
        <f>IF(P$12=0,0,P119/P$12)</f>
        <v>0.2122289832657665</v>
      </c>
      <c r="S119" s="14"/>
      <c r="T119" s="20">
        <f>+T70-T72+T116</f>
        <v>58630.029999999904</v>
      </c>
      <c r="U119" s="14"/>
      <c r="V119" s="21">
        <f>IF(T$12=0,0,T119/T$12)</f>
        <v>0.22005877289015399</v>
      </c>
      <c r="W119" s="15"/>
      <c r="X119" s="20">
        <f>+P119-T119</f>
        <v>-1573.5199999998295</v>
      </c>
      <c r="Y119" s="15"/>
      <c r="Z119" s="21">
        <f>IF(T119=0,0,X119/T119)</f>
        <v>-2.6838123739657511E-2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1"/>
      <c r="B121" s="10" t="s">
        <v>13</v>
      </c>
      <c r="C121" s="10"/>
      <c r="D121" s="4">
        <v>2868.84</v>
      </c>
      <c r="E121" s="4"/>
      <c r="F121" s="12">
        <f>IF(D$12=0,0,D121/D$12)</f>
        <v>0.13206098436723201</v>
      </c>
      <c r="G121" s="4"/>
      <c r="H121" s="4">
        <v>3724.01</v>
      </c>
      <c r="I121" s="4"/>
      <c r="J121" s="12">
        <f>IF(H$12=0,0,H121/H$12)</f>
        <v>0.13033030804976478</v>
      </c>
      <c r="K121" s="4"/>
      <c r="L121" s="4">
        <f>+D121-H121</f>
        <v>-855.17000000000007</v>
      </c>
      <c r="M121" s="4"/>
      <c r="N121" s="12">
        <f>IF(H121=0,0,L121/H121)</f>
        <v>-0.22963686993321716</v>
      </c>
      <c r="O121" s="10"/>
      <c r="P121" s="4">
        <v>29037.230000000003</v>
      </c>
      <c r="Q121" s="4"/>
      <c r="R121" s="12">
        <f>IF(P$12=0,0,P121/P$12)</f>
        <v>0.10800768921467867</v>
      </c>
      <c r="S121" s="4"/>
      <c r="T121" s="4">
        <v>28751.72</v>
      </c>
      <c r="U121" s="4"/>
      <c r="V121" s="12">
        <f>IF(T$12=0,0,T121/T$12)</f>
        <v>0.10791514556075289</v>
      </c>
      <c r="W121" s="4"/>
      <c r="X121" s="4">
        <f>+P121-T121</f>
        <v>285.51000000000204</v>
      </c>
      <c r="Y121" s="4"/>
      <c r="Z121" s="12">
        <f>IF(T121=0,0,X121/T121)</f>
        <v>9.9301885243735684E-3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9" t="s">
        <v>4</v>
      </c>
      <c r="C123" s="29"/>
      <c r="D123" s="32">
        <f>+D119-D121</f>
        <v>-2540.3100000000104</v>
      </c>
      <c r="E123" s="14"/>
      <c r="F123" s="30">
        <f>IF(D$12=0,0,D123/D$12)</f>
        <v>-0.11693780036458098</v>
      </c>
      <c r="G123" s="14"/>
      <c r="H123" s="32">
        <f>+H119-H121</f>
        <v>377.59999999999673</v>
      </c>
      <c r="I123" s="14"/>
      <c r="J123" s="30">
        <f>IF(H$12=0,0,H123/H$12)</f>
        <v>1.3214981785653302E-2</v>
      </c>
      <c r="K123" s="15"/>
      <c r="L123" s="32">
        <f>D123-H123</f>
        <v>-2917.9100000000071</v>
      </c>
      <c r="M123" s="15"/>
      <c r="N123" s="30">
        <f>IF(H123=0,0,L123/H123)</f>
        <v>-7.7275158898305945</v>
      </c>
      <c r="O123" s="28"/>
      <c r="P123" s="32">
        <f>+P119-P121</f>
        <v>28019.280000000072</v>
      </c>
      <c r="Q123" s="14"/>
      <c r="R123" s="30">
        <f>IF(P$12=0,0,P123/P$12)</f>
        <v>0.10422129405108783</v>
      </c>
      <c r="S123" s="14"/>
      <c r="T123" s="32">
        <f>+T119-T121</f>
        <v>29878.309999999903</v>
      </c>
      <c r="U123" s="14"/>
      <c r="V123" s="30">
        <f>IF(T$12=0,0,T123/T$12)</f>
        <v>0.1121436273294011</v>
      </c>
      <c r="W123" s="15"/>
      <c r="X123" s="32">
        <f>P123-T123</f>
        <v>-1859.0299999998315</v>
      </c>
      <c r="Y123" s="15"/>
      <c r="Z123" s="30">
        <f>IF(T123=0,0,X123/T123)</f>
        <v>-6.2220051937336401E-2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5</v>
      </c>
      <c r="C126" s="29"/>
      <c r="D126" s="36">
        <f>SUM(D123:D125)</f>
        <v>-2540.3100000000104</v>
      </c>
      <c r="E126" s="14"/>
      <c r="F126" s="31">
        <f>IF(D$12=0,0,D126/D$12)</f>
        <v>-0.11693780036458098</v>
      </c>
      <c r="G126" s="14"/>
      <c r="H126" s="36">
        <f>SUM(H123:H125)</f>
        <v>377.59999999999673</v>
      </c>
      <c r="I126" s="14"/>
      <c r="J126" s="31">
        <f>IF(H$12=0,0,H126/H$12)</f>
        <v>1.3214981785653302E-2</v>
      </c>
      <c r="K126" s="15"/>
      <c r="L126" s="36">
        <f>+D126-H126</f>
        <v>-2917.9100000000071</v>
      </c>
      <c r="M126" s="15"/>
      <c r="N126" s="31">
        <f>IF(H126=0,0,L126/H126)</f>
        <v>-7.7275158898305945</v>
      </c>
      <c r="O126" s="28"/>
      <c r="P126" s="36">
        <f>SUM(P123:P125)</f>
        <v>28019.280000000072</v>
      </c>
      <c r="Q126" s="14"/>
      <c r="R126" s="31">
        <f>IF(P$12=0,0,P126/P$12)</f>
        <v>0.10422129405108783</v>
      </c>
      <c r="S126" s="14"/>
      <c r="T126" s="36">
        <f>SUM(T123:T125)</f>
        <v>29878.309999999903</v>
      </c>
      <c r="U126" s="14"/>
      <c r="V126" s="31">
        <f>IF(T$12=0,0,T126/T$12)</f>
        <v>0.1121436273294011</v>
      </c>
      <c r="W126" s="15"/>
      <c r="X126" s="36">
        <f>+P126-T126</f>
        <v>-1859.0299999998315</v>
      </c>
      <c r="Y126" s="15"/>
      <c r="Z126" s="31">
        <f>IF(T126=0,0,X126/T126)</f>
        <v>-6.2220051937336401E-2</v>
      </c>
    </row>
    <row r="127" spans="1:26" ht="15.75" thickTop="1" x14ac:dyDescent="0.25">
      <c r="A127" s="9"/>
      <c r="C127" s="9"/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25">
      <c r="A128" s="9"/>
      <c r="B128" s="62">
        <v>43847.453656365738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56" t="s">
        <v>313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4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","314", " - ", "Supplies")</f>
        <v>Department 314 - Supplies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22472.85</v>
      </c>
      <c r="E12" s="4"/>
      <c r="F12" s="12"/>
      <c r="G12" s="4"/>
      <c r="H12" s="4">
        <f>SUM(OSRRefH13x_0)</f>
        <v>20056.73</v>
      </c>
      <c r="I12" s="4"/>
      <c r="J12" s="12"/>
      <c r="K12" s="4"/>
      <c r="L12" s="4">
        <f t="shared" ref="L12:L33" si="0">+D12-H12</f>
        <v>2416.119999999999</v>
      </c>
      <c r="M12" s="4"/>
      <c r="N12" s="12">
        <f t="shared" ref="N12:N33" si="1">IF(H12=0,0,L12/H12)</f>
        <v>0.12046430300452761</v>
      </c>
      <c r="O12" s="10"/>
      <c r="P12" s="4">
        <f>SUM(OSRRefP13x_0)</f>
        <v>247133.21000000002</v>
      </c>
      <c r="Q12" s="4"/>
      <c r="R12" s="12"/>
      <c r="S12" s="4"/>
      <c r="T12" s="4">
        <f>SUM(OSRRefT13x_0)</f>
        <v>240021.35000000006</v>
      </c>
      <c r="U12" s="4"/>
      <c r="V12" s="12"/>
      <c r="W12" s="4"/>
      <c r="X12" s="4">
        <f t="shared" ref="X12:X33" si="2">+P12-T12</f>
        <v>7111.8599999999569</v>
      </c>
      <c r="Y12" s="4"/>
      <c r="Z12" s="12">
        <f t="shared" ref="Z12:Z33" si="3">IF(T12=0,0,X12/T12)</f>
        <v>2.9630114154428157E-2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14" si="4">0</f>
        <v>0</v>
      </c>
      <c r="E13" s="2"/>
      <c r="F13" s="19"/>
      <c r="G13" s="2"/>
      <c r="H13" s="2">
        <f>--7.45</f>
        <v>7.45</v>
      </c>
      <c r="I13" s="2"/>
      <c r="J13" s="19"/>
      <c r="K13" s="2"/>
      <c r="L13" s="2">
        <f t="shared" si="0"/>
        <v>-7.45</v>
      </c>
      <c r="M13" s="2"/>
      <c r="N13" s="19">
        <f t="shared" si="1"/>
        <v>-1</v>
      </c>
      <c r="O13" s="11"/>
      <c r="P13" s="2">
        <f>--209.2</f>
        <v>209.2</v>
      </c>
      <c r="Q13" s="2"/>
      <c r="R13" s="19"/>
      <c r="S13" s="2"/>
      <c r="T13" s="2">
        <f>--651.02</f>
        <v>651.02</v>
      </c>
      <c r="U13" s="2"/>
      <c r="V13" s="19"/>
      <c r="W13" s="2"/>
      <c r="X13" s="2">
        <f t="shared" si="2"/>
        <v>-441.82</v>
      </c>
      <c r="Y13" s="2"/>
      <c r="Z13" s="19">
        <f t="shared" si="3"/>
        <v>-0.67865810574175911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--5.97</f>
        <v>5.97</v>
      </c>
      <c r="I14" s="2"/>
      <c r="J14" s="19"/>
      <c r="K14" s="2"/>
      <c r="L14" s="2">
        <f t="shared" si="0"/>
        <v>-5.97</v>
      </c>
      <c r="M14" s="2"/>
      <c r="N14" s="19">
        <f t="shared" si="1"/>
        <v>-1</v>
      </c>
      <c r="O14" s="11"/>
      <c r="P14" s="2">
        <f>--33.88</f>
        <v>33.880000000000003</v>
      </c>
      <c r="Q14" s="2"/>
      <c r="R14" s="19"/>
      <c r="S14" s="2"/>
      <c r="T14" s="2">
        <f>--20.55</f>
        <v>20.55</v>
      </c>
      <c r="U14" s="2"/>
      <c r="V14" s="19"/>
      <c r="W14" s="2"/>
      <c r="X14" s="2">
        <f t="shared" si="2"/>
        <v>13.330000000000002</v>
      </c>
      <c r="Y14" s="2"/>
      <c r="Z14" s="19">
        <f t="shared" si="3"/>
        <v>0.64866180048661803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--5292.54</f>
        <v>5292.54</v>
      </c>
      <c r="E15" s="2"/>
      <c r="F15" s="19"/>
      <c r="G15" s="2"/>
      <c r="H15" s="2">
        <f>--5338.79</f>
        <v>5338.79</v>
      </c>
      <c r="I15" s="2"/>
      <c r="J15" s="19"/>
      <c r="K15" s="2"/>
      <c r="L15" s="2">
        <f t="shared" si="0"/>
        <v>-46.25</v>
      </c>
      <c r="M15" s="2"/>
      <c r="N15" s="19">
        <f t="shared" si="1"/>
        <v>-8.6630116561992512E-3</v>
      </c>
      <c r="O15" s="11"/>
      <c r="P15" s="2">
        <f>--33528.09</f>
        <v>33528.089999999997</v>
      </c>
      <c r="Q15" s="2"/>
      <c r="R15" s="19"/>
      <c r="S15" s="2"/>
      <c r="T15" s="2">
        <f>--32509.94</f>
        <v>32509.94</v>
      </c>
      <c r="U15" s="2"/>
      <c r="V15" s="19"/>
      <c r="W15" s="2"/>
      <c r="X15" s="2">
        <f t="shared" si="2"/>
        <v>1018.1499999999978</v>
      </c>
      <c r="Y15" s="2"/>
      <c r="Z15" s="19">
        <f t="shared" si="3"/>
        <v>3.1318113783045984E-2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--5746.25</f>
        <v>5746.25</v>
      </c>
      <c r="E16" s="2"/>
      <c r="F16" s="19"/>
      <c r="G16" s="2"/>
      <c r="H16" s="2">
        <f>--4274.15</f>
        <v>4274.1499999999996</v>
      </c>
      <c r="I16" s="2"/>
      <c r="J16" s="19"/>
      <c r="K16" s="2"/>
      <c r="L16" s="2">
        <f t="shared" si="0"/>
        <v>1472.1000000000004</v>
      </c>
      <c r="M16" s="2"/>
      <c r="N16" s="19">
        <f t="shared" si="1"/>
        <v>0.34441935823497083</v>
      </c>
      <c r="O16" s="11"/>
      <c r="P16" s="2">
        <f>--45820.98</f>
        <v>45820.98</v>
      </c>
      <c r="Q16" s="2"/>
      <c r="R16" s="19"/>
      <c r="S16" s="2"/>
      <c r="T16" s="2">
        <f>--38307.77</f>
        <v>38307.769999999997</v>
      </c>
      <c r="U16" s="2"/>
      <c r="V16" s="19"/>
      <c r="W16" s="2"/>
      <c r="X16" s="2">
        <f t="shared" si="2"/>
        <v>7513.2100000000064</v>
      </c>
      <c r="Y16" s="2"/>
      <c r="Z16" s="19">
        <f t="shared" si="3"/>
        <v>0.19612757411877557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--10317.01</f>
        <v>10317.01</v>
      </c>
      <c r="E17" s="2"/>
      <c r="F17" s="19"/>
      <c r="G17" s="2"/>
      <c r="H17" s="2">
        <f>--8694</f>
        <v>8694</v>
      </c>
      <c r="I17" s="2"/>
      <c r="J17" s="19"/>
      <c r="K17" s="2"/>
      <c r="L17" s="2">
        <f t="shared" si="0"/>
        <v>1623.0100000000002</v>
      </c>
      <c r="M17" s="2"/>
      <c r="N17" s="19">
        <f t="shared" si="1"/>
        <v>0.18668161950770648</v>
      </c>
      <c r="O17" s="11"/>
      <c r="P17" s="2">
        <f>--159493.64</f>
        <v>159493.64000000001</v>
      </c>
      <c r="Q17" s="2"/>
      <c r="R17" s="19"/>
      <c r="S17" s="2"/>
      <c r="T17" s="2">
        <f>--147508.2</f>
        <v>147508.20000000001</v>
      </c>
      <c r="U17" s="2"/>
      <c r="V17" s="19"/>
      <c r="W17" s="2"/>
      <c r="X17" s="2">
        <f t="shared" si="2"/>
        <v>11985.440000000002</v>
      </c>
      <c r="Y17" s="2"/>
      <c r="Z17" s="19">
        <f t="shared" si="3"/>
        <v>8.1252703239548724E-2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--1001.73</f>
        <v>1001.73</v>
      </c>
      <c r="E18" s="2"/>
      <c r="F18" s="19"/>
      <c r="G18" s="2"/>
      <c r="H18" s="2">
        <f>--613.34</f>
        <v>613.34</v>
      </c>
      <c r="I18" s="2"/>
      <c r="J18" s="19"/>
      <c r="K18" s="2"/>
      <c r="L18" s="2">
        <f t="shared" si="0"/>
        <v>388.39</v>
      </c>
      <c r="M18" s="2"/>
      <c r="N18" s="19">
        <f t="shared" si="1"/>
        <v>0.63323768219910648</v>
      </c>
      <c r="O18" s="11"/>
      <c r="P18" s="2">
        <f>--7686.51</f>
        <v>7686.51</v>
      </c>
      <c r="Q18" s="2"/>
      <c r="R18" s="19"/>
      <c r="S18" s="2"/>
      <c r="T18" s="2">
        <f>--8783.07</f>
        <v>8783.07</v>
      </c>
      <c r="U18" s="2"/>
      <c r="V18" s="19"/>
      <c r="W18" s="2"/>
      <c r="X18" s="2">
        <f t="shared" si="2"/>
        <v>-1096.5599999999995</v>
      </c>
      <c r="Y18" s="2"/>
      <c r="Z18" s="19">
        <f t="shared" si="3"/>
        <v>-0.12484928390642447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ref="D19:D20" si="5">0</f>
        <v>0</v>
      </c>
      <c r="E19" s="2"/>
      <c r="F19" s="19"/>
      <c r="G19" s="2"/>
      <c r="H19" s="2">
        <f>--36.67</f>
        <v>36.67</v>
      </c>
      <c r="I19" s="2"/>
      <c r="J19" s="19"/>
      <c r="K19" s="2"/>
      <c r="L19" s="2">
        <f t="shared" si="0"/>
        <v>-36.67</v>
      </c>
      <c r="M19" s="2"/>
      <c r="N19" s="19">
        <f t="shared" si="1"/>
        <v>-1</v>
      </c>
      <c r="O19" s="11"/>
      <c r="P19" s="2">
        <f>--16.2</f>
        <v>16.2</v>
      </c>
      <c r="Q19" s="2"/>
      <c r="R19" s="19"/>
      <c r="S19" s="2"/>
      <c r="T19" s="2">
        <f>--345.5</f>
        <v>345.5</v>
      </c>
      <c r="U19" s="2"/>
      <c r="V19" s="19"/>
      <c r="W19" s="2"/>
      <c r="X19" s="2">
        <f t="shared" si="2"/>
        <v>-329.3</v>
      </c>
      <c r="Y19" s="2"/>
      <c r="Z19" s="19">
        <f t="shared" si="3"/>
        <v>-0.95311143270622289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5"/>
        <v>0</v>
      </c>
      <c r="E20" s="2"/>
      <c r="F20" s="19"/>
      <c r="G20" s="2"/>
      <c r="H20" s="2">
        <f>--11.31</f>
        <v>11.31</v>
      </c>
      <c r="I20" s="2"/>
      <c r="J20" s="19"/>
      <c r="K20" s="2"/>
      <c r="L20" s="2">
        <f t="shared" si="0"/>
        <v>-11.31</v>
      </c>
      <c r="M20" s="2"/>
      <c r="N20" s="19">
        <f t="shared" si="1"/>
        <v>-1</v>
      </c>
      <c r="O20" s="11"/>
      <c r="P20" s="2">
        <f>--124.18</f>
        <v>124.18</v>
      </c>
      <c r="Q20" s="2"/>
      <c r="R20" s="19"/>
      <c r="S20" s="2"/>
      <c r="T20" s="2">
        <f>--172.04</f>
        <v>172.04</v>
      </c>
      <c r="U20" s="2"/>
      <c r="V20" s="19"/>
      <c r="W20" s="2"/>
      <c r="X20" s="2">
        <f t="shared" si="2"/>
        <v>-47.859999999999985</v>
      </c>
      <c r="Y20" s="2"/>
      <c r="Z20" s="19">
        <f t="shared" si="3"/>
        <v>-0.27819111834457094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--38.73</f>
        <v>38.729999999999997</v>
      </c>
      <c r="E21" s="2"/>
      <c r="F21" s="19"/>
      <c r="G21" s="2"/>
      <c r="H21" s="2">
        <f>--192.74</f>
        <v>192.74</v>
      </c>
      <c r="I21" s="2"/>
      <c r="J21" s="19"/>
      <c r="K21" s="2"/>
      <c r="L21" s="2">
        <f t="shared" si="0"/>
        <v>-154.01000000000002</v>
      </c>
      <c r="M21" s="2"/>
      <c r="N21" s="19">
        <f t="shared" si="1"/>
        <v>-0.79905572273529113</v>
      </c>
      <c r="O21" s="11"/>
      <c r="P21" s="2">
        <f>--1509.11</f>
        <v>1509.11</v>
      </c>
      <c r="Q21" s="2"/>
      <c r="R21" s="19"/>
      <c r="S21" s="2"/>
      <c r="T21" s="2">
        <f>--2003.64</f>
        <v>2003.64</v>
      </c>
      <c r="U21" s="2"/>
      <c r="V21" s="19"/>
      <c r="W21" s="2"/>
      <c r="X21" s="2">
        <f t="shared" si="2"/>
        <v>-494.5300000000002</v>
      </c>
      <c r="Y21" s="2"/>
      <c r="Z21" s="19">
        <f t="shared" si="3"/>
        <v>-0.24681579525264027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 t="shared" ref="D22:D23" si="6">0</f>
        <v>0</v>
      </c>
      <c r="E22" s="2"/>
      <c r="F22" s="19"/>
      <c r="G22" s="2"/>
      <c r="H22" s="2">
        <f>--721.23</f>
        <v>721.23</v>
      </c>
      <c r="I22" s="2"/>
      <c r="J22" s="19"/>
      <c r="K22" s="2"/>
      <c r="L22" s="2">
        <f t="shared" si="0"/>
        <v>-721.23</v>
      </c>
      <c r="M22" s="2"/>
      <c r="N22" s="19">
        <f t="shared" si="1"/>
        <v>-1</v>
      </c>
      <c r="O22" s="11"/>
      <c r="P22" s="2">
        <f>--2591.23</f>
        <v>2591.23</v>
      </c>
      <c r="Q22" s="2"/>
      <c r="R22" s="19"/>
      <c r="S22" s="2"/>
      <c r="T22" s="2">
        <f>--9436.29</f>
        <v>9436.2900000000009</v>
      </c>
      <c r="U22" s="2"/>
      <c r="V22" s="19"/>
      <c r="W22" s="2"/>
      <c r="X22" s="2">
        <f t="shared" si="2"/>
        <v>-6845.0600000000013</v>
      </c>
      <c r="Y22" s="2"/>
      <c r="Z22" s="19">
        <f t="shared" si="3"/>
        <v>-0.72539737545158112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 t="shared" si="6"/>
        <v>0</v>
      </c>
      <c r="E23" s="2"/>
      <c r="F23" s="19"/>
      <c r="G23" s="2"/>
      <c r="H23" s="2">
        <f>--31.29</f>
        <v>31.29</v>
      </c>
      <c r="I23" s="2"/>
      <c r="J23" s="19"/>
      <c r="K23" s="2"/>
      <c r="L23" s="2">
        <f t="shared" si="0"/>
        <v>-31.29</v>
      </c>
      <c r="M23" s="2"/>
      <c r="N23" s="19">
        <f t="shared" si="1"/>
        <v>-1</v>
      </c>
      <c r="O23" s="11"/>
      <c r="P23" s="2">
        <f>--253.32</f>
        <v>253.32</v>
      </c>
      <c r="Q23" s="2"/>
      <c r="R23" s="19"/>
      <c r="S23" s="2"/>
      <c r="T23" s="2">
        <f>--372.19</f>
        <v>372.19</v>
      </c>
      <c r="U23" s="2"/>
      <c r="V23" s="19"/>
      <c r="W23" s="2"/>
      <c r="X23" s="2">
        <f t="shared" si="2"/>
        <v>-118.87</v>
      </c>
      <c r="Y23" s="2"/>
      <c r="Z23" s="19">
        <f t="shared" si="3"/>
        <v>-0.31937988661705047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--160.66</f>
        <v>160.66</v>
      </c>
      <c r="E24" s="2"/>
      <c r="F24" s="19"/>
      <c r="G24" s="2"/>
      <c r="H24" s="2">
        <f>--86.9</f>
        <v>86.9</v>
      </c>
      <c r="I24" s="2"/>
      <c r="J24" s="19"/>
      <c r="K24" s="2"/>
      <c r="L24" s="2">
        <f t="shared" si="0"/>
        <v>73.759999999999991</v>
      </c>
      <c r="M24" s="2"/>
      <c r="N24" s="19">
        <f t="shared" si="1"/>
        <v>0.84879171461449932</v>
      </c>
      <c r="O24" s="11"/>
      <c r="P24" s="2">
        <f>--954.49</f>
        <v>954.49</v>
      </c>
      <c r="Q24" s="2"/>
      <c r="R24" s="19"/>
      <c r="S24" s="2"/>
      <c r="T24" s="2">
        <f>--1023.21</f>
        <v>1023.21</v>
      </c>
      <c r="U24" s="2"/>
      <c r="V24" s="19"/>
      <c r="W24" s="2"/>
      <c r="X24" s="2">
        <f t="shared" si="2"/>
        <v>-68.720000000000027</v>
      </c>
      <c r="Y24" s="2"/>
      <c r="Z24" s="19">
        <f t="shared" si="3"/>
        <v>-6.7161188807771652E-2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--173.67</f>
        <v>173.67</v>
      </c>
      <c r="E25" s="2"/>
      <c r="F25" s="19"/>
      <c r="G25" s="2"/>
      <c r="H25" s="2">
        <f>--221.35</f>
        <v>221.35</v>
      </c>
      <c r="I25" s="2"/>
      <c r="J25" s="19"/>
      <c r="K25" s="2"/>
      <c r="L25" s="2">
        <f t="shared" si="0"/>
        <v>-47.680000000000007</v>
      </c>
      <c r="M25" s="2"/>
      <c r="N25" s="19">
        <f t="shared" si="1"/>
        <v>-0.21540546645583922</v>
      </c>
      <c r="O25" s="11"/>
      <c r="P25" s="2">
        <f>--1514.79</f>
        <v>1514.79</v>
      </c>
      <c r="Q25" s="2"/>
      <c r="R25" s="19"/>
      <c r="S25" s="2"/>
      <c r="T25" s="2">
        <f>--1742.69</f>
        <v>1742.69</v>
      </c>
      <c r="U25" s="2"/>
      <c r="V25" s="19"/>
      <c r="W25" s="2"/>
      <c r="X25" s="2">
        <f t="shared" si="2"/>
        <v>-227.90000000000009</v>
      </c>
      <c r="Y25" s="2"/>
      <c r="Z25" s="19">
        <f t="shared" si="3"/>
        <v>-0.13077483660318248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ref="D26:D27" si="7">0</f>
        <v>0</v>
      </c>
      <c r="E26" s="2"/>
      <c r="F26" s="19"/>
      <c r="G26" s="2"/>
      <c r="H26" s="2">
        <f>--24.05</f>
        <v>24.05</v>
      </c>
      <c r="I26" s="2"/>
      <c r="J26" s="19"/>
      <c r="K26" s="2"/>
      <c r="L26" s="2">
        <f t="shared" si="0"/>
        <v>-24.05</v>
      </c>
      <c r="M26" s="2"/>
      <c r="N26" s="19">
        <f t="shared" si="1"/>
        <v>-1</v>
      </c>
      <c r="O26" s="11"/>
      <c r="P26" s="2">
        <f>--50.16</f>
        <v>50.16</v>
      </c>
      <c r="Q26" s="2"/>
      <c r="R26" s="19"/>
      <c r="S26" s="2"/>
      <c r="T26" s="2">
        <f>--106.98</f>
        <v>106.98</v>
      </c>
      <c r="U26" s="2"/>
      <c r="V26" s="19"/>
      <c r="W26" s="2"/>
      <c r="X26" s="2">
        <f t="shared" si="2"/>
        <v>-56.820000000000007</v>
      </c>
      <c r="Y26" s="2"/>
      <c r="Z26" s="19">
        <f t="shared" si="3"/>
        <v>-0.53112731351654519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7"/>
        <v>0</v>
      </c>
      <c r="E27" s="2"/>
      <c r="F27" s="19"/>
      <c r="G27" s="2"/>
      <c r="H27" s="2">
        <f t="shared" ref="H27:H28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-2.98</f>
        <v>-2.98</v>
      </c>
      <c r="Q27" s="2"/>
      <c r="R27" s="19"/>
      <c r="S27" s="2"/>
      <c r="T27" s="2">
        <f>-1.5</f>
        <v>-1.5</v>
      </c>
      <c r="U27" s="2"/>
      <c r="V27" s="19"/>
      <c r="W27" s="2"/>
      <c r="X27" s="2">
        <f t="shared" si="2"/>
        <v>-1.48</v>
      </c>
      <c r="Y27" s="2"/>
      <c r="Z27" s="19">
        <f t="shared" si="3"/>
        <v>0.98666666666666669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-14.61</f>
        <v>-14.61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-14.61</v>
      </c>
      <c r="M28" s="2"/>
      <c r="N28" s="19">
        <f t="shared" si="1"/>
        <v>0</v>
      </c>
      <c r="O28" s="11"/>
      <c r="P28" s="2">
        <f>-79.58</f>
        <v>-79.58</v>
      </c>
      <c r="Q28" s="2"/>
      <c r="R28" s="19"/>
      <c r="S28" s="2"/>
      <c r="T28" s="2">
        <f>-62.42</f>
        <v>-62.42</v>
      </c>
      <c r="U28" s="2"/>
      <c r="V28" s="19"/>
      <c r="W28" s="2"/>
      <c r="X28" s="2">
        <f t="shared" si="2"/>
        <v>-17.159999999999997</v>
      </c>
      <c r="Y28" s="2"/>
      <c r="Z28" s="19">
        <f t="shared" si="3"/>
        <v>0.27491188721563597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-40.86</f>
        <v>-40.86</v>
      </c>
      <c r="E29" s="2"/>
      <c r="F29" s="19"/>
      <c r="G29" s="2"/>
      <c r="H29" s="2">
        <f>-15.75</f>
        <v>-15.75</v>
      </c>
      <c r="I29" s="2"/>
      <c r="J29" s="19"/>
      <c r="K29" s="2"/>
      <c r="L29" s="2">
        <f t="shared" si="0"/>
        <v>-25.11</v>
      </c>
      <c r="M29" s="2"/>
      <c r="N29" s="19">
        <f t="shared" si="1"/>
        <v>1.5942857142857143</v>
      </c>
      <c r="O29" s="11"/>
      <c r="P29" s="2">
        <f>-389.79</f>
        <v>-389.79</v>
      </c>
      <c r="Q29" s="2"/>
      <c r="R29" s="19"/>
      <c r="S29" s="2"/>
      <c r="T29" s="2">
        <f>-217.19</f>
        <v>-217.19</v>
      </c>
      <c r="U29" s="2"/>
      <c r="V29" s="19"/>
      <c r="W29" s="2"/>
      <c r="X29" s="2">
        <f t="shared" si="2"/>
        <v>-172.60000000000002</v>
      </c>
      <c r="Y29" s="2"/>
      <c r="Z29" s="19">
        <f t="shared" si="3"/>
        <v>0.79469588839265171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-202.27</f>
        <v>-202.27</v>
      </c>
      <c r="E30" s="2"/>
      <c r="F30" s="19"/>
      <c r="G30" s="2"/>
      <c r="H30" s="2">
        <f>-183.77</f>
        <v>-183.77</v>
      </c>
      <c r="I30" s="2"/>
      <c r="J30" s="19"/>
      <c r="K30" s="2"/>
      <c r="L30" s="2">
        <f t="shared" si="0"/>
        <v>-18.5</v>
      </c>
      <c r="M30" s="2"/>
      <c r="N30" s="19">
        <f t="shared" si="1"/>
        <v>0.10066931490450018</v>
      </c>
      <c r="O30" s="11"/>
      <c r="P30" s="2">
        <f>-5920.6</f>
        <v>-5920.6</v>
      </c>
      <c r="Q30" s="2"/>
      <c r="R30" s="19"/>
      <c r="S30" s="2"/>
      <c r="T30" s="2">
        <f>-2637.78</f>
        <v>-2637.78</v>
      </c>
      <c r="U30" s="2"/>
      <c r="V30" s="19"/>
      <c r="W30" s="2"/>
      <c r="X30" s="2">
        <f t="shared" si="2"/>
        <v>-3282.82</v>
      </c>
      <c r="Y30" s="2"/>
      <c r="Z30" s="19">
        <f t="shared" si="3"/>
        <v>1.2445389683749213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 t="shared" ref="D31:D33" si="9">0</f>
        <v>0</v>
      </c>
      <c r="E31" s="2"/>
      <c r="F31" s="19"/>
      <c r="G31" s="2"/>
      <c r="H31" s="2">
        <f>-2.99</f>
        <v>-2.99</v>
      </c>
      <c r="I31" s="2"/>
      <c r="J31" s="19"/>
      <c r="K31" s="2"/>
      <c r="L31" s="2">
        <f t="shared" si="0"/>
        <v>2.99</v>
      </c>
      <c r="M31" s="2"/>
      <c r="N31" s="19">
        <f t="shared" si="1"/>
        <v>-1</v>
      </c>
      <c r="O31" s="11"/>
      <c r="P31" s="2">
        <f>-237.75</f>
        <v>-237.75</v>
      </c>
      <c r="Q31" s="2"/>
      <c r="R31" s="19"/>
      <c r="S31" s="2"/>
      <c r="T31" s="2">
        <f>-34.77</f>
        <v>-34.770000000000003</v>
      </c>
      <c r="U31" s="2"/>
      <c r="V31" s="19"/>
      <c r="W31" s="2"/>
      <c r="X31" s="2">
        <f t="shared" si="2"/>
        <v>-202.98</v>
      </c>
      <c r="Y31" s="2"/>
      <c r="Z31" s="19">
        <f t="shared" si="3"/>
        <v>5.8377911993097493</v>
      </c>
    </row>
    <row r="32" spans="1:26" s="24" customFormat="1" hidden="1" outlineLevel="1" x14ac:dyDescent="0.2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 t="shared" si="9"/>
        <v>0</v>
      </c>
      <c r="E32" s="2"/>
      <c r="F32" s="19"/>
      <c r="G32" s="2"/>
      <c r="H32" s="2">
        <f t="shared" ref="H32:H33" si="10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-8.08</f>
        <v>-8.08</v>
      </c>
      <c r="U32" s="2"/>
      <c r="V32" s="19"/>
      <c r="W32" s="2"/>
      <c r="X32" s="2">
        <f t="shared" si="2"/>
        <v>8.08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 t="shared" si="9"/>
        <v>0</v>
      </c>
      <c r="E33" s="2"/>
      <c r="F33" s="19"/>
      <c r="G33" s="2"/>
      <c r="H33" s="2">
        <f t="shared" si="10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-21.87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10839.510000000002</v>
      </c>
      <c r="E35" s="4"/>
      <c r="F35" s="12">
        <f t="shared" ref="F35:F50" si="11">IF(D$12=0,0,D35/D$12)</f>
        <v>0.48233802121226294</v>
      </c>
      <c r="G35" s="4"/>
      <c r="H35" s="4">
        <f>SUM(OSRRefH16x_0)</f>
        <v>9856.6300000000028</v>
      </c>
      <c r="I35" s="4"/>
      <c r="J35" s="12">
        <f t="shared" ref="J35:J50" si="12">IF(H$12=0,0,H35/H$12)</f>
        <v>0.49143753742509388</v>
      </c>
      <c r="K35" s="4"/>
      <c r="L35" s="4">
        <f t="shared" ref="L35:L50" si="13">+D35-H35</f>
        <v>982.8799999999992</v>
      </c>
      <c r="M35" s="4"/>
      <c r="N35" s="12">
        <f t="shared" ref="N35:N50" si="14">IF(H35=0,0,L35/H35)</f>
        <v>9.9717651976385324E-2</v>
      </c>
      <c r="O35" s="10"/>
      <c r="P35" s="4">
        <f>SUM(OSRRefP16x_0)</f>
        <v>115405.70000000004</v>
      </c>
      <c r="Q35" s="4"/>
      <c r="R35" s="12">
        <f t="shared" ref="R35:R50" si="15">IF(P$12=0,0,P35/P$12)</f>
        <v>0.46697770809516065</v>
      </c>
      <c r="S35" s="4"/>
      <c r="T35" s="4">
        <f>SUM(OSRRefT16x_0)</f>
        <v>120128.28000000001</v>
      </c>
      <c r="U35" s="4"/>
      <c r="V35" s="12">
        <f t="shared" ref="V35:V50" si="16">IF(T$12=0,0,T35/T$12)</f>
        <v>0.50048997724577415</v>
      </c>
      <c r="W35" s="4"/>
      <c r="X35" s="4">
        <f t="shared" ref="X35:X50" si="17">+P35-T35</f>
        <v>-4722.5799999999726</v>
      </c>
      <c r="Y35" s="4"/>
      <c r="Z35" s="12">
        <f t="shared" ref="Z35:Z50" si="18">IF(T35=0,0,X35/T35)</f>
        <v>-3.9312807941643484E-2</v>
      </c>
    </row>
    <row r="36" spans="1:26" s="24" customFormat="1" hidden="1" outlineLevel="1" x14ac:dyDescent="0.2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/>
      <c r="E36" s="2"/>
      <c r="F36" s="19">
        <f t="shared" si="11"/>
        <v>0</v>
      </c>
      <c r="G36" s="2"/>
      <c r="H36" s="2"/>
      <c r="I36" s="2"/>
      <c r="J36" s="19">
        <f t="shared" si="12"/>
        <v>0</v>
      </c>
      <c r="K36" s="2"/>
      <c r="L36" s="2">
        <f t="shared" si="13"/>
        <v>0</v>
      </c>
      <c r="M36" s="2"/>
      <c r="N36" s="19">
        <f t="shared" si="14"/>
        <v>0</v>
      </c>
      <c r="O36" s="11"/>
      <c r="P36" s="2">
        <v>0</v>
      </c>
      <c r="Q36" s="2"/>
      <c r="R36" s="19">
        <f t="shared" si="15"/>
        <v>0</v>
      </c>
      <c r="S36" s="2"/>
      <c r="T36" s="2">
        <v>239.9</v>
      </c>
      <c r="U36" s="2"/>
      <c r="V36" s="19">
        <f t="shared" si="16"/>
        <v>9.9949441997555614E-4</v>
      </c>
      <c r="W36" s="2"/>
      <c r="X36" s="2">
        <f t="shared" si="17"/>
        <v>-239.9</v>
      </c>
      <c r="Y36" s="2"/>
      <c r="Z36" s="19">
        <f t="shared" si="18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>
        <v>-68.08</v>
      </c>
      <c r="E37" s="2"/>
      <c r="F37" s="19">
        <f t="shared" si="11"/>
        <v>-3.0294332939524806E-3</v>
      </c>
      <c r="G37" s="2"/>
      <c r="H37" s="2">
        <v>12833.15</v>
      </c>
      <c r="I37" s="2"/>
      <c r="J37" s="19">
        <f t="shared" si="12"/>
        <v>0.6398425865033831</v>
      </c>
      <c r="K37" s="2"/>
      <c r="L37" s="2">
        <f t="shared" si="13"/>
        <v>-12901.23</v>
      </c>
      <c r="M37" s="2"/>
      <c r="N37" s="19">
        <f t="shared" si="14"/>
        <v>-1.0053050108508044</v>
      </c>
      <c r="O37" s="11"/>
      <c r="P37" s="2">
        <v>21626.030000000002</v>
      </c>
      <c r="Q37" s="2"/>
      <c r="R37" s="19">
        <f t="shared" si="15"/>
        <v>8.7507583460757862E-2</v>
      </c>
      <c r="S37" s="2"/>
      <c r="T37" s="2">
        <v>14604.77</v>
      </c>
      <c r="U37" s="2"/>
      <c r="V37" s="19">
        <f t="shared" si="16"/>
        <v>6.0847795414866207E-2</v>
      </c>
      <c r="W37" s="2"/>
      <c r="X37" s="2">
        <f t="shared" si="17"/>
        <v>7021.260000000002</v>
      </c>
      <c r="Y37" s="2"/>
      <c r="Z37" s="19">
        <f t="shared" si="18"/>
        <v>0.48075115184970402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4317.49</v>
      </c>
      <c r="E38" s="2"/>
      <c r="F38" s="19">
        <f t="shared" si="11"/>
        <v>0.19212026956972525</v>
      </c>
      <c r="G38" s="2"/>
      <c r="H38" s="2">
        <v>3519.32</v>
      </c>
      <c r="I38" s="2"/>
      <c r="J38" s="19">
        <f t="shared" si="12"/>
        <v>0.17546828421183314</v>
      </c>
      <c r="K38" s="2"/>
      <c r="L38" s="2">
        <f t="shared" si="13"/>
        <v>798.16999999999962</v>
      </c>
      <c r="M38" s="2"/>
      <c r="N38" s="19">
        <f t="shared" si="14"/>
        <v>0.22679665389904857</v>
      </c>
      <c r="O38" s="11"/>
      <c r="P38" s="2">
        <v>31727.820000000003</v>
      </c>
      <c r="Q38" s="2"/>
      <c r="R38" s="19">
        <f t="shared" si="15"/>
        <v>0.12838347383583129</v>
      </c>
      <c r="S38" s="2"/>
      <c r="T38" s="2">
        <v>29771.919999999998</v>
      </c>
      <c r="U38" s="2"/>
      <c r="V38" s="19">
        <f t="shared" si="16"/>
        <v>0.12403863239665967</v>
      </c>
      <c r="W38" s="2"/>
      <c r="X38" s="2">
        <f t="shared" si="17"/>
        <v>1955.9000000000051</v>
      </c>
      <c r="Y38" s="2"/>
      <c r="Z38" s="19">
        <f t="shared" si="18"/>
        <v>6.5696132463072765E-2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2406.77</v>
      </c>
      <c r="E39" s="2"/>
      <c r="F39" s="19">
        <f t="shared" si="11"/>
        <v>0.10709678567693907</v>
      </c>
      <c r="G39" s="2"/>
      <c r="H39" s="2">
        <v>15559</v>
      </c>
      <c r="I39" s="2"/>
      <c r="J39" s="19">
        <f t="shared" si="12"/>
        <v>0.77574958629846447</v>
      </c>
      <c r="K39" s="2"/>
      <c r="L39" s="2">
        <f t="shared" si="13"/>
        <v>-13152.23</v>
      </c>
      <c r="M39" s="2"/>
      <c r="N39" s="19">
        <f t="shared" si="14"/>
        <v>-0.84531332347837262</v>
      </c>
      <c r="O39" s="11"/>
      <c r="P39" s="2">
        <v>76006.77</v>
      </c>
      <c r="Q39" s="2"/>
      <c r="R39" s="19">
        <f t="shared" si="15"/>
        <v>0.30755384919736201</v>
      </c>
      <c r="S39" s="2"/>
      <c r="T39" s="2">
        <v>95520.11</v>
      </c>
      <c r="U39" s="2"/>
      <c r="V39" s="19">
        <f t="shared" si="16"/>
        <v>0.39796505602522431</v>
      </c>
      <c r="W39" s="2"/>
      <c r="X39" s="2">
        <f t="shared" si="17"/>
        <v>-19513.339999999997</v>
      </c>
      <c r="Y39" s="2"/>
      <c r="Z39" s="19">
        <f t="shared" si="18"/>
        <v>-0.20428515000663208</v>
      </c>
    </row>
    <row r="40" spans="1:26" s="24" customFormat="1" hidden="1" outlineLevel="1" x14ac:dyDescent="0.2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231.73</v>
      </c>
      <c r="E40" s="2"/>
      <c r="F40" s="19">
        <f t="shared" si="11"/>
        <v>1.0311553719265691E-2</v>
      </c>
      <c r="G40" s="2"/>
      <c r="H40" s="2">
        <v>360.27</v>
      </c>
      <c r="I40" s="2"/>
      <c r="J40" s="19">
        <f t="shared" si="12"/>
        <v>1.7962549229111623E-2</v>
      </c>
      <c r="K40" s="2"/>
      <c r="L40" s="2">
        <f t="shared" si="13"/>
        <v>-128.54</v>
      </c>
      <c r="M40" s="2"/>
      <c r="N40" s="19">
        <f t="shared" si="14"/>
        <v>-0.35678796458211898</v>
      </c>
      <c r="O40" s="11"/>
      <c r="P40" s="2">
        <v>3509.99</v>
      </c>
      <c r="Q40" s="2"/>
      <c r="R40" s="19">
        <f t="shared" si="15"/>
        <v>1.4202826079101224E-2</v>
      </c>
      <c r="S40" s="2"/>
      <c r="T40" s="2">
        <v>3213.59</v>
      </c>
      <c r="U40" s="2"/>
      <c r="V40" s="19">
        <f t="shared" si="16"/>
        <v>1.3388767290909744E-2</v>
      </c>
      <c r="W40" s="2"/>
      <c r="X40" s="2">
        <f t="shared" si="17"/>
        <v>296.39999999999964</v>
      </c>
      <c r="Y40" s="2"/>
      <c r="Z40" s="19">
        <f t="shared" si="18"/>
        <v>9.2233296718000624E-2</v>
      </c>
    </row>
    <row r="41" spans="1:26" s="24" customFormat="1" hidden="1" outlineLevel="1" x14ac:dyDescent="0.25">
      <c r="A41" s="44"/>
      <c r="B41" s="11" t="str">
        <f>CONCATENATE("          ", "5031", " - ", "PURCHASES @ COST-FOOD")</f>
        <v xml:space="preserve">          5031 - PURCHASES @ COST-FOOD</v>
      </c>
      <c r="C41" s="11"/>
      <c r="D41" s="2">
        <v>2.33</v>
      </c>
      <c r="E41" s="2"/>
      <c r="F41" s="19">
        <f t="shared" si="11"/>
        <v>1.0368066355624677E-4</v>
      </c>
      <c r="G41" s="2"/>
      <c r="H41" s="2">
        <v>179.97</v>
      </c>
      <c r="I41" s="2"/>
      <c r="J41" s="19">
        <f t="shared" si="12"/>
        <v>8.9730479494912682E-3</v>
      </c>
      <c r="K41" s="2"/>
      <c r="L41" s="2">
        <f t="shared" si="13"/>
        <v>-177.64</v>
      </c>
      <c r="M41" s="2"/>
      <c r="N41" s="19">
        <f t="shared" si="14"/>
        <v>-0.98705339778852019</v>
      </c>
      <c r="O41" s="11"/>
      <c r="P41" s="2">
        <v>268.17</v>
      </c>
      <c r="Q41" s="2"/>
      <c r="R41" s="19">
        <f t="shared" si="15"/>
        <v>1.0851232822978343E-3</v>
      </c>
      <c r="S41" s="2"/>
      <c r="T41" s="2">
        <v>909.45</v>
      </c>
      <c r="U41" s="2"/>
      <c r="V41" s="19">
        <f t="shared" si="16"/>
        <v>3.7890379335004981E-3</v>
      </c>
      <c r="W41" s="2"/>
      <c r="X41" s="2">
        <f t="shared" si="17"/>
        <v>-641.28</v>
      </c>
      <c r="Y41" s="2"/>
      <c r="Z41" s="19">
        <f t="shared" si="18"/>
        <v>-0.70512947385782609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>
        <v>0.72</v>
      </c>
      <c r="E42" s="2"/>
      <c r="F42" s="19">
        <f t="shared" si="11"/>
        <v>3.2038659983046208E-5</v>
      </c>
      <c r="G42" s="2"/>
      <c r="H42" s="2"/>
      <c r="I42" s="2"/>
      <c r="J42" s="19">
        <f t="shared" si="12"/>
        <v>0</v>
      </c>
      <c r="K42" s="2"/>
      <c r="L42" s="2">
        <f t="shared" si="13"/>
        <v>0.72</v>
      </c>
      <c r="M42" s="2"/>
      <c r="N42" s="19">
        <f t="shared" si="14"/>
        <v>0</v>
      </c>
      <c r="O42" s="11"/>
      <c r="P42" s="2">
        <v>289.60000000000002</v>
      </c>
      <c r="Q42" s="2"/>
      <c r="R42" s="19">
        <f t="shared" si="15"/>
        <v>1.1718376498245622E-3</v>
      </c>
      <c r="S42" s="2"/>
      <c r="T42" s="2">
        <v>612.19000000000005</v>
      </c>
      <c r="U42" s="2"/>
      <c r="V42" s="19">
        <f t="shared" si="16"/>
        <v>2.5505647726754301E-3</v>
      </c>
      <c r="W42" s="2"/>
      <c r="X42" s="2">
        <f t="shared" si="17"/>
        <v>-322.59000000000003</v>
      </c>
      <c r="Y42" s="2"/>
      <c r="Z42" s="19">
        <f t="shared" si="18"/>
        <v>-0.52694424933435702</v>
      </c>
    </row>
    <row r="43" spans="1:26" s="24" customFormat="1" hidden="1" outlineLevel="1" x14ac:dyDescent="0.2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>
        <v>1.76</v>
      </c>
      <c r="E43" s="2"/>
      <c r="F43" s="19">
        <f t="shared" si="11"/>
        <v>7.8316724403001845E-5</v>
      </c>
      <c r="G43" s="2"/>
      <c r="H43" s="2"/>
      <c r="I43" s="2"/>
      <c r="J43" s="19">
        <f t="shared" si="12"/>
        <v>0</v>
      </c>
      <c r="K43" s="2"/>
      <c r="L43" s="2">
        <f t="shared" si="13"/>
        <v>1.76</v>
      </c>
      <c r="M43" s="2"/>
      <c r="N43" s="19">
        <f t="shared" si="14"/>
        <v>0</v>
      </c>
      <c r="O43" s="11"/>
      <c r="P43" s="2">
        <v>36.25</v>
      </c>
      <c r="Q43" s="2"/>
      <c r="R43" s="19">
        <f t="shared" si="15"/>
        <v>1.4668202626429689E-4</v>
      </c>
      <c r="S43" s="2"/>
      <c r="T43" s="2">
        <v>78.180000000000007</v>
      </c>
      <c r="U43" s="2"/>
      <c r="V43" s="19">
        <f t="shared" si="16"/>
        <v>3.2572102440053764E-4</v>
      </c>
      <c r="W43" s="2"/>
      <c r="X43" s="2">
        <f t="shared" si="17"/>
        <v>-41.930000000000007</v>
      </c>
      <c r="Y43" s="2"/>
      <c r="Z43" s="19">
        <f t="shared" si="18"/>
        <v>-0.53632642619595805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-7217</v>
      </c>
      <c r="E44" s="2"/>
      <c r="F44" s="19">
        <f t="shared" si="11"/>
        <v>-0.32114306819117294</v>
      </c>
      <c r="G44" s="2"/>
      <c r="H44" s="2">
        <v>-32681</v>
      </c>
      <c r="I44" s="2"/>
      <c r="J44" s="19">
        <f t="shared" si="12"/>
        <v>-1.6294281271174313</v>
      </c>
      <c r="K44" s="2"/>
      <c r="L44" s="2">
        <f t="shared" si="13"/>
        <v>25464</v>
      </c>
      <c r="M44" s="2"/>
      <c r="N44" s="19">
        <f t="shared" si="14"/>
        <v>-0.77916832410268966</v>
      </c>
      <c r="O44" s="11"/>
      <c r="P44" s="2">
        <v>-135290</v>
      </c>
      <c r="Q44" s="2"/>
      <c r="R44" s="19">
        <f t="shared" si="15"/>
        <v>-0.54743755402197858</v>
      </c>
      <c r="S44" s="2"/>
      <c r="T44" s="2">
        <v>-146269</v>
      </c>
      <c r="U44" s="2"/>
      <c r="V44" s="19">
        <f t="shared" si="16"/>
        <v>-0.6093999554622952</v>
      </c>
      <c r="W44" s="2"/>
      <c r="X44" s="2">
        <f t="shared" si="17"/>
        <v>10979</v>
      </c>
      <c r="Y44" s="2"/>
      <c r="Z44" s="19">
        <f t="shared" si="18"/>
        <v>-7.5060334042073171E-2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10839</v>
      </c>
      <c r="E45" s="2"/>
      <c r="F45" s="19">
        <f t="shared" si="11"/>
        <v>0.48231532716144149</v>
      </c>
      <c r="G45" s="2"/>
      <c r="H45" s="2">
        <v>9856</v>
      </c>
      <c r="I45" s="2"/>
      <c r="J45" s="19">
        <f t="shared" si="12"/>
        <v>0.49140612652212001</v>
      </c>
      <c r="K45" s="2"/>
      <c r="L45" s="2">
        <f t="shared" si="13"/>
        <v>983</v>
      </c>
      <c r="M45" s="2"/>
      <c r="N45" s="19">
        <f t="shared" si="14"/>
        <v>9.9736201298701296E-2</v>
      </c>
      <c r="O45" s="11"/>
      <c r="P45" s="2">
        <v>115400</v>
      </c>
      <c r="Q45" s="2"/>
      <c r="R45" s="19">
        <f t="shared" si="15"/>
        <v>0.46695464361103062</v>
      </c>
      <c r="S45" s="2"/>
      <c r="T45" s="2">
        <v>120129</v>
      </c>
      <c r="U45" s="2"/>
      <c r="V45" s="19">
        <f t="shared" si="16"/>
        <v>0.50049297697892281</v>
      </c>
      <c r="W45" s="2"/>
      <c r="X45" s="2">
        <f t="shared" si="17"/>
        <v>-4729</v>
      </c>
      <c r="Y45" s="2"/>
      <c r="Z45" s="19">
        <f t="shared" si="18"/>
        <v>-3.9366014867350932E-2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11"/>
        <v>0</v>
      </c>
      <c r="G46" s="2"/>
      <c r="H46" s="2"/>
      <c r="I46" s="2"/>
      <c r="J46" s="19">
        <f t="shared" si="12"/>
        <v>0</v>
      </c>
      <c r="K46" s="2"/>
      <c r="L46" s="2">
        <f t="shared" si="13"/>
        <v>0</v>
      </c>
      <c r="M46" s="2"/>
      <c r="N46" s="19">
        <f t="shared" si="14"/>
        <v>0</v>
      </c>
      <c r="O46" s="11"/>
      <c r="P46" s="2">
        <v>6</v>
      </c>
      <c r="Q46" s="2"/>
      <c r="R46" s="19">
        <f t="shared" si="15"/>
        <v>2.4278404347193966E-5</v>
      </c>
      <c r="S46" s="2"/>
      <c r="T46" s="2"/>
      <c r="U46" s="2"/>
      <c r="V46" s="19">
        <f t="shared" si="16"/>
        <v>0</v>
      </c>
      <c r="W46" s="2"/>
      <c r="X46" s="2">
        <f t="shared" si="17"/>
        <v>6</v>
      </c>
      <c r="Y46" s="2"/>
      <c r="Z46" s="19">
        <f t="shared" si="18"/>
        <v>0</v>
      </c>
    </row>
    <row r="47" spans="1:26" s="24" customFormat="1" hidden="1" outlineLevel="1" x14ac:dyDescent="0.25">
      <c r="A47" s="44"/>
      <c r="B47" s="11" t="str">
        <f>CONCATENATE("          ", "5525", " - ", "FREIGHT-IN-TEST FORMS")</f>
        <v xml:space="preserve">          5525 - FREIGHT-IN-TEST FORMS</v>
      </c>
      <c r="C47" s="11"/>
      <c r="D47" s="2">
        <v>247.49</v>
      </c>
      <c r="E47" s="2"/>
      <c r="F47" s="19">
        <f t="shared" si="11"/>
        <v>1.1012844387783481E-2</v>
      </c>
      <c r="G47" s="2"/>
      <c r="H47" s="2"/>
      <c r="I47" s="2"/>
      <c r="J47" s="19">
        <f t="shared" si="12"/>
        <v>0</v>
      </c>
      <c r="K47" s="2"/>
      <c r="L47" s="2">
        <f t="shared" si="13"/>
        <v>247.49</v>
      </c>
      <c r="M47" s="2"/>
      <c r="N47" s="19">
        <f t="shared" si="14"/>
        <v>0</v>
      </c>
      <c r="O47" s="11"/>
      <c r="P47" s="2">
        <v>622.41</v>
      </c>
      <c r="Q47" s="2"/>
      <c r="R47" s="19">
        <f t="shared" si="15"/>
        <v>2.5185202749561661E-3</v>
      </c>
      <c r="S47" s="2"/>
      <c r="T47" s="2">
        <v>50.92</v>
      </c>
      <c r="U47" s="2"/>
      <c r="V47" s="19">
        <f t="shared" si="16"/>
        <v>2.1214779435246067E-4</v>
      </c>
      <c r="W47" s="2"/>
      <c r="X47" s="2">
        <f t="shared" si="17"/>
        <v>571.49</v>
      </c>
      <c r="Y47" s="2"/>
      <c r="Z47" s="19">
        <f t="shared" si="18"/>
        <v>11.223291437549097</v>
      </c>
    </row>
    <row r="48" spans="1:26" s="24" customFormat="1" hidden="1" outlineLevel="1" x14ac:dyDescent="0.25">
      <c r="A48" s="44"/>
      <c r="B48" s="11" t="str">
        <f>CONCATENATE("          ", "5526", " - ", "FREIGHT-IN-WRITING INSTRUMENTS")</f>
        <v xml:space="preserve">          5526 - FREIGHT-IN-WRITING INSTRUMENTS</v>
      </c>
      <c r="C48" s="11"/>
      <c r="D48" s="2">
        <v>42.86</v>
      </c>
      <c r="E48" s="2"/>
      <c r="F48" s="19">
        <f t="shared" si="11"/>
        <v>1.9071902317685564E-3</v>
      </c>
      <c r="G48" s="2"/>
      <c r="H48" s="2">
        <v>13.98</v>
      </c>
      <c r="I48" s="2"/>
      <c r="J48" s="19">
        <f t="shared" si="12"/>
        <v>6.9702289455958173E-4</v>
      </c>
      <c r="K48" s="2"/>
      <c r="L48" s="2">
        <f t="shared" si="13"/>
        <v>28.88</v>
      </c>
      <c r="M48" s="2"/>
      <c r="N48" s="19">
        <f t="shared" si="14"/>
        <v>2.0658082975679539</v>
      </c>
      <c r="O48" s="11"/>
      <c r="P48" s="2">
        <v>260.35000000000002</v>
      </c>
      <c r="Q48" s="2"/>
      <c r="R48" s="19">
        <f t="shared" si="15"/>
        <v>1.0534804286319915E-3</v>
      </c>
      <c r="S48" s="2"/>
      <c r="T48" s="2">
        <v>114.3</v>
      </c>
      <c r="U48" s="2"/>
      <c r="V48" s="19">
        <f t="shared" si="16"/>
        <v>4.7620763736225952E-4</v>
      </c>
      <c r="W48" s="2"/>
      <c r="X48" s="2">
        <f t="shared" si="17"/>
        <v>146.05000000000001</v>
      </c>
      <c r="Y48" s="2"/>
      <c r="Z48" s="19">
        <f t="shared" si="18"/>
        <v>1.2777777777777779</v>
      </c>
    </row>
    <row r="49" spans="1:26" s="24" customFormat="1" hidden="1" outlineLevel="1" x14ac:dyDescent="0.25">
      <c r="A49" s="44"/>
      <c r="B49" s="11" t="str">
        <f>CONCATENATE("          ", "5527", " - ", "FREIGHT-IN-SCHOOL SUPPLIES")</f>
        <v xml:space="preserve">          5527 - FREIGHT-IN-SCHOOL SUPPLIES</v>
      </c>
      <c r="C49" s="11"/>
      <c r="D49" s="2">
        <v>25.34</v>
      </c>
      <c r="E49" s="2"/>
      <c r="F49" s="19">
        <f t="shared" si="11"/>
        <v>1.1275828388477654E-3</v>
      </c>
      <c r="G49" s="2"/>
      <c r="H49" s="2">
        <v>215.94</v>
      </c>
      <c r="I49" s="2"/>
      <c r="J49" s="19">
        <f t="shared" si="12"/>
        <v>1.0766460933561952E-2</v>
      </c>
      <c r="K49" s="2"/>
      <c r="L49" s="2">
        <f t="shared" si="13"/>
        <v>-190.6</v>
      </c>
      <c r="M49" s="2"/>
      <c r="N49" s="19">
        <f t="shared" si="14"/>
        <v>-0.88265258868204133</v>
      </c>
      <c r="O49" s="11"/>
      <c r="P49" s="2">
        <v>885.4</v>
      </c>
      <c r="Q49" s="2"/>
      <c r="R49" s="19">
        <f t="shared" si="15"/>
        <v>3.5826832015009229E-3</v>
      </c>
      <c r="S49" s="2"/>
      <c r="T49" s="2">
        <v>1137.17</v>
      </c>
      <c r="U49" s="2"/>
      <c r="V49" s="19">
        <f t="shared" si="16"/>
        <v>4.7377868677098926E-3</v>
      </c>
      <c r="W49" s="2"/>
      <c r="X49" s="2">
        <f t="shared" si="17"/>
        <v>-251.7700000000001</v>
      </c>
      <c r="Y49" s="2"/>
      <c r="Z49" s="19">
        <f t="shared" si="18"/>
        <v>-0.22140049420930916</v>
      </c>
    </row>
    <row r="50" spans="1:26" s="24" customFormat="1" hidden="1" outlineLevel="1" x14ac:dyDescent="0.25">
      <c r="A50" s="44"/>
      <c r="B50" s="11" t="str">
        <f>CONCATENATE("          ", "5528", " - ", "FREIGHT-IN-ART/TECH")</f>
        <v xml:space="preserve">          5528 - FREIGHT-IN-ART/TECH</v>
      </c>
      <c r="C50" s="11"/>
      <c r="D50" s="2">
        <v>9.1</v>
      </c>
      <c r="E50" s="2"/>
      <c r="F50" s="19">
        <f t="shared" si="11"/>
        <v>4.0493306367461181E-4</v>
      </c>
      <c r="G50" s="2"/>
      <c r="H50" s="2"/>
      <c r="I50" s="2"/>
      <c r="J50" s="19">
        <f t="shared" si="12"/>
        <v>0</v>
      </c>
      <c r="K50" s="2"/>
      <c r="L50" s="2">
        <f t="shared" si="13"/>
        <v>9.1</v>
      </c>
      <c r="M50" s="2"/>
      <c r="N50" s="19">
        <f t="shared" si="14"/>
        <v>0</v>
      </c>
      <c r="O50" s="11"/>
      <c r="P50" s="2">
        <v>56.91</v>
      </c>
      <c r="Q50" s="2"/>
      <c r="R50" s="19">
        <f t="shared" si="15"/>
        <v>2.3028066523313477E-4</v>
      </c>
      <c r="S50" s="2"/>
      <c r="T50" s="2">
        <v>15.78</v>
      </c>
      <c r="U50" s="2"/>
      <c r="V50" s="19">
        <f t="shared" si="16"/>
        <v>6.5744151509855253E-5</v>
      </c>
      <c r="W50" s="2"/>
      <c r="X50" s="2">
        <f t="shared" si="17"/>
        <v>41.129999999999995</v>
      </c>
      <c r="Y50" s="2"/>
      <c r="Z50" s="19">
        <f t="shared" si="18"/>
        <v>2.6064638783269962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0">
        <f>D12-D35</f>
        <v>11633.339999999997</v>
      </c>
      <c r="E52" s="14"/>
      <c r="F52" s="21">
        <f>IF(D$12=0,0,D52/D$12)</f>
        <v>0.51766197878773712</v>
      </c>
      <c r="G52" s="14"/>
      <c r="H52" s="20">
        <f>H12-H35</f>
        <v>10200.099999999997</v>
      </c>
      <c r="I52" s="14"/>
      <c r="J52" s="21">
        <f>IF(H$12=0,0,H52/H$12)</f>
        <v>0.50856246257490612</v>
      </c>
      <c r="K52" s="15"/>
      <c r="L52" s="20">
        <f>+D52-H52</f>
        <v>1433.2399999999998</v>
      </c>
      <c r="M52" s="15"/>
      <c r="N52" s="21">
        <f>IF(H52=0,0,L52/H52)</f>
        <v>0.1405123479181577</v>
      </c>
      <c r="O52" s="28"/>
      <c r="P52" s="20">
        <f>P12-P35</f>
        <v>131727.50999999998</v>
      </c>
      <c r="Q52" s="14"/>
      <c r="R52" s="21">
        <f>IF(P$12=0,0,P52/P$12)</f>
        <v>0.53302229190483941</v>
      </c>
      <c r="S52" s="14"/>
      <c r="T52" s="20">
        <f>T12-T35</f>
        <v>119893.07000000005</v>
      </c>
      <c r="U52" s="14"/>
      <c r="V52" s="21">
        <f>IF(T$12=0,0,T52/T$12)</f>
        <v>0.4995100227542259</v>
      </c>
      <c r="W52" s="15"/>
      <c r="X52" s="20">
        <f>+P52-T52</f>
        <v>11834.43999999993</v>
      </c>
      <c r="Y52" s="15"/>
      <c r="Z52" s="21">
        <f>IF(T52=0,0,X52/T52)</f>
        <v>9.8708290645989169E-2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22">
        <f>SUM(OSRRefD22x_0)</f>
        <v>8744.32</v>
      </c>
      <c r="E54" s="22"/>
      <c r="F54" s="33">
        <f t="shared" ref="F54:F62" si="19">IF(D$12=0,0,D54/D$12)</f>
        <v>0.389105965642987</v>
      </c>
      <c r="G54" s="22"/>
      <c r="H54" s="22">
        <f>SUM(OSRRefH22x_0)</f>
        <v>8938.4900000000016</v>
      </c>
      <c r="I54" s="22"/>
      <c r="J54" s="33">
        <f t="shared" ref="J54:J62" si="20">IF(H$12=0,0,H54/H$12)</f>
        <v>0.44566038431987676</v>
      </c>
      <c r="K54" s="4"/>
      <c r="L54" s="22">
        <f t="shared" ref="L54:L62" si="21">+D54-H54</f>
        <v>-194.17000000000189</v>
      </c>
      <c r="M54" s="4"/>
      <c r="N54" s="33">
        <f t="shared" ref="N54:N62" si="22">IF(H54=0,0,L54/H54)</f>
        <v>-2.1722908455455211E-2</v>
      </c>
      <c r="O54" s="10"/>
      <c r="P54" s="22">
        <f>SUM(OSRRefP22x_0)</f>
        <v>59579.82</v>
      </c>
      <c r="Q54" s="22"/>
      <c r="R54" s="33">
        <f t="shared" ref="R54:R62" si="23">IF(P$12=0,0,P54/P$12)</f>
        <v>0.24108382681550566</v>
      </c>
      <c r="S54" s="22"/>
      <c r="T54" s="22">
        <f>SUM(OSRRefT22x_0)</f>
        <v>54522.25</v>
      </c>
      <c r="U54" s="22"/>
      <c r="V54" s="33">
        <f t="shared" ref="V54:V62" si="24">IF(T$12=0,0,T54/T$12)</f>
        <v>0.2271558342622437</v>
      </c>
      <c r="W54" s="4"/>
      <c r="X54" s="22">
        <f t="shared" ref="X54:X62" si="25">+P54-T54</f>
        <v>5057.57</v>
      </c>
      <c r="Y54" s="4"/>
      <c r="Z54" s="33">
        <f t="shared" ref="Z54:Z62" si="26">IF(T54=0,0,X54/T54)</f>
        <v>9.2761578988394641E-2</v>
      </c>
    </row>
    <row r="55" spans="1:26" s="27" customFormat="1" outlineLevel="1" collapsed="1" x14ac:dyDescent="0.25">
      <c r="A55" s="25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2042.7599999999998</v>
      </c>
      <c r="E55" s="1"/>
      <c r="F55" s="5">
        <f t="shared" si="19"/>
        <v>9.0899018148565935E-2</v>
      </c>
      <c r="G55" s="1"/>
      <c r="H55" s="1">
        <f>SUM(OSRRefH22_0x_0)</f>
        <v>1719.2700000000002</v>
      </c>
      <c r="I55" s="1"/>
      <c r="J55" s="5">
        <f t="shared" si="20"/>
        <v>8.5720354215268399E-2</v>
      </c>
      <c r="K55" s="1"/>
      <c r="L55" s="1">
        <f t="shared" si="21"/>
        <v>323.48999999999955</v>
      </c>
      <c r="M55" s="1"/>
      <c r="N55" s="5">
        <f t="shared" si="22"/>
        <v>0.18815543806382914</v>
      </c>
      <c r="O55" s="13"/>
      <c r="P55" s="1">
        <f>SUM(OSRRefP22_0x_0)</f>
        <v>10639.530000000002</v>
      </c>
      <c r="Q55" s="1"/>
      <c r="R55" s="5">
        <f t="shared" si="23"/>
        <v>4.3051801900683445E-2</v>
      </c>
      <c r="S55" s="1"/>
      <c r="T55" s="1">
        <f>SUM(OSRRefT22_0x_0)</f>
        <v>10737.39</v>
      </c>
      <c r="U55" s="1"/>
      <c r="V55" s="5">
        <f t="shared" si="24"/>
        <v>4.4735145436020571E-2</v>
      </c>
      <c r="W55" s="1"/>
      <c r="X55" s="1">
        <f t="shared" si="25"/>
        <v>-97.859999999996944</v>
      </c>
      <c r="Y55" s="1"/>
      <c r="Z55" s="5">
        <f t="shared" si="26"/>
        <v>-9.1139466853673891E-3</v>
      </c>
    </row>
    <row r="56" spans="1:26" s="24" customFormat="1" hidden="1" outlineLevel="2" x14ac:dyDescent="0.25">
      <c r="A56" s="26"/>
      <c r="B56" s="11" t="str">
        <f>CONCATENATE("          ", "6111", " - ", "F.I.C.A.")</f>
        <v xml:space="preserve">          6111 - F.I.C.A.</v>
      </c>
      <c r="C56" s="11"/>
      <c r="D56" s="6">
        <v>254.5</v>
      </c>
      <c r="E56" s="2"/>
      <c r="F56" s="7">
        <f t="shared" si="19"/>
        <v>1.1324776341229529E-2</v>
      </c>
      <c r="G56" s="2"/>
      <c r="H56" s="6">
        <v>190.16</v>
      </c>
      <c r="I56" s="2"/>
      <c r="J56" s="7">
        <f t="shared" si="20"/>
        <v>9.4811068404470726E-3</v>
      </c>
      <c r="K56" s="2"/>
      <c r="L56" s="6">
        <f t="shared" si="21"/>
        <v>64.34</v>
      </c>
      <c r="M56" s="2"/>
      <c r="N56" s="7">
        <f t="shared" si="22"/>
        <v>0.33834665544804376</v>
      </c>
      <c r="O56" s="11"/>
      <c r="P56" s="6">
        <v>1669.67</v>
      </c>
      <c r="Q56" s="2"/>
      <c r="R56" s="7">
        <f t="shared" si="23"/>
        <v>6.7561538977298921E-3</v>
      </c>
      <c r="S56" s="2"/>
      <c r="T56" s="6">
        <v>1578.96</v>
      </c>
      <c r="U56" s="2"/>
      <c r="V56" s="7">
        <f t="shared" si="24"/>
        <v>6.5784147951838436E-3</v>
      </c>
      <c r="W56" s="2"/>
      <c r="X56" s="6">
        <f t="shared" si="25"/>
        <v>90.710000000000036</v>
      </c>
      <c r="Y56" s="2"/>
      <c r="Z56" s="7">
        <f t="shared" si="26"/>
        <v>5.7449207073010107E-2</v>
      </c>
    </row>
    <row r="57" spans="1:26" s="24" customFormat="1" hidden="1" outlineLevel="2" x14ac:dyDescent="0.25">
      <c r="A57" s="26"/>
      <c r="B57" s="11" t="str">
        <f>CONCATENATE("          ", "6112", " - ", "COMPENSATION INSURANCE")</f>
        <v xml:space="preserve">          6112 - COMPENSATION INSURANCE</v>
      </c>
      <c r="C57" s="11"/>
      <c r="D57" s="6">
        <v>177.32</v>
      </c>
      <c r="E57" s="2"/>
      <c r="F57" s="7">
        <f t="shared" si="19"/>
        <v>7.8904099836024366E-3</v>
      </c>
      <c r="G57" s="2"/>
      <c r="H57" s="6">
        <v>83.52</v>
      </c>
      <c r="I57" s="2"/>
      <c r="J57" s="7">
        <f t="shared" si="20"/>
        <v>4.1641882799439388E-3</v>
      </c>
      <c r="K57" s="2"/>
      <c r="L57" s="6">
        <f t="shared" si="21"/>
        <v>93.8</v>
      </c>
      <c r="M57" s="2"/>
      <c r="N57" s="7">
        <f t="shared" si="22"/>
        <v>1.1230842911877394</v>
      </c>
      <c r="O57" s="11"/>
      <c r="P57" s="6">
        <v>704.38</v>
      </c>
      <c r="Q57" s="2"/>
      <c r="R57" s="7">
        <f t="shared" si="23"/>
        <v>2.8502037423460812E-3</v>
      </c>
      <c r="S57" s="2"/>
      <c r="T57" s="6">
        <v>482.91</v>
      </c>
      <c r="U57" s="2"/>
      <c r="V57" s="7">
        <f t="shared" si="24"/>
        <v>2.0119460206352471E-3</v>
      </c>
      <c r="W57" s="2"/>
      <c r="X57" s="6">
        <f t="shared" si="25"/>
        <v>221.46999999999997</v>
      </c>
      <c r="Y57" s="2"/>
      <c r="Z57" s="7">
        <f t="shared" si="26"/>
        <v>0.45861547700399652</v>
      </c>
    </row>
    <row r="58" spans="1:26" s="24" customFormat="1" hidden="1" outlineLevel="2" x14ac:dyDescent="0.25">
      <c r="A58" s="26"/>
      <c r="B58" s="11" t="str">
        <f>CONCATENATE("          ", "6113", " - ", "GROUP INSURANCE")</f>
        <v xml:space="preserve">          6113 - GROUP INSURANCE</v>
      </c>
      <c r="C58" s="11"/>
      <c r="D58" s="6">
        <v>1138.32</v>
      </c>
      <c r="E58" s="2"/>
      <c r="F58" s="7">
        <f t="shared" si="19"/>
        <v>5.0653121433196058E-2</v>
      </c>
      <c r="G58" s="2"/>
      <c r="H58" s="6">
        <v>988.44</v>
      </c>
      <c r="I58" s="2"/>
      <c r="J58" s="7">
        <f t="shared" si="20"/>
        <v>4.9282211008474464E-2</v>
      </c>
      <c r="K58" s="2"/>
      <c r="L58" s="6">
        <f t="shared" si="21"/>
        <v>149.87999999999988</v>
      </c>
      <c r="M58" s="2"/>
      <c r="N58" s="7">
        <f t="shared" si="22"/>
        <v>0.1516328760471044</v>
      </c>
      <c r="O58" s="11"/>
      <c r="P58" s="6">
        <v>5018.76</v>
      </c>
      <c r="Q58" s="2"/>
      <c r="R58" s="7">
        <f t="shared" si="23"/>
        <v>2.0307914100253868E-2</v>
      </c>
      <c r="S58" s="2"/>
      <c r="T58" s="6">
        <v>5296</v>
      </c>
      <c r="U58" s="2"/>
      <c r="V58" s="7">
        <f t="shared" si="24"/>
        <v>2.2064703827388683E-2</v>
      </c>
      <c r="W58" s="2"/>
      <c r="X58" s="6">
        <f t="shared" si="25"/>
        <v>-277.23999999999978</v>
      </c>
      <c r="Y58" s="2"/>
      <c r="Z58" s="7">
        <f t="shared" si="26"/>
        <v>-5.2348942598187273E-2</v>
      </c>
    </row>
    <row r="59" spans="1:26" s="24" customFormat="1" hidden="1" outlineLevel="2" x14ac:dyDescent="0.25">
      <c r="A59" s="26"/>
      <c r="B59" s="11" t="str">
        <f>CONCATENATE("          ", "6114", " - ", "STATE UNEMPLOYMENT INSURANCE")</f>
        <v xml:space="preserve">          6114 - STATE UNEMPLOYMENT INSURANCE</v>
      </c>
      <c r="C59" s="11"/>
      <c r="D59" s="6">
        <v>24.26</v>
      </c>
      <c r="E59" s="2"/>
      <c r="F59" s="7">
        <f t="shared" si="19"/>
        <v>1.079524848873196E-3</v>
      </c>
      <c r="G59" s="2"/>
      <c r="H59" s="6">
        <v>18.25</v>
      </c>
      <c r="I59" s="2"/>
      <c r="J59" s="7">
        <f t="shared" si="20"/>
        <v>9.0991901471476155E-4</v>
      </c>
      <c r="K59" s="2"/>
      <c r="L59" s="6">
        <f t="shared" si="21"/>
        <v>6.0100000000000016</v>
      </c>
      <c r="M59" s="2"/>
      <c r="N59" s="7">
        <f t="shared" si="22"/>
        <v>0.32931506849315079</v>
      </c>
      <c r="O59" s="11"/>
      <c r="P59" s="6">
        <v>115.96</v>
      </c>
      <c r="Q59" s="2"/>
      <c r="R59" s="7">
        <f t="shared" si="23"/>
        <v>4.692206280167687E-4</v>
      </c>
      <c r="S59" s="2"/>
      <c r="T59" s="6">
        <v>105.52</v>
      </c>
      <c r="U59" s="2"/>
      <c r="V59" s="7">
        <f t="shared" si="24"/>
        <v>4.3962755813180775E-4</v>
      </c>
      <c r="W59" s="2"/>
      <c r="X59" s="6">
        <f t="shared" si="25"/>
        <v>10.439999999999998</v>
      </c>
      <c r="Y59" s="2"/>
      <c r="Z59" s="7">
        <f t="shared" si="26"/>
        <v>9.893858984078846E-2</v>
      </c>
    </row>
    <row r="60" spans="1:26" s="24" customFormat="1" hidden="1" outlineLevel="2" x14ac:dyDescent="0.25">
      <c r="A60" s="26"/>
      <c r="B60" s="11" t="str">
        <f>CONCATENATE("          ", "6115", " - ", "P.E.R.S.")</f>
        <v xml:space="preserve">          6115 - P.E.R.S.</v>
      </c>
      <c r="C60" s="11"/>
      <c r="D60" s="6">
        <v>232.24</v>
      </c>
      <c r="E60" s="2"/>
      <c r="F60" s="7">
        <f t="shared" si="19"/>
        <v>1.0334247770087018E-2</v>
      </c>
      <c r="G60" s="2"/>
      <c r="H60" s="6">
        <v>174.42</v>
      </c>
      <c r="I60" s="2"/>
      <c r="J60" s="7">
        <f t="shared" si="20"/>
        <v>8.6963328518656832E-3</v>
      </c>
      <c r="K60" s="2"/>
      <c r="L60" s="6">
        <f t="shared" si="21"/>
        <v>57.820000000000022</v>
      </c>
      <c r="M60" s="2"/>
      <c r="N60" s="7">
        <f t="shared" si="22"/>
        <v>0.33149868134388272</v>
      </c>
      <c r="O60" s="11"/>
      <c r="P60" s="6">
        <v>1027.52</v>
      </c>
      <c r="Q60" s="2"/>
      <c r="R60" s="7">
        <f t="shared" si="23"/>
        <v>4.1577576724714576E-3</v>
      </c>
      <c r="S60" s="2"/>
      <c r="T60" s="6">
        <v>1131.18</v>
      </c>
      <c r="U60" s="2"/>
      <c r="V60" s="7">
        <f t="shared" si="24"/>
        <v>4.7128307544308029E-3</v>
      </c>
      <c r="W60" s="2"/>
      <c r="X60" s="6">
        <f t="shared" si="25"/>
        <v>-103.66000000000008</v>
      </c>
      <c r="Y60" s="2"/>
      <c r="Z60" s="7">
        <f t="shared" si="26"/>
        <v>-9.1638819639668384E-2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6">
        <v>62.76</v>
      </c>
      <c r="E61" s="2"/>
      <c r="F61" s="7">
        <f t="shared" si="19"/>
        <v>2.7927031951888613E-3</v>
      </c>
      <c r="G61" s="2"/>
      <c r="H61" s="6">
        <v>146.9</v>
      </c>
      <c r="I61" s="2"/>
      <c r="J61" s="7">
        <f t="shared" si="20"/>
        <v>7.324224836251972E-3</v>
      </c>
      <c r="K61" s="2"/>
      <c r="L61" s="6">
        <f t="shared" si="21"/>
        <v>-84.140000000000015</v>
      </c>
      <c r="M61" s="2"/>
      <c r="N61" s="7">
        <f t="shared" si="22"/>
        <v>-0.5727705922396189</v>
      </c>
      <c r="O61" s="11"/>
      <c r="P61" s="6">
        <v>997.86</v>
      </c>
      <c r="Q61" s="2"/>
      <c r="R61" s="7">
        <f t="shared" si="23"/>
        <v>4.0377414269818284E-3</v>
      </c>
      <c r="S61" s="2"/>
      <c r="T61" s="6">
        <v>1210.47</v>
      </c>
      <c r="U61" s="2"/>
      <c r="V61" s="7">
        <f t="shared" si="24"/>
        <v>5.0431763674356461E-3</v>
      </c>
      <c r="W61" s="2"/>
      <c r="X61" s="6">
        <f t="shared" si="25"/>
        <v>-212.61</v>
      </c>
      <c r="Y61" s="2"/>
      <c r="Z61" s="7">
        <f t="shared" si="26"/>
        <v>-0.1756425190215371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6">
        <v>153.36000000000001</v>
      </c>
      <c r="E62" s="2"/>
      <c r="F62" s="7">
        <f t="shared" si="19"/>
        <v>6.824234576388844E-3</v>
      </c>
      <c r="G62" s="2"/>
      <c r="H62" s="6">
        <v>117.58</v>
      </c>
      <c r="I62" s="2"/>
      <c r="J62" s="7">
        <f t="shared" si="20"/>
        <v>5.8623713835705025E-3</v>
      </c>
      <c r="K62" s="2"/>
      <c r="L62" s="6">
        <f t="shared" si="21"/>
        <v>35.780000000000015</v>
      </c>
      <c r="M62" s="2"/>
      <c r="N62" s="7">
        <f t="shared" si="22"/>
        <v>0.304303452968192</v>
      </c>
      <c r="O62" s="11"/>
      <c r="P62" s="6">
        <v>1105.3800000000001</v>
      </c>
      <c r="Q62" s="2"/>
      <c r="R62" s="7">
        <f t="shared" si="23"/>
        <v>4.4728104328835448E-3</v>
      </c>
      <c r="S62" s="2"/>
      <c r="T62" s="6">
        <v>932.35</v>
      </c>
      <c r="U62" s="2"/>
      <c r="V62" s="7">
        <f t="shared" si="24"/>
        <v>3.8844461128145465E-3</v>
      </c>
      <c r="W62" s="2"/>
      <c r="X62" s="6">
        <f t="shared" si="25"/>
        <v>173.03000000000009</v>
      </c>
      <c r="Y62" s="2"/>
      <c r="Z62" s="7">
        <f t="shared" si="26"/>
        <v>0.18558481257038675</v>
      </c>
    </row>
    <row r="63" spans="1:26" s="27" customFormat="1" outlineLevel="1" collapsed="1" x14ac:dyDescent="0.25">
      <c r="A63" s="25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5878.3</v>
      </c>
      <c r="E63" s="1"/>
      <c r="F63" s="5">
        <f t="shared" ref="F63:F67" si="27">IF(D$12=0,0,D63/D$12)</f>
        <v>0.26157340969213966</v>
      </c>
      <c r="G63" s="1"/>
      <c r="H63" s="1">
        <f>SUM(OSRRefH22_1x_0)</f>
        <v>4576.3100000000004</v>
      </c>
      <c r="I63" s="1"/>
      <c r="J63" s="5">
        <f t="shared" ref="J63:J67" si="28">IF(H$12=0,0,H63/H$12)</f>
        <v>0.22816830061530471</v>
      </c>
      <c r="K63" s="1"/>
      <c r="L63" s="1">
        <f t="shared" ref="L63:L67" si="29">+D63-H63</f>
        <v>1301.9899999999998</v>
      </c>
      <c r="M63" s="1"/>
      <c r="N63" s="5">
        <f t="shared" ref="N63:N67" si="30">IF(H63=0,0,L63/H63)</f>
        <v>0.28450651288920542</v>
      </c>
      <c r="O63" s="13"/>
      <c r="P63" s="1">
        <f>SUM(OSRRefP22_1x_0)</f>
        <v>41907.949999999997</v>
      </c>
      <c r="Q63" s="1"/>
      <c r="R63" s="5">
        <f t="shared" ref="R63:R67" si="31">IF(P$12=0,0,P63/P$12)</f>
        <v>0.16957635924366454</v>
      </c>
      <c r="S63" s="1"/>
      <c r="T63" s="1">
        <f>SUM(OSRRefT22_1x_0)</f>
        <v>32075.03</v>
      </c>
      <c r="U63" s="1"/>
      <c r="V63" s="5">
        <f t="shared" ref="V63:V67" si="32">IF(T$12=0,0,T63/T$12)</f>
        <v>0.1336340704691478</v>
      </c>
      <c r="W63" s="1"/>
      <c r="X63" s="1">
        <f t="shared" ref="X63:X67" si="33">+P63-T63</f>
        <v>9832.9199999999983</v>
      </c>
      <c r="Y63" s="1"/>
      <c r="Z63" s="5">
        <f t="shared" ref="Z63:Z67" si="34">IF(T63=0,0,X63/T63)</f>
        <v>0.30655996268748614</v>
      </c>
    </row>
    <row r="64" spans="1:26" s="24" customFormat="1" hidden="1" outlineLevel="2" x14ac:dyDescent="0.25">
      <c r="A64" s="26"/>
      <c r="B64" s="11" t="str">
        <f>CONCATENATE("          ", "6002", " - ", "STAFF SALARIES")</f>
        <v xml:space="preserve">          6002 - STAFF SALARIES</v>
      </c>
      <c r="C64" s="11"/>
      <c r="D64" s="6">
        <v>3228.8</v>
      </c>
      <c r="E64" s="2"/>
      <c r="F64" s="7">
        <f t="shared" si="27"/>
        <v>0.14367559076841613</v>
      </c>
      <c r="G64" s="2"/>
      <c r="H64" s="6">
        <v>2421.7600000000002</v>
      </c>
      <c r="I64" s="2"/>
      <c r="J64" s="7">
        <f t="shared" si="28"/>
        <v>0.12074550537400665</v>
      </c>
      <c r="K64" s="2"/>
      <c r="L64" s="6">
        <f t="shared" si="29"/>
        <v>807.04</v>
      </c>
      <c r="M64" s="2"/>
      <c r="N64" s="7">
        <f t="shared" si="30"/>
        <v>0.33324524312896403</v>
      </c>
      <c r="O64" s="11"/>
      <c r="P64" s="6">
        <v>14225.71</v>
      </c>
      <c r="Q64" s="2"/>
      <c r="R64" s="7">
        <f t="shared" si="31"/>
        <v>5.7562923250986775E-2</v>
      </c>
      <c r="S64" s="2"/>
      <c r="T64" s="6">
        <v>15550.24</v>
      </c>
      <c r="U64" s="2"/>
      <c r="V64" s="7">
        <f t="shared" si="32"/>
        <v>6.4786903331724432E-2</v>
      </c>
      <c r="W64" s="2"/>
      <c r="X64" s="6">
        <f t="shared" si="33"/>
        <v>-1324.5300000000007</v>
      </c>
      <c r="Y64" s="2"/>
      <c r="Z64" s="7">
        <f t="shared" si="34"/>
        <v>-8.5177463498955691E-2</v>
      </c>
    </row>
    <row r="65" spans="1:26" s="24" customFormat="1" hidden="1" outlineLevel="2" x14ac:dyDescent="0.25">
      <c r="A65" s="26"/>
      <c r="B65" s="11" t="str">
        <f>CONCATENATE("          ", "6004", " - ", "STAFF HOURLY")</f>
        <v xml:space="preserve">          6004 - STAFF HOURLY</v>
      </c>
      <c r="C65" s="11"/>
      <c r="D65" s="6"/>
      <c r="E65" s="2"/>
      <c r="F65" s="7">
        <f t="shared" si="27"/>
        <v>0</v>
      </c>
      <c r="G65" s="2"/>
      <c r="H65" s="6"/>
      <c r="I65" s="2"/>
      <c r="J65" s="7">
        <f t="shared" si="28"/>
        <v>0</v>
      </c>
      <c r="K65" s="2"/>
      <c r="L65" s="6">
        <f t="shared" si="29"/>
        <v>0</v>
      </c>
      <c r="M65" s="2"/>
      <c r="N65" s="7">
        <f t="shared" si="30"/>
        <v>0</v>
      </c>
      <c r="O65" s="11"/>
      <c r="P65" s="6">
        <v>-48</v>
      </c>
      <c r="Q65" s="2"/>
      <c r="R65" s="7">
        <f t="shared" si="31"/>
        <v>-1.9422723477755172E-4</v>
      </c>
      <c r="S65" s="2"/>
      <c r="T65" s="6"/>
      <c r="U65" s="2"/>
      <c r="V65" s="7">
        <f t="shared" si="32"/>
        <v>0</v>
      </c>
      <c r="W65" s="2"/>
      <c r="X65" s="6">
        <f t="shared" si="33"/>
        <v>-48</v>
      </c>
      <c r="Y65" s="2"/>
      <c r="Z65" s="7">
        <f t="shared" si="34"/>
        <v>0</v>
      </c>
    </row>
    <row r="66" spans="1:26" s="24" customFormat="1" hidden="1" outlineLevel="2" x14ac:dyDescent="0.25">
      <c r="A66" s="26"/>
      <c r="B66" s="11" t="str">
        <f>CONCATENATE("          ", "6006", " - ", "TEMPORARY PART TIME")</f>
        <v xml:space="preserve">          6006 - TEMPORARY PART TIME</v>
      </c>
      <c r="C66" s="11"/>
      <c r="D66" s="6"/>
      <c r="E66" s="2"/>
      <c r="F66" s="7">
        <f t="shared" si="27"/>
        <v>0</v>
      </c>
      <c r="G66" s="2"/>
      <c r="H66" s="6"/>
      <c r="I66" s="2"/>
      <c r="J66" s="7">
        <f t="shared" si="28"/>
        <v>0</v>
      </c>
      <c r="K66" s="2"/>
      <c r="L66" s="6">
        <f t="shared" si="29"/>
        <v>0</v>
      </c>
      <c r="M66" s="2"/>
      <c r="N66" s="7">
        <f t="shared" si="30"/>
        <v>0</v>
      </c>
      <c r="O66" s="11"/>
      <c r="P66" s="6"/>
      <c r="Q66" s="2"/>
      <c r="R66" s="7">
        <f t="shared" si="31"/>
        <v>0</v>
      </c>
      <c r="S66" s="2"/>
      <c r="T66" s="6">
        <v>58.75</v>
      </c>
      <c r="U66" s="2"/>
      <c r="V66" s="7">
        <f t="shared" si="32"/>
        <v>2.447698923449934E-4</v>
      </c>
      <c r="W66" s="2"/>
      <c r="X66" s="6">
        <f t="shared" si="33"/>
        <v>-58.75</v>
      </c>
      <c r="Y66" s="2"/>
      <c r="Z66" s="7">
        <f t="shared" si="34"/>
        <v>-1</v>
      </c>
    </row>
    <row r="67" spans="1:26" s="24" customFormat="1" hidden="1" outlineLevel="2" x14ac:dyDescent="0.25">
      <c r="A67" s="26"/>
      <c r="B67" s="11" t="str">
        <f>CONCATENATE("          ", "6007", " - ", "STUDENT HOURLY")</f>
        <v xml:space="preserve">          6007 - STUDENT HOURLY</v>
      </c>
      <c r="C67" s="11"/>
      <c r="D67" s="6">
        <v>2649.5</v>
      </c>
      <c r="E67" s="2"/>
      <c r="F67" s="7">
        <f t="shared" si="27"/>
        <v>0.11789781892372353</v>
      </c>
      <c r="G67" s="2"/>
      <c r="H67" s="6">
        <v>2154.5500000000002</v>
      </c>
      <c r="I67" s="2"/>
      <c r="J67" s="7">
        <f t="shared" si="28"/>
        <v>0.10742279524129807</v>
      </c>
      <c r="K67" s="2"/>
      <c r="L67" s="6">
        <f t="shared" si="29"/>
        <v>494.94999999999982</v>
      </c>
      <c r="M67" s="2"/>
      <c r="N67" s="7">
        <f t="shared" si="30"/>
        <v>0.22972314404399979</v>
      </c>
      <c r="O67" s="11"/>
      <c r="P67" s="6">
        <v>27730.240000000002</v>
      </c>
      <c r="Q67" s="2"/>
      <c r="R67" s="7">
        <f t="shared" si="31"/>
        <v>0.11220766322745535</v>
      </c>
      <c r="S67" s="2"/>
      <c r="T67" s="6">
        <v>16466.04</v>
      </c>
      <c r="U67" s="2"/>
      <c r="V67" s="7">
        <f t="shared" si="32"/>
        <v>6.8602397245078398E-2</v>
      </c>
      <c r="W67" s="2"/>
      <c r="X67" s="6">
        <f t="shared" si="33"/>
        <v>11264.2</v>
      </c>
      <c r="Y67" s="2"/>
      <c r="Z67" s="7">
        <f t="shared" si="34"/>
        <v>0.68408676281607483</v>
      </c>
    </row>
    <row r="68" spans="1:26" s="27" customFormat="1" outlineLevel="1" collapsed="1" x14ac:dyDescent="0.25">
      <c r="A68" s="25"/>
      <c r="B68" s="13" t="str">
        <f>CONCATENATE("     ","Advertising/Promo                                 ")</f>
        <v xml:space="preserve">     Advertising/Promo                                 </v>
      </c>
      <c r="C68" s="13"/>
      <c r="D68" s="1">
        <f>SUM(OSRRefD22_2x_0)</f>
        <v>258.51</v>
      </c>
      <c r="E68" s="1"/>
      <c r="F68" s="5">
        <f t="shared" ref="F68:F72" si="35">IF(D$12=0,0,D68/D$12)</f>
        <v>1.150321387807955E-2</v>
      </c>
      <c r="G68" s="1"/>
      <c r="H68" s="1">
        <f>SUM(OSRRefH22_2x_0)</f>
        <v>220.5</v>
      </c>
      <c r="I68" s="1"/>
      <c r="J68" s="5">
        <f t="shared" ref="J68:J72" si="36">IF(H$12=0,0,H68/H$12)</f>
        <v>1.0993816040800269E-2</v>
      </c>
      <c r="K68" s="1"/>
      <c r="L68" s="1">
        <f t="shared" ref="L68:L72" si="37">+D68-H68</f>
        <v>38.009999999999991</v>
      </c>
      <c r="M68" s="1"/>
      <c r="N68" s="5">
        <f t="shared" ref="N68:N72" si="38">IF(H68=0,0,L68/H68)</f>
        <v>0.17238095238095233</v>
      </c>
      <c r="O68" s="13"/>
      <c r="P68" s="1">
        <f>SUM(OSRRefP22_2x_0)</f>
        <v>1140.3699999999999</v>
      </c>
      <c r="Q68" s="1"/>
      <c r="R68" s="5">
        <f t="shared" ref="R68:R72" si="39">IF(P$12=0,0,P68/P$12)</f>
        <v>4.6143939942349301E-3</v>
      </c>
      <c r="S68" s="1"/>
      <c r="T68" s="1">
        <f>SUM(OSRRefT22_2x_0)</f>
        <v>1138.3599999999999</v>
      </c>
      <c r="U68" s="1"/>
      <c r="V68" s="5">
        <f t="shared" ref="V68:V72" si="40">IF(T$12=0,0,T68/T$12)</f>
        <v>4.7427447599973898E-3</v>
      </c>
      <c r="W68" s="1"/>
      <c r="X68" s="1">
        <f t="shared" ref="X68:X72" si="41">+P68-T68</f>
        <v>2.0099999999999909</v>
      </c>
      <c r="Y68" s="1"/>
      <c r="Z68" s="5">
        <f t="shared" ref="Z68:Z72" si="42">IF(T68=0,0,X68/T68)</f>
        <v>1.7656980217154424E-3</v>
      </c>
    </row>
    <row r="69" spans="1:26" s="24" customFormat="1" hidden="1" outlineLevel="2" x14ac:dyDescent="0.25">
      <c r="A69" s="26"/>
      <c r="B69" s="11" t="str">
        <f>CONCATENATE("          ", "6362", " - ", "ADVERTISING EXPENSE")</f>
        <v xml:space="preserve">          6362 - ADVERTISING EXPENSE</v>
      </c>
      <c r="C69" s="11"/>
      <c r="D69" s="6">
        <v>258.51</v>
      </c>
      <c r="E69" s="2"/>
      <c r="F69" s="7">
        <f t="shared" si="35"/>
        <v>1.150321387807955E-2</v>
      </c>
      <c r="G69" s="2"/>
      <c r="H69" s="6">
        <v>220.5</v>
      </c>
      <c r="I69" s="2"/>
      <c r="J69" s="7">
        <f t="shared" si="36"/>
        <v>1.0993816040800269E-2</v>
      </c>
      <c r="K69" s="2"/>
      <c r="L69" s="6">
        <f t="shared" si="37"/>
        <v>38.009999999999991</v>
      </c>
      <c r="M69" s="2"/>
      <c r="N69" s="7">
        <f t="shared" si="38"/>
        <v>0.17238095238095233</v>
      </c>
      <c r="O69" s="11"/>
      <c r="P69" s="6">
        <v>1140.3699999999999</v>
      </c>
      <c r="Q69" s="2"/>
      <c r="R69" s="7">
        <f t="shared" si="39"/>
        <v>4.6143939942349301E-3</v>
      </c>
      <c r="S69" s="2"/>
      <c r="T69" s="6">
        <v>1138.3599999999999</v>
      </c>
      <c r="U69" s="2"/>
      <c r="V69" s="7">
        <f t="shared" si="40"/>
        <v>4.7427447599973898E-3</v>
      </c>
      <c r="W69" s="2"/>
      <c r="X69" s="6">
        <f t="shared" si="41"/>
        <v>2.0099999999999909</v>
      </c>
      <c r="Y69" s="2"/>
      <c r="Z69" s="7">
        <f t="shared" si="42"/>
        <v>1.7656980217154424E-3</v>
      </c>
    </row>
    <row r="70" spans="1:26" s="27" customFormat="1" outlineLevel="1" collapsed="1" x14ac:dyDescent="0.25">
      <c r="A70" s="25"/>
      <c r="B70" s="13" t="str">
        <f>CONCATENATE("     ","Discounts and Markdowns                           ")</f>
        <v xml:space="preserve">     Discounts and Markdowns                           </v>
      </c>
      <c r="C70" s="13"/>
      <c r="D70" s="1">
        <f>SUM(OSRRefD22_3x_0)</f>
        <v>887.76</v>
      </c>
      <c r="E70" s="1"/>
      <c r="F70" s="5">
        <f t="shared" si="35"/>
        <v>3.950366775909598E-2</v>
      </c>
      <c r="G70" s="1"/>
      <c r="H70" s="1">
        <f>SUM(OSRRefH22_3x_0)</f>
        <v>2382.41</v>
      </c>
      <c r="I70" s="1"/>
      <c r="J70" s="5">
        <f t="shared" si="36"/>
        <v>0.11878357040255315</v>
      </c>
      <c r="K70" s="1"/>
      <c r="L70" s="1">
        <f t="shared" si="37"/>
        <v>-1494.6499999999999</v>
      </c>
      <c r="M70" s="1"/>
      <c r="N70" s="5">
        <f t="shared" si="38"/>
        <v>-0.62736892474427153</v>
      </c>
      <c r="O70" s="13"/>
      <c r="P70" s="1">
        <f>SUM(OSRRefP22_3x_0)</f>
        <v>5837.33</v>
      </c>
      <c r="Q70" s="1"/>
      <c r="R70" s="5">
        <f t="shared" si="39"/>
        <v>2.3620176341334294E-2</v>
      </c>
      <c r="S70" s="1"/>
      <c r="T70" s="1">
        <f>SUM(OSRRefT22_3x_0)</f>
        <v>9883.5</v>
      </c>
      <c r="U70" s="1"/>
      <c r="V70" s="5">
        <f t="shared" si="40"/>
        <v>4.1177586910497742E-2</v>
      </c>
      <c r="W70" s="1"/>
      <c r="X70" s="1">
        <f t="shared" si="41"/>
        <v>-4046.17</v>
      </c>
      <c r="Y70" s="1"/>
      <c r="Z70" s="5">
        <f t="shared" si="42"/>
        <v>-0.4093863509890221</v>
      </c>
    </row>
    <row r="71" spans="1:26" s="24" customFormat="1" hidden="1" outlineLevel="2" x14ac:dyDescent="0.25">
      <c r="A71" s="26"/>
      <c r="B71" s="11" t="str">
        <f>CONCATENATE("          ", "6382", " - ", "DISCOUNTS/MARK DOWNS")</f>
        <v xml:space="preserve">          6382 - DISCOUNTS/MARK DOWNS</v>
      </c>
      <c r="C71" s="11"/>
      <c r="D71" s="6">
        <v>887.76</v>
      </c>
      <c r="E71" s="2"/>
      <c r="F71" s="7">
        <f t="shared" si="35"/>
        <v>3.950366775909598E-2</v>
      </c>
      <c r="G71" s="2"/>
      <c r="H71" s="6">
        <v>2450.64</v>
      </c>
      <c r="I71" s="2"/>
      <c r="J71" s="7">
        <f t="shared" si="36"/>
        <v>0.12218542105318264</v>
      </c>
      <c r="K71" s="2"/>
      <c r="L71" s="6">
        <f t="shared" si="37"/>
        <v>-1562.8799999999999</v>
      </c>
      <c r="M71" s="2"/>
      <c r="N71" s="7">
        <f t="shared" si="38"/>
        <v>-0.63774360983253353</v>
      </c>
      <c r="O71" s="11"/>
      <c r="P71" s="6">
        <v>5837.33</v>
      </c>
      <c r="Q71" s="2"/>
      <c r="R71" s="7">
        <f t="shared" si="39"/>
        <v>2.3620176341334294E-2</v>
      </c>
      <c r="S71" s="2"/>
      <c r="T71" s="6">
        <v>9316.82</v>
      </c>
      <c r="U71" s="2"/>
      <c r="V71" s="7">
        <f t="shared" si="40"/>
        <v>3.8816630270598833E-2</v>
      </c>
      <c r="W71" s="2"/>
      <c r="X71" s="6">
        <f t="shared" si="41"/>
        <v>-3479.49</v>
      </c>
      <c r="Y71" s="2"/>
      <c r="Z71" s="7">
        <f t="shared" si="42"/>
        <v>-0.37346326321641932</v>
      </c>
    </row>
    <row r="72" spans="1:26" s="24" customFormat="1" hidden="1" outlineLevel="2" x14ac:dyDescent="0.25">
      <c r="A72" s="26"/>
      <c r="B72" s="11" t="str">
        <f>CONCATENATE("          ", "9175", " - ", "EARNED DISCOUNTS")</f>
        <v xml:space="preserve">          9175 - EARNED DISCOUNTS</v>
      </c>
      <c r="C72" s="11"/>
      <c r="D72" s="6"/>
      <c r="E72" s="2"/>
      <c r="F72" s="7">
        <f t="shared" si="35"/>
        <v>0</v>
      </c>
      <c r="G72" s="2"/>
      <c r="H72" s="6">
        <v>-68.23</v>
      </c>
      <c r="I72" s="2"/>
      <c r="J72" s="7">
        <f t="shared" si="36"/>
        <v>-3.4018506506294896E-3</v>
      </c>
      <c r="K72" s="2"/>
      <c r="L72" s="6">
        <f t="shared" si="37"/>
        <v>68.23</v>
      </c>
      <c r="M72" s="2"/>
      <c r="N72" s="7">
        <f t="shared" si="38"/>
        <v>-1</v>
      </c>
      <c r="O72" s="11"/>
      <c r="P72" s="6">
        <v>0</v>
      </c>
      <c r="Q72" s="2"/>
      <c r="R72" s="7">
        <f t="shared" si="39"/>
        <v>0</v>
      </c>
      <c r="S72" s="2"/>
      <c r="T72" s="6">
        <v>566.67999999999995</v>
      </c>
      <c r="U72" s="2"/>
      <c r="V72" s="7">
        <f t="shared" si="40"/>
        <v>2.3609566398989082E-3</v>
      </c>
      <c r="W72" s="2"/>
      <c r="X72" s="6">
        <f t="shared" si="41"/>
        <v>-566.67999999999995</v>
      </c>
      <c r="Y72" s="2"/>
      <c r="Z72" s="7">
        <f t="shared" si="42"/>
        <v>-1</v>
      </c>
    </row>
    <row r="73" spans="1:26" s="27" customFormat="1" outlineLevel="1" collapsed="1" x14ac:dyDescent="0.25">
      <c r="A73" s="25"/>
      <c r="B73" s="13" t="str">
        <f>CONCATENATE("     ","Employees' Appreciation                           ")</f>
        <v xml:space="preserve">     Employees' Appreciation                           </v>
      </c>
      <c r="C73" s="13"/>
      <c r="D73" s="1">
        <f>SUM(OSRRefD22_4x_0)</f>
        <v>0</v>
      </c>
      <c r="E73" s="1"/>
      <c r="F73" s="5">
        <f t="shared" ref="F73:F81" si="43">IF(D$12=0,0,D73/D$12)</f>
        <v>0</v>
      </c>
      <c r="G73" s="1"/>
      <c r="H73" s="1">
        <f>SUM(OSRRefH22_4x_0)</f>
        <v>0</v>
      </c>
      <c r="I73" s="1"/>
      <c r="J73" s="5">
        <f t="shared" ref="J73:J81" si="44">IF(H$12=0,0,H73/H$12)</f>
        <v>0</v>
      </c>
      <c r="K73" s="1"/>
      <c r="L73" s="1">
        <f t="shared" ref="L73:L81" si="45">+D73-H73</f>
        <v>0</v>
      </c>
      <c r="M73" s="1"/>
      <c r="N73" s="5">
        <f t="shared" ref="N73:N81" si="46">IF(H73=0,0,L73/H73)</f>
        <v>0</v>
      </c>
      <c r="O73" s="13"/>
      <c r="P73" s="1">
        <f>SUM(OSRRefP22_4x_0)</f>
        <v>0</v>
      </c>
      <c r="Q73" s="1"/>
      <c r="R73" s="5">
        <f t="shared" ref="R73:R81" si="47">IF(P$12=0,0,P73/P$12)</f>
        <v>0</v>
      </c>
      <c r="S73" s="1"/>
      <c r="T73" s="1">
        <f>SUM(OSRRefT22_4x_0)</f>
        <v>19.97</v>
      </c>
      <c r="U73" s="1"/>
      <c r="V73" s="5">
        <f t="shared" ref="V73:V81" si="48">IF(T$12=0,0,T73/T$12)</f>
        <v>8.3200931917098181E-5</v>
      </c>
      <c r="W73" s="1"/>
      <c r="X73" s="1">
        <f t="shared" ref="X73:X81" si="49">+P73-T73</f>
        <v>-19.97</v>
      </c>
      <c r="Y73" s="1"/>
      <c r="Z73" s="5">
        <f t="shared" ref="Z73:Z81" si="50">IF(T73=0,0,X73/T73)</f>
        <v>-1</v>
      </c>
    </row>
    <row r="74" spans="1:26" s="24" customFormat="1" hidden="1" outlineLevel="2" x14ac:dyDescent="0.25">
      <c r="A74" s="26"/>
      <c r="B74" s="11" t="str">
        <f>CONCATENATE("          ", "6277", " - ", "EMPLOYEE APPRECIATION")</f>
        <v xml:space="preserve">          6277 - EMPLOYEE APPRECIATION</v>
      </c>
      <c r="C74" s="11"/>
      <c r="D74" s="6"/>
      <c r="E74" s="2"/>
      <c r="F74" s="7">
        <f t="shared" si="43"/>
        <v>0</v>
      </c>
      <c r="G74" s="2"/>
      <c r="H74" s="6"/>
      <c r="I74" s="2"/>
      <c r="J74" s="7">
        <f t="shared" si="44"/>
        <v>0</v>
      </c>
      <c r="K74" s="2"/>
      <c r="L74" s="6">
        <f t="shared" si="45"/>
        <v>0</v>
      </c>
      <c r="M74" s="2"/>
      <c r="N74" s="7">
        <f t="shared" si="46"/>
        <v>0</v>
      </c>
      <c r="O74" s="11"/>
      <c r="P74" s="6"/>
      <c r="Q74" s="2"/>
      <c r="R74" s="7">
        <f t="shared" si="47"/>
        <v>0</v>
      </c>
      <c r="S74" s="2"/>
      <c r="T74" s="6">
        <v>19.97</v>
      </c>
      <c r="U74" s="2"/>
      <c r="V74" s="7">
        <f t="shared" si="48"/>
        <v>8.3200931917098181E-5</v>
      </c>
      <c r="W74" s="2"/>
      <c r="X74" s="6">
        <f t="shared" si="49"/>
        <v>-19.97</v>
      </c>
      <c r="Y74" s="2"/>
      <c r="Z74" s="7">
        <f t="shared" si="50"/>
        <v>-1</v>
      </c>
    </row>
    <row r="75" spans="1:26" s="27" customFormat="1" outlineLevel="1" collapsed="1" x14ac:dyDescent="0.25">
      <c r="A75" s="25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SUM(OSRRefD22_5x_0)</f>
        <v>0</v>
      </c>
      <c r="E75" s="1"/>
      <c r="F75" s="5">
        <f t="shared" si="43"/>
        <v>0</v>
      </c>
      <c r="G75" s="1"/>
      <c r="H75" s="1">
        <f>SUM(OSRRefH22_5x_0)</f>
        <v>0</v>
      </c>
      <c r="I75" s="1"/>
      <c r="J75" s="5">
        <f t="shared" si="44"/>
        <v>0</v>
      </c>
      <c r="K75" s="1"/>
      <c r="L75" s="1">
        <f t="shared" si="45"/>
        <v>0</v>
      </c>
      <c r="M75" s="1"/>
      <c r="N75" s="5">
        <f t="shared" si="46"/>
        <v>0</v>
      </c>
      <c r="O75" s="13"/>
      <c r="P75" s="1">
        <f>SUM(OSRRefP22_5x_0)</f>
        <v>15.81</v>
      </c>
      <c r="Q75" s="1"/>
      <c r="R75" s="5">
        <f t="shared" si="47"/>
        <v>6.397359545485611E-5</v>
      </c>
      <c r="S75" s="1"/>
      <c r="T75" s="1">
        <f>SUM(OSRRefT22_5x_0)</f>
        <v>5.0999999999999996</v>
      </c>
      <c r="U75" s="1"/>
      <c r="V75" s="5">
        <f t="shared" si="48"/>
        <v>2.1248109803565383E-5</v>
      </c>
      <c r="W75" s="1"/>
      <c r="X75" s="1">
        <f t="shared" si="49"/>
        <v>10.71</v>
      </c>
      <c r="Y75" s="1"/>
      <c r="Z75" s="5">
        <f t="shared" si="50"/>
        <v>2.1000000000000005</v>
      </c>
    </row>
    <row r="76" spans="1:26" s="24" customFormat="1" hidden="1" outlineLevel="2" x14ac:dyDescent="0.25">
      <c r="A76" s="26"/>
      <c r="B76" s="11" t="str">
        <f>CONCATENATE("          ", "6305", " - ", "FREIGHT OUT")</f>
        <v xml:space="preserve">          6305 - FREIGHT OUT</v>
      </c>
      <c r="C76" s="11"/>
      <c r="D76" s="6"/>
      <c r="E76" s="2"/>
      <c r="F76" s="7">
        <f t="shared" si="43"/>
        <v>0</v>
      </c>
      <c r="G76" s="2"/>
      <c r="H76" s="6"/>
      <c r="I76" s="2"/>
      <c r="J76" s="7">
        <f t="shared" si="44"/>
        <v>0</v>
      </c>
      <c r="K76" s="2"/>
      <c r="L76" s="6">
        <f t="shared" si="45"/>
        <v>0</v>
      </c>
      <c r="M76" s="2"/>
      <c r="N76" s="7">
        <f t="shared" si="46"/>
        <v>0</v>
      </c>
      <c r="O76" s="11"/>
      <c r="P76" s="6">
        <v>15.81</v>
      </c>
      <c r="Q76" s="2"/>
      <c r="R76" s="7">
        <f t="shared" si="47"/>
        <v>6.397359545485611E-5</v>
      </c>
      <c r="S76" s="2"/>
      <c r="T76" s="6">
        <v>5.0999999999999996</v>
      </c>
      <c r="U76" s="2"/>
      <c r="V76" s="7">
        <f t="shared" si="48"/>
        <v>2.1248109803565383E-5</v>
      </c>
      <c r="W76" s="2"/>
      <c r="X76" s="6">
        <f t="shared" si="49"/>
        <v>10.71</v>
      </c>
      <c r="Y76" s="2"/>
      <c r="Z76" s="7">
        <f t="shared" si="50"/>
        <v>2.1000000000000005</v>
      </c>
    </row>
    <row r="77" spans="1:26" s="27" customFormat="1" outlineLevel="1" collapsed="1" x14ac:dyDescent="0.25">
      <c r="A77" s="25"/>
      <c r="B77" s="13" t="str">
        <f>CONCATENATE("     ","Subscriptions &amp; Dues                              ")</f>
        <v xml:space="preserve">     Subscriptions &amp; Dues                              </v>
      </c>
      <c r="C77" s="13"/>
      <c r="D77" s="1">
        <f>SUM(OSRRefD22_6x_0)</f>
        <v>0</v>
      </c>
      <c r="E77" s="1"/>
      <c r="F77" s="5">
        <f t="shared" si="43"/>
        <v>0</v>
      </c>
      <c r="G77" s="1"/>
      <c r="H77" s="1">
        <f>SUM(OSRRefH22_6x_0)</f>
        <v>0</v>
      </c>
      <c r="I77" s="1"/>
      <c r="J77" s="5">
        <f t="shared" si="44"/>
        <v>0</v>
      </c>
      <c r="K77" s="1"/>
      <c r="L77" s="1">
        <f t="shared" si="45"/>
        <v>0</v>
      </c>
      <c r="M77" s="1"/>
      <c r="N77" s="5">
        <f t="shared" si="46"/>
        <v>0</v>
      </c>
      <c r="O77" s="13"/>
      <c r="P77" s="1">
        <f>SUM(OSRRefP22_6x_0)</f>
        <v>120</v>
      </c>
      <c r="Q77" s="1"/>
      <c r="R77" s="5">
        <f t="shared" si="47"/>
        <v>4.8556808694387931E-4</v>
      </c>
      <c r="S77" s="1"/>
      <c r="T77" s="1">
        <f>SUM(OSRRefT22_6x_0)</f>
        <v>137.26</v>
      </c>
      <c r="U77" s="1"/>
      <c r="V77" s="5">
        <f t="shared" si="48"/>
        <v>5.7186579443870283E-4</v>
      </c>
      <c r="W77" s="1"/>
      <c r="X77" s="1">
        <f t="shared" si="49"/>
        <v>-17.259999999999991</v>
      </c>
      <c r="Y77" s="1"/>
      <c r="Z77" s="5">
        <f t="shared" si="50"/>
        <v>-0.12574675797756077</v>
      </c>
    </row>
    <row r="78" spans="1:26" s="24" customFormat="1" hidden="1" outlineLevel="2" x14ac:dyDescent="0.25">
      <c r="A78" s="26"/>
      <c r="B78" s="11" t="str">
        <f>CONCATENATE("          ", "6258", " - ", "MEMBERSHIP DUES")</f>
        <v xml:space="preserve">          6258 - MEMBERSHIP DUES</v>
      </c>
      <c r="C78" s="11"/>
      <c r="D78" s="6"/>
      <c r="E78" s="2"/>
      <c r="F78" s="7">
        <f t="shared" si="43"/>
        <v>0</v>
      </c>
      <c r="G78" s="2"/>
      <c r="H78" s="6"/>
      <c r="I78" s="2"/>
      <c r="J78" s="7">
        <f t="shared" si="44"/>
        <v>0</v>
      </c>
      <c r="K78" s="2"/>
      <c r="L78" s="6">
        <f t="shared" si="45"/>
        <v>0</v>
      </c>
      <c r="M78" s="2"/>
      <c r="N78" s="7">
        <f t="shared" si="46"/>
        <v>0</v>
      </c>
      <c r="O78" s="11"/>
      <c r="P78" s="6">
        <v>120</v>
      </c>
      <c r="Q78" s="2"/>
      <c r="R78" s="7">
        <f t="shared" si="47"/>
        <v>4.8556808694387931E-4</v>
      </c>
      <c r="S78" s="2"/>
      <c r="T78" s="6">
        <v>137.26</v>
      </c>
      <c r="U78" s="2"/>
      <c r="V78" s="7">
        <f t="shared" si="48"/>
        <v>5.7186579443870283E-4</v>
      </c>
      <c r="W78" s="2"/>
      <c r="X78" s="6">
        <f t="shared" si="49"/>
        <v>-17.259999999999991</v>
      </c>
      <c r="Y78" s="2"/>
      <c r="Z78" s="7">
        <f t="shared" si="50"/>
        <v>-0.12574675797756077</v>
      </c>
    </row>
    <row r="79" spans="1:26" s="27" customFormat="1" outlineLevel="1" collapsed="1" x14ac:dyDescent="0.25">
      <c r="A79" s="25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SUM(OSRRefD22_7x_0)</f>
        <v>0</v>
      </c>
      <c r="E79" s="1"/>
      <c r="F79" s="5">
        <f t="shared" si="43"/>
        <v>0</v>
      </c>
      <c r="G79" s="1"/>
      <c r="H79" s="1">
        <f>SUM(OSRRefH22_7x_0)</f>
        <v>0</v>
      </c>
      <c r="I79" s="1"/>
      <c r="J79" s="5">
        <f t="shared" si="44"/>
        <v>0</v>
      </c>
      <c r="K79" s="1"/>
      <c r="L79" s="1">
        <f t="shared" si="45"/>
        <v>0</v>
      </c>
      <c r="M79" s="1"/>
      <c r="N79" s="5">
        <f t="shared" si="46"/>
        <v>0</v>
      </c>
      <c r="O79" s="13"/>
      <c r="P79" s="1">
        <f>SUM(OSRRefP22_7x_0)</f>
        <v>241.84</v>
      </c>
      <c r="Q79" s="1"/>
      <c r="R79" s="5">
        <f t="shared" si="47"/>
        <v>9.7858155122089821E-4</v>
      </c>
      <c r="S79" s="1"/>
      <c r="T79" s="1">
        <f>SUM(OSRRefT22_7x_0)</f>
        <v>285.64</v>
      </c>
      <c r="U79" s="1"/>
      <c r="V79" s="5">
        <f t="shared" si="48"/>
        <v>1.1900608008412581E-3</v>
      </c>
      <c r="W79" s="1"/>
      <c r="X79" s="1">
        <f t="shared" si="49"/>
        <v>-43.799999999999983</v>
      </c>
      <c r="Y79" s="1"/>
      <c r="Z79" s="5">
        <f t="shared" si="50"/>
        <v>-0.15333986836577504</v>
      </c>
    </row>
    <row r="80" spans="1:26" s="24" customFormat="1" hidden="1" outlineLevel="2" x14ac:dyDescent="0.25">
      <c r="A80" s="26"/>
      <c r="B80" s="11" t="str">
        <f>CONCATENATE("          ", "6241", " - ", "OFFICE EXPENSE")</f>
        <v xml:space="preserve">          6241 - OFFICE EXPENSE</v>
      </c>
      <c r="C80" s="11"/>
      <c r="D80" s="6"/>
      <c r="E80" s="2"/>
      <c r="F80" s="7">
        <f t="shared" si="43"/>
        <v>0</v>
      </c>
      <c r="G80" s="2"/>
      <c r="H80" s="6"/>
      <c r="I80" s="2"/>
      <c r="J80" s="7">
        <f t="shared" si="44"/>
        <v>0</v>
      </c>
      <c r="K80" s="2"/>
      <c r="L80" s="6">
        <f t="shared" si="45"/>
        <v>0</v>
      </c>
      <c r="M80" s="2"/>
      <c r="N80" s="7">
        <f t="shared" si="46"/>
        <v>0</v>
      </c>
      <c r="O80" s="11"/>
      <c r="P80" s="6">
        <v>241.84</v>
      </c>
      <c r="Q80" s="2"/>
      <c r="R80" s="7">
        <f t="shared" si="47"/>
        <v>9.7858155122089821E-4</v>
      </c>
      <c r="S80" s="2"/>
      <c r="T80" s="6">
        <v>282.11</v>
      </c>
      <c r="U80" s="2"/>
      <c r="V80" s="7">
        <f t="shared" si="48"/>
        <v>1.175353775820359E-3</v>
      </c>
      <c r="W80" s="2"/>
      <c r="X80" s="6">
        <f t="shared" si="49"/>
        <v>-40.27000000000001</v>
      </c>
      <c r="Y80" s="2"/>
      <c r="Z80" s="7">
        <f t="shared" si="50"/>
        <v>-0.14274573747828864</v>
      </c>
    </row>
    <row r="81" spans="1:26" s="24" customFormat="1" hidden="1" outlineLevel="2" x14ac:dyDescent="0.25">
      <c r="A81" s="26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3"/>
        <v>0</v>
      </c>
      <c r="G81" s="2"/>
      <c r="H81" s="6"/>
      <c r="I81" s="2"/>
      <c r="J81" s="7">
        <f t="shared" si="44"/>
        <v>0</v>
      </c>
      <c r="K81" s="2"/>
      <c r="L81" s="6">
        <f t="shared" si="45"/>
        <v>0</v>
      </c>
      <c r="M81" s="2"/>
      <c r="N81" s="7">
        <f t="shared" si="46"/>
        <v>0</v>
      </c>
      <c r="O81" s="11"/>
      <c r="P81" s="6"/>
      <c r="Q81" s="2"/>
      <c r="R81" s="7">
        <f t="shared" si="47"/>
        <v>0</v>
      </c>
      <c r="S81" s="2"/>
      <c r="T81" s="6">
        <v>3.53</v>
      </c>
      <c r="U81" s="2"/>
      <c r="V81" s="7">
        <f t="shared" si="48"/>
        <v>1.4707025020899178E-5</v>
      </c>
      <c r="W81" s="2"/>
      <c r="X81" s="6">
        <f t="shared" si="49"/>
        <v>-3.53</v>
      </c>
      <c r="Y81" s="2"/>
      <c r="Z81" s="7">
        <f t="shared" si="50"/>
        <v>-1</v>
      </c>
    </row>
    <row r="82" spans="1:26" s="27" customFormat="1" outlineLevel="1" collapsed="1" x14ac:dyDescent="0.25">
      <c r="A82" s="25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SUM(OSRRefD22_8x_0)</f>
        <v>0</v>
      </c>
      <c r="E82" s="1"/>
      <c r="F82" s="5">
        <f t="shared" ref="F82:F85" si="51">IF(D$12=0,0,D82/D$12)</f>
        <v>0</v>
      </c>
      <c r="G82" s="1"/>
      <c r="H82" s="1">
        <f>SUM(OSRRefH22_8x_0)</f>
        <v>40</v>
      </c>
      <c r="I82" s="1"/>
      <c r="J82" s="5">
        <f t="shared" ref="J82:J85" si="52">IF(H$12=0,0,H82/H$12)</f>
        <v>1.9943430459501625E-3</v>
      </c>
      <c r="K82" s="1"/>
      <c r="L82" s="1">
        <f t="shared" ref="L82:L85" si="53">+D82-H82</f>
        <v>-40</v>
      </c>
      <c r="M82" s="1"/>
      <c r="N82" s="5">
        <f t="shared" ref="N82:N85" si="54">IF(H82=0,0,L82/H82)</f>
        <v>-1</v>
      </c>
      <c r="O82" s="13"/>
      <c r="P82" s="1">
        <f>SUM(OSRRefP22_8x_0)</f>
        <v>0</v>
      </c>
      <c r="Q82" s="1"/>
      <c r="R82" s="5">
        <f t="shared" ref="R82:R85" si="55">IF(P$12=0,0,P82/P$12)</f>
        <v>0</v>
      </c>
      <c r="S82" s="1"/>
      <c r="T82" s="1">
        <f>SUM(OSRRefT22_8x_0)</f>
        <v>240</v>
      </c>
      <c r="U82" s="1"/>
      <c r="V82" s="5">
        <f t="shared" ref="V82:V85" si="56">IF(T$12=0,0,T82/T$12)</f>
        <v>9.9991104957954753E-4</v>
      </c>
      <c r="W82" s="1"/>
      <c r="X82" s="1">
        <f t="shared" ref="X82:X85" si="57">+P82-T82</f>
        <v>-240</v>
      </c>
      <c r="Y82" s="1"/>
      <c r="Z82" s="5">
        <f t="shared" ref="Z82:Z85" si="58">IF(T82=0,0,X82/T82)</f>
        <v>-1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6"/>
      <c r="E83" s="2"/>
      <c r="F83" s="7">
        <f t="shared" si="51"/>
        <v>0</v>
      </c>
      <c r="G83" s="2"/>
      <c r="H83" s="6">
        <v>40</v>
      </c>
      <c r="I83" s="2"/>
      <c r="J83" s="7">
        <f t="shared" si="52"/>
        <v>1.9943430459501625E-3</v>
      </c>
      <c r="K83" s="2"/>
      <c r="L83" s="6">
        <f t="shared" si="53"/>
        <v>-40</v>
      </c>
      <c r="M83" s="2"/>
      <c r="N83" s="7">
        <f t="shared" si="54"/>
        <v>-1</v>
      </c>
      <c r="O83" s="11"/>
      <c r="P83" s="6"/>
      <c r="Q83" s="2"/>
      <c r="R83" s="7">
        <f t="shared" si="55"/>
        <v>0</v>
      </c>
      <c r="S83" s="2"/>
      <c r="T83" s="6">
        <v>240</v>
      </c>
      <c r="U83" s="2"/>
      <c r="V83" s="7">
        <f t="shared" si="56"/>
        <v>9.9991104957954753E-4</v>
      </c>
      <c r="W83" s="2"/>
      <c r="X83" s="6">
        <f t="shared" si="57"/>
        <v>-240</v>
      </c>
      <c r="Y83" s="2"/>
      <c r="Z83" s="7">
        <f t="shared" si="58"/>
        <v>-1</v>
      </c>
    </row>
    <row r="84" spans="1:26" s="27" customFormat="1" outlineLevel="1" collapsed="1" x14ac:dyDescent="0.25">
      <c r="A84" s="25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SUM(OSRRefD22_9x_0)</f>
        <v>-323.01</v>
      </c>
      <c r="E84" s="1"/>
      <c r="F84" s="5">
        <f t="shared" si="51"/>
        <v>-1.4373343834894105E-2</v>
      </c>
      <c r="G84" s="1"/>
      <c r="H84" s="1">
        <f>SUM(OSRRefH22_9x_0)</f>
        <v>0</v>
      </c>
      <c r="I84" s="1"/>
      <c r="J84" s="5">
        <f t="shared" si="52"/>
        <v>0</v>
      </c>
      <c r="K84" s="1"/>
      <c r="L84" s="1">
        <f t="shared" si="53"/>
        <v>-323.01</v>
      </c>
      <c r="M84" s="1"/>
      <c r="N84" s="5">
        <f t="shared" si="54"/>
        <v>0</v>
      </c>
      <c r="O84" s="13"/>
      <c r="P84" s="1">
        <f>SUM(OSRRefP22_9x_0)</f>
        <v>-323.01</v>
      </c>
      <c r="Q84" s="1"/>
      <c r="R84" s="5">
        <f t="shared" si="55"/>
        <v>-1.3070278980311871E-3</v>
      </c>
      <c r="S84" s="1"/>
      <c r="T84" s="1">
        <f>SUM(OSRRefT22_9x_0)</f>
        <v>0</v>
      </c>
      <c r="U84" s="1"/>
      <c r="V84" s="5">
        <f t="shared" si="56"/>
        <v>0</v>
      </c>
      <c r="W84" s="1"/>
      <c r="X84" s="1">
        <f t="shared" si="57"/>
        <v>-323.01</v>
      </c>
      <c r="Y84" s="1"/>
      <c r="Z84" s="5">
        <f t="shared" si="58"/>
        <v>0</v>
      </c>
    </row>
    <row r="85" spans="1:26" s="24" customFormat="1" hidden="1" outlineLevel="2" x14ac:dyDescent="0.25">
      <c r="A85" s="26"/>
      <c r="B85" s="11" t="str">
        <f>CONCATENATE("          ", "6292", " - ", "TRAVEL/CONFERENCE")</f>
        <v xml:space="preserve">          6292 - TRAVEL/CONFERENCE</v>
      </c>
      <c r="C85" s="11"/>
      <c r="D85" s="6">
        <v>-323.01</v>
      </c>
      <c r="E85" s="2"/>
      <c r="F85" s="7">
        <f t="shared" si="51"/>
        <v>-1.4373343834894105E-2</v>
      </c>
      <c r="G85" s="2"/>
      <c r="H85" s="6"/>
      <c r="I85" s="2"/>
      <c r="J85" s="7">
        <f t="shared" si="52"/>
        <v>0</v>
      </c>
      <c r="K85" s="2"/>
      <c r="L85" s="6">
        <f t="shared" si="53"/>
        <v>-323.01</v>
      </c>
      <c r="M85" s="2"/>
      <c r="N85" s="7">
        <f t="shared" si="54"/>
        <v>0</v>
      </c>
      <c r="O85" s="11"/>
      <c r="P85" s="6">
        <v>-323.01</v>
      </c>
      <c r="Q85" s="2"/>
      <c r="R85" s="7">
        <f t="shared" si="55"/>
        <v>-1.3070278980311871E-3</v>
      </c>
      <c r="S85" s="2"/>
      <c r="T85" s="6"/>
      <c r="U85" s="2"/>
      <c r="V85" s="7">
        <f t="shared" si="56"/>
        <v>0</v>
      </c>
      <c r="W85" s="2"/>
      <c r="X85" s="6">
        <f t="shared" si="57"/>
        <v>-323.01</v>
      </c>
      <c r="Y85" s="2"/>
      <c r="Z85" s="7">
        <f t="shared" si="58"/>
        <v>0</v>
      </c>
    </row>
    <row r="86" spans="1:26" s="61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8" t="s">
        <v>0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9" t="s">
        <v>3</v>
      </c>
      <c r="C89" s="29"/>
      <c r="D89" s="20">
        <f>+D52-D54+D87</f>
        <v>2889.0199999999968</v>
      </c>
      <c r="E89" s="14"/>
      <c r="F89" s="21">
        <f>IF(D$12=0,0,D89/D$12)</f>
        <v>0.1285560131447501</v>
      </c>
      <c r="G89" s="14"/>
      <c r="H89" s="20">
        <f>+H52-H54+H87</f>
        <v>1261.6099999999951</v>
      </c>
      <c r="I89" s="14"/>
      <c r="J89" s="21">
        <f>IF(H$12=0,0,H89/H$12)</f>
        <v>6.2902078255029373E-2</v>
      </c>
      <c r="K89" s="15"/>
      <c r="L89" s="20">
        <f>+D89-H89</f>
        <v>1627.4100000000017</v>
      </c>
      <c r="M89" s="15"/>
      <c r="N89" s="21">
        <f>IF(H89=0,0,L89/H89)</f>
        <v>1.2899469725192476</v>
      </c>
      <c r="O89" s="28"/>
      <c r="P89" s="20">
        <f>+P52-P54+P87</f>
        <v>72147.689999999973</v>
      </c>
      <c r="Q89" s="14"/>
      <c r="R89" s="21">
        <f>IF(P$12=0,0,P89/P$12)</f>
        <v>0.29193846508933369</v>
      </c>
      <c r="S89" s="14"/>
      <c r="T89" s="20">
        <f>+T52-T54+T87</f>
        <v>65370.820000000051</v>
      </c>
      <c r="U89" s="14"/>
      <c r="V89" s="21">
        <f>IF(T$12=0,0,T89/T$12)</f>
        <v>0.27235418849198223</v>
      </c>
      <c r="W89" s="15"/>
      <c r="X89" s="20">
        <f>+P89-T89</f>
        <v>6776.8699999999226</v>
      </c>
      <c r="Y89" s="15"/>
      <c r="Z89" s="21">
        <f>IF(T89=0,0,X89/T89)</f>
        <v>0.10366811981247775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>
        <v>2902.28</v>
      </c>
      <c r="E91" s="4"/>
      <c r="F91" s="12">
        <f>IF(D$12=0,0,D91/D$12)</f>
        <v>0.12914605846610466</v>
      </c>
      <c r="G91" s="4"/>
      <c r="H91" s="4">
        <v>2756.74</v>
      </c>
      <c r="I91" s="4"/>
      <c r="J91" s="12">
        <f>IF(H$12=0,0,H91/H$12)</f>
        <v>0.13744713121231625</v>
      </c>
      <c r="K91" s="4"/>
      <c r="L91" s="4">
        <f>+D91-H91</f>
        <v>145.54000000000042</v>
      </c>
      <c r="M91" s="4"/>
      <c r="N91" s="12">
        <f>IF(H91=0,0,L91/H91)</f>
        <v>5.2794242474807358E-2</v>
      </c>
      <c r="O91" s="10"/>
      <c r="P91" s="4">
        <v>26692.289999999997</v>
      </c>
      <c r="Q91" s="4"/>
      <c r="R91" s="12">
        <f>IF(P$12=0,0,P91/P$12)</f>
        <v>0.108007701595427</v>
      </c>
      <c r="S91" s="4"/>
      <c r="T91" s="4">
        <v>25901.94</v>
      </c>
      <c r="U91" s="4"/>
      <c r="V91" s="12">
        <f>IF(T$12=0,0,T91/T$12)</f>
        <v>0.10791515004811027</v>
      </c>
      <c r="W91" s="4"/>
      <c r="X91" s="4">
        <f>+P91-T91</f>
        <v>790.34999999999854</v>
      </c>
      <c r="Y91" s="4"/>
      <c r="Z91" s="12">
        <f>IF(T91=0,0,X91/T91)</f>
        <v>3.051315847384399E-2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4</v>
      </c>
      <c r="C93" s="29"/>
      <c r="D93" s="32">
        <f>+D89-D91</f>
        <v>-13.260000000003402</v>
      </c>
      <c r="E93" s="14"/>
      <c r="F93" s="30">
        <f>IF(D$12=0,0,D93/D$12)</f>
        <v>-5.9004532135458572E-4</v>
      </c>
      <c r="G93" s="14"/>
      <c r="H93" s="32">
        <f>+H89-H91</f>
        <v>-1495.1300000000047</v>
      </c>
      <c r="I93" s="14"/>
      <c r="J93" s="30">
        <f>IF(H$12=0,0,H93/H$12)</f>
        <v>-7.4545052957286889E-2</v>
      </c>
      <c r="K93" s="15"/>
      <c r="L93" s="32">
        <f>D93-H93</f>
        <v>1481.8700000000013</v>
      </c>
      <c r="M93" s="15"/>
      <c r="N93" s="30">
        <f>IF(H93=0,0,L93/H93)</f>
        <v>-0.99113120598208626</v>
      </c>
      <c r="O93" s="28"/>
      <c r="P93" s="32">
        <f>+P89-P91</f>
        <v>45455.39999999998</v>
      </c>
      <c r="Q93" s="14"/>
      <c r="R93" s="30">
        <f>IF(P$12=0,0,P93/P$12)</f>
        <v>0.18393076349390669</v>
      </c>
      <c r="S93" s="14"/>
      <c r="T93" s="32">
        <f>+T89-T91</f>
        <v>39468.880000000048</v>
      </c>
      <c r="U93" s="14"/>
      <c r="V93" s="30">
        <f>IF(T$12=0,0,T93/T$12)</f>
        <v>0.16443903844387192</v>
      </c>
      <c r="W93" s="15"/>
      <c r="X93" s="32">
        <f>P93-T93</f>
        <v>5986.5199999999313</v>
      </c>
      <c r="Y93" s="15"/>
      <c r="Z93" s="30">
        <f>IF(T93=0,0,X93/T93)</f>
        <v>0.15167696676469977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5</v>
      </c>
      <c r="C96" s="29"/>
      <c r="D96" s="36">
        <f>SUM(D93:D95)</f>
        <v>-13.260000000003402</v>
      </c>
      <c r="E96" s="14"/>
      <c r="F96" s="31">
        <f>IF(D$12=0,0,D96/D$12)</f>
        <v>-5.9004532135458572E-4</v>
      </c>
      <c r="G96" s="14"/>
      <c r="H96" s="36">
        <f>SUM(H93:H95)</f>
        <v>-1495.1300000000047</v>
      </c>
      <c r="I96" s="14"/>
      <c r="J96" s="31">
        <f>IF(H$12=0,0,H96/H$12)</f>
        <v>-7.4545052957286889E-2</v>
      </c>
      <c r="K96" s="15"/>
      <c r="L96" s="36">
        <f>+D96-H96</f>
        <v>1481.8700000000013</v>
      </c>
      <c r="M96" s="15"/>
      <c r="N96" s="31">
        <f>IF(H96=0,0,L96/H96)</f>
        <v>-0.99113120598208626</v>
      </c>
      <c r="O96" s="28"/>
      <c r="P96" s="36">
        <f>SUM(P93:P95)</f>
        <v>45455.39999999998</v>
      </c>
      <c r="Q96" s="14"/>
      <c r="R96" s="31">
        <f>IF(P$12=0,0,P96/P$12)</f>
        <v>0.18393076349390669</v>
      </c>
      <c r="S96" s="14"/>
      <c r="T96" s="36">
        <f>SUM(T93:T95)</f>
        <v>39468.880000000048</v>
      </c>
      <c r="U96" s="14"/>
      <c r="V96" s="31">
        <f>IF(T$12=0,0,T96/T$12)</f>
        <v>0.16443903844387192</v>
      </c>
      <c r="W96" s="15"/>
      <c r="X96" s="36">
        <f>+P96-T96</f>
        <v>5986.5199999999313</v>
      </c>
      <c r="Y96" s="15"/>
      <c r="Z96" s="31">
        <f>IF(T96=0,0,X96/T96)</f>
        <v>0.15167696676469977</v>
      </c>
    </row>
    <row r="97" spans="1:24" ht="15.75" thickTop="1" x14ac:dyDescent="0.25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62">
        <v>43847.453736377312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56" t="s">
        <v>313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A100" s="9"/>
      <c r="B100" s="54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25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63198.529999999984</v>
      </c>
      <c r="E12" s="4"/>
      <c r="F12" s="12"/>
      <c r="G12" s="4"/>
      <c r="H12" s="4">
        <f>SUM(OSRRefH13x_0)</f>
        <v>80260.969999999987</v>
      </c>
      <c r="I12" s="4"/>
      <c r="J12" s="12"/>
      <c r="K12" s="4"/>
      <c r="L12" s="4">
        <f t="shared" ref="L12:L40" si="0">+D12-H12</f>
        <v>-17062.440000000002</v>
      </c>
      <c r="M12" s="4"/>
      <c r="N12" s="12">
        <f t="shared" ref="N12:N40" si="1">IF(H12=0,0,L12/H12)</f>
        <v>-0.21258701458504681</v>
      </c>
      <c r="O12" s="10"/>
      <c r="P12" s="4">
        <f>SUM(OSRRefP13x_0)</f>
        <v>2940253.9199999995</v>
      </c>
      <c r="Q12" s="4"/>
      <c r="R12" s="12"/>
      <c r="S12" s="4"/>
      <c r="T12" s="4">
        <f>SUM(OSRRefT13x_0)</f>
        <v>3478582.8700000006</v>
      </c>
      <c r="U12" s="4"/>
      <c r="V12" s="12"/>
      <c r="W12" s="4"/>
      <c r="X12" s="4">
        <f t="shared" ref="X12:X40" si="2">+P12-T12</f>
        <v>-538328.95000000112</v>
      </c>
      <c r="Y12" s="4"/>
      <c r="Z12" s="12">
        <f t="shared" ref="Z12:Z40" si="3">IF(T12=0,0,X12/T12)</f>
        <v>-0.1547552466386983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--36689.95</f>
        <v>36689.949999999997</v>
      </c>
      <c r="E13" s="2"/>
      <c r="F13" s="19"/>
      <c r="G13" s="2"/>
      <c r="H13" s="2">
        <f>--19357.4</f>
        <v>19357.400000000001</v>
      </c>
      <c r="I13" s="2"/>
      <c r="J13" s="19"/>
      <c r="K13" s="2"/>
      <c r="L13" s="2">
        <f t="shared" si="0"/>
        <v>17332.549999999996</v>
      </c>
      <c r="M13" s="2"/>
      <c r="N13" s="19">
        <f t="shared" si="1"/>
        <v>0.89539659251758985</v>
      </c>
      <c r="O13" s="11"/>
      <c r="P13" s="2">
        <f>--1540034.38</f>
        <v>1540034.38</v>
      </c>
      <c r="Q13" s="2"/>
      <c r="R13" s="19"/>
      <c r="S13" s="2"/>
      <c r="T13" s="2">
        <f>--1869627.25</f>
        <v>1869627.25</v>
      </c>
      <c r="U13" s="2"/>
      <c r="V13" s="19"/>
      <c r="W13" s="2"/>
      <c r="X13" s="2">
        <f t="shared" si="2"/>
        <v>-329592.87000000011</v>
      </c>
      <c r="Y13" s="2"/>
      <c r="Z13" s="19">
        <f t="shared" si="3"/>
        <v>-0.17628801142045833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--10615.68</f>
        <v>10615.68</v>
      </c>
      <c r="E14" s="2"/>
      <c r="F14" s="19"/>
      <c r="G14" s="2"/>
      <c r="H14" s="2">
        <f>--14559.21</f>
        <v>14559.21</v>
      </c>
      <c r="I14" s="2"/>
      <c r="J14" s="19"/>
      <c r="K14" s="2"/>
      <c r="L14" s="2">
        <f t="shared" si="0"/>
        <v>-3943.5299999999988</v>
      </c>
      <c r="M14" s="2"/>
      <c r="N14" s="19">
        <f t="shared" si="1"/>
        <v>-0.27086153713010519</v>
      </c>
      <c r="O14" s="11"/>
      <c r="P14" s="2">
        <f>--681094.97</f>
        <v>681094.97</v>
      </c>
      <c r="Q14" s="2"/>
      <c r="R14" s="19"/>
      <c r="S14" s="2"/>
      <c r="T14" s="2">
        <f>--755941.45</f>
        <v>755941.45</v>
      </c>
      <c r="U14" s="2"/>
      <c r="V14" s="19"/>
      <c r="W14" s="2"/>
      <c r="X14" s="2">
        <f t="shared" si="2"/>
        <v>-74846.479999999981</v>
      </c>
      <c r="Y14" s="2"/>
      <c r="Z14" s="19">
        <f t="shared" si="3"/>
        <v>-9.9010948533117191E-2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--586.01</f>
        <v>586.01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586.01</v>
      </c>
      <c r="M15" s="2"/>
      <c r="N15" s="19">
        <f t="shared" si="1"/>
        <v>0</v>
      </c>
      <c r="O15" s="11"/>
      <c r="P15" s="2">
        <f>--16430.67</f>
        <v>16430.669999999998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6486.4199999999983</v>
      </c>
      <c r="Y15" s="2"/>
      <c r="Z15" s="19">
        <f t="shared" si="3"/>
        <v>0.65227845237197357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0</f>
        <v>0</v>
      </c>
      <c r="E16" s="2"/>
      <c r="F16" s="19"/>
      <c r="G16" s="2"/>
      <c r="H16" s="2">
        <f>--56.78</f>
        <v>56.78</v>
      </c>
      <c r="I16" s="2"/>
      <c r="J16" s="19"/>
      <c r="K16" s="2"/>
      <c r="L16" s="2">
        <f t="shared" si="0"/>
        <v>-56.78</v>
      </c>
      <c r="M16" s="2"/>
      <c r="N16" s="19">
        <f t="shared" si="1"/>
        <v>-1</v>
      </c>
      <c r="O16" s="11"/>
      <c r="P16" s="2">
        <f>--30279.88</f>
        <v>30279.88</v>
      </c>
      <c r="Q16" s="2"/>
      <c r="R16" s="19"/>
      <c r="S16" s="2"/>
      <c r="T16" s="2">
        <f>--42682.1</f>
        <v>42682.1</v>
      </c>
      <c r="U16" s="2"/>
      <c r="V16" s="19"/>
      <c r="W16" s="2"/>
      <c r="X16" s="2">
        <f t="shared" si="2"/>
        <v>-12402.219999999998</v>
      </c>
      <c r="Y16" s="2"/>
      <c r="Z16" s="19">
        <f t="shared" si="3"/>
        <v>-0.29057192593616521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--3.62</f>
        <v>3.62</v>
      </c>
      <c r="E17" s="2"/>
      <c r="F17" s="19"/>
      <c r="G17" s="2"/>
      <c r="H17" s="2">
        <f>--0.52</f>
        <v>0.52</v>
      </c>
      <c r="I17" s="2"/>
      <c r="J17" s="19"/>
      <c r="K17" s="2"/>
      <c r="L17" s="2">
        <f t="shared" si="0"/>
        <v>3.1</v>
      </c>
      <c r="M17" s="2"/>
      <c r="N17" s="19">
        <f t="shared" si="1"/>
        <v>5.9615384615384617</v>
      </c>
      <c r="O17" s="11"/>
      <c r="P17" s="2">
        <f>--13.22</f>
        <v>13.22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7.3900000000000006</v>
      </c>
      <c r="Y17" s="2"/>
      <c r="Z17" s="19">
        <f t="shared" si="3"/>
        <v>1.2675814751286449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--167.6</f>
        <v>167.6</v>
      </c>
      <c r="E18" s="2"/>
      <c r="F18" s="19"/>
      <c r="G18" s="2"/>
      <c r="H18" s="2">
        <f>--192.11</f>
        <v>192.11</v>
      </c>
      <c r="I18" s="2"/>
      <c r="J18" s="19"/>
      <c r="K18" s="2"/>
      <c r="L18" s="2">
        <f t="shared" si="0"/>
        <v>-24.510000000000019</v>
      </c>
      <c r="M18" s="2"/>
      <c r="N18" s="19">
        <f t="shared" si="1"/>
        <v>-0.12758315548383747</v>
      </c>
      <c r="O18" s="11"/>
      <c r="P18" s="2">
        <f>--1280.32</f>
        <v>1280.32</v>
      </c>
      <c r="Q18" s="2"/>
      <c r="R18" s="19"/>
      <c r="S18" s="2"/>
      <c r="T18" s="2">
        <f>--2779.19</f>
        <v>2779.19</v>
      </c>
      <c r="U18" s="2"/>
      <c r="V18" s="19"/>
      <c r="W18" s="2"/>
      <c r="X18" s="2">
        <f t="shared" si="2"/>
        <v>-1498.8700000000001</v>
      </c>
      <c r="Y18" s="2"/>
      <c r="Z18" s="19">
        <f t="shared" si="3"/>
        <v>-0.53931901021520667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--109.34</f>
        <v>109.34</v>
      </c>
      <c r="E19" s="2"/>
      <c r="F19" s="19"/>
      <c r="G19" s="2"/>
      <c r="H19" s="2">
        <f>--66.52</f>
        <v>66.52</v>
      </c>
      <c r="I19" s="2"/>
      <c r="J19" s="19"/>
      <c r="K19" s="2"/>
      <c r="L19" s="2">
        <f t="shared" si="0"/>
        <v>42.820000000000007</v>
      </c>
      <c r="M19" s="2"/>
      <c r="N19" s="19">
        <f t="shared" si="1"/>
        <v>0.64371617558629002</v>
      </c>
      <c r="O19" s="11"/>
      <c r="P19" s="2">
        <f>--992.69</f>
        <v>992.69</v>
      </c>
      <c r="Q19" s="2"/>
      <c r="R19" s="19"/>
      <c r="S19" s="2"/>
      <c r="T19" s="2">
        <f>--1210.44</f>
        <v>1210.44</v>
      </c>
      <c r="U19" s="2"/>
      <c r="V19" s="19"/>
      <c r="W19" s="2"/>
      <c r="X19" s="2">
        <f t="shared" si="2"/>
        <v>-217.75</v>
      </c>
      <c r="Y19" s="2"/>
      <c r="Z19" s="19">
        <f t="shared" si="3"/>
        <v>-0.17989326195433064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--157.74</f>
        <v>157.74</v>
      </c>
      <c r="E20" s="2"/>
      <c r="F20" s="19"/>
      <c r="G20" s="2"/>
      <c r="H20" s="2">
        <f>--447.93</f>
        <v>447.93</v>
      </c>
      <c r="I20" s="2"/>
      <c r="J20" s="19"/>
      <c r="K20" s="2"/>
      <c r="L20" s="2">
        <f t="shared" si="0"/>
        <v>-290.19</v>
      </c>
      <c r="M20" s="2"/>
      <c r="N20" s="19">
        <f t="shared" si="1"/>
        <v>-0.64784676177081235</v>
      </c>
      <c r="O20" s="11"/>
      <c r="P20" s="2">
        <f>--2890.39</f>
        <v>2890.39</v>
      </c>
      <c r="Q20" s="2"/>
      <c r="R20" s="19"/>
      <c r="S20" s="2"/>
      <c r="T20" s="2">
        <f>--4167.48</f>
        <v>4167.4799999999996</v>
      </c>
      <c r="U20" s="2"/>
      <c r="V20" s="19"/>
      <c r="W20" s="2"/>
      <c r="X20" s="2">
        <f t="shared" si="2"/>
        <v>-1277.0899999999997</v>
      </c>
      <c r="Y20" s="2"/>
      <c r="Z20" s="19">
        <f t="shared" si="3"/>
        <v>-0.30644178256404347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--87.99</f>
        <v>87.99</v>
      </c>
      <c r="E21" s="2"/>
      <c r="F21" s="19"/>
      <c r="G21" s="2"/>
      <c r="H21" s="2">
        <f>-154.35</f>
        <v>-154.35</v>
      </c>
      <c r="I21" s="2"/>
      <c r="J21" s="19"/>
      <c r="K21" s="2"/>
      <c r="L21" s="2">
        <f t="shared" si="0"/>
        <v>242.33999999999997</v>
      </c>
      <c r="M21" s="2"/>
      <c r="N21" s="19">
        <f t="shared" si="1"/>
        <v>-1.5700680272108842</v>
      </c>
      <c r="O21" s="11"/>
      <c r="P21" s="2">
        <f>--335928.55</f>
        <v>335928.55</v>
      </c>
      <c r="Q21" s="2"/>
      <c r="R21" s="19"/>
      <c r="S21" s="2"/>
      <c r="T21" s="2">
        <f>--390585.92</f>
        <v>390585.92</v>
      </c>
      <c r="U21" s="2"/>
      <c r="V21" s="19"/>
      <c r="W21" s="2"/>
      <c r="X21" s="2">
        <f t="shared" si="2"/>
        <v>-54657.369999999995</v>
      </c>
      <c r="Y21" s="2"/>
      <c r="Z21" s="19">
        <f t="shared" si="3"/>
        <v>-0.13993686715588724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--2606.82</f>
        <v>2606.8200000000002</v>
      </c>
      <c r="E22" s="2"/>
      <c r="F22" s="19"/>
      <c r="G22" s="2"/>
      <c r="H22" s="2">
        <f>--45608.9</f>
        <v>45608.9</v>
      </c>
      <c r="I22" s="2"/>
      <c r="J22" s="19"/>
      <c r="K22" s="2"/>
      <c r="L22" s="2">
        <f t="shared" si="0"/>
        <v>-43002.080000000002</v>
      </c>
      <c r="M22" s="2"/>
      <c r="N22" s="19">
        <f t="shared" si="1"/>
        <v>-0.94284405017441775</v>
      </c>
      <c r="O22" s="11"/>
      <c r="P22" s="2">
        <f>--95287.57</f>
        <v>95287.57</v>
      </c>
      <c r="Q22" s="2"/>
      <c r="R22" s="19"/>
      <c r="S22" s="2"/>
      <c r="T22" s="2">
        <f>--194261.23</f>
        <v>194261.23</v>
      </c>
      <c r="U22" s="2"/>
      <c r="V22" s="19"/>
      <c r="W22" s="2"/>
      <c r="X22" s="2">
        <f t="shared" si="2"/>
        <v>-98973.66</v>
      </c>
      <c r="Y22" s="2"/>
      <c r="Z22" s="19">
        <f t="shared" si="3"/>
        <v>-0.50948745665823281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--595.75</f>
        <v>595.75</v>
      </c>
      <c r="E23" s="2"/>
      <c r="F23" s="19"/>
      <c r="G23" s="2"/>
      <c r="H23" s="2">
        <f>--3095.04</f>
        <v>3095.04</v>
      </c>
      <c r="I23" s="2"/>
      <c r="J23" s="19"/>
      <c r="K23" s="2"/>
      <c r="L23" s="2">
        <f t="shared" si="0"/>
        <v>-2499.29</v>
      </c>
      <c r="M23" s="2"/>
      <c r="N23" s="19">
        <f t="shared" si="1"/>
        <v>-0.80751460401157982</v>
      </c>
      <c r="O23" s="11"/>
      <c r="P23" s="2">
        <f>--38202.59</f>
        <v>38202.589999999997</v>
      </c>
      <c r="Q23" s="2"/>
      <c r="R23" s="19"/>
      <c r="S23" s="2"/>
      <c r="T23" s="2">
        <f>--53955.66</f>
        <v>53955.66</v>
      </c>
      <c r="U23" s="2"/>
      <c r="V23" s="19"/>
      <c r="W23" s="2"/>
      <c r="X23" s="2">
        <f t="shared" si="2"/>
        <v>-15753.070000000007</v>
      </c>
      <c r="Y23" s="2"/>
      <c r="Z23" s="19">
        <f t="shared" si="3"/>
        <v>-0.29196325278942015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>
        <f>--509.85</f>
        <v>509.85</v>
      </c>
      <c r="U24" s="2"/>
      <c r="V24" s="19"/>
      <c r="W24" s="2"/>
      <c r="X24" s="2">
        <f t="shared" si="2"/>
        <v>-179.87</v>
      </c>
      <c r="Y24" s="2"/>
      <c r="Z24" s="19">
        <f t="shared" si="3"/>
        <v>-0.35279003628518191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--12189.74</f>
        <v>12189.74</v>
      </c>
      <c r="E25" s="2"/>
      <c r="F25" s="19"/>
      <c r="G25" s="2"/>
      <c r="H25" s="2">
        <f>--3241.51</f>
        <v>3241.51</v>
      </c>
      <c r="I25" s="2"/>
      <c r="J25" s="19"/>
      <c r="K25" s="2"/>
      <c r="L25" s="2">
        <f t="shared" si="0"/>
        <v>8948.23</v>
      </c>
      <c r="M25" s="2"/>
      <c r="N25" s="19">
        <f t="shared" si="1"/>
        <v>2.7605128474075351</v>
      </c>
      <c r="O25" s="11"/>
      <c r="P25" s="2">
        <f>--332888.83</f>
        <v>332888.83</v>
      </c>
      <c r="Q25" s="2"/>
      <c r="R25" s="19"/>
      <c r="S25" s="2"/>
      <c r="T25" s="2">
        <f>--340965.12</f>
        <v>340965.12</v>
      </c>
      <c r="U25" s="2"/>
      <c r="V25" s="19"/>
      <c r="W25" s="2"/>
      <c r="X25" s="2">
        <f t="shared" si="2"/>
        <v>-8076.289999999979</v>
      </c>
      <c r="Y25" s="2"/>
      <c r="Z25" s="19">
        <f t="shared" si="3"/>
        <v>-2.3686557733529984E-2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--431.78</f>
        <v>431.78</v>
      </c>
      <c r="E26" s="2"/>
      <c r="F26" s="19"/>
      <c r="G26" s="2"/>
      <c r="H26" s="2">
        <f>--1236.5</f>
        <v>1236.5</v>
      </c>
      <c r="I26" s="2"/>
      <c r="J26" s="19"/>
      <c r="K26" s="2"/>
      <c r="L26" s="2">
        <f t="shared" si="0"/>
        <v>-804.72</v>
      </c>
      <c r="M26" s="2"/>
      <c r="N26" s="19">
        <f t="shared" si="1"/>
        <v>-0.6508046906591185</v>
      </c>
      <c r="O26" s="11"/>
      <c r="P26" s="2">
        <f>--8023.97</f>
        <v>8023.97</v>
      </c>
      <c r="Q26" s="2"/>
      <c r="R26" s="19"/>
      <c r="S26" s="2"/>
      <c r="T26" s="2">
        <f>--11154.48</f>
        <v>11154.48</v>
      </c>
      <c r="U26" s="2"/>
      <c r="V26" s="19"/>
      <c r="W26" s="2"/>
      <c r="X26" s="2">
        <f t="shared" si="2"/>
        <v>-3130.5099999999993</v>
      </c>
      <c r="Y26" s="2"/>
      <c r="Z26" s="19">
        <f t="shared" si="3"/>
        <v>-0.28065046510460367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>
        <f>--38.23</f>
        <v>38.229999999999997</v>
      </c>
      <c r="U27" s="2"/>
      <c r="V27" s="19"/>
      <c r="W27" s="2"/>
      <c r="X27" s="2">
        <f t="shared" si="2"/>
        <v>1108.49</v>
      </c>
      <c r="Y27" s="2"/>
      <c r="Z27" s="19">
        <f t="shared" si="3"/>
        <v>28.995291655767723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--6.95</f>
        <v>6.95</v>
      </c>
      <c r="E28" s="2"/>
      <c r="F28" s="19"/>
      <c r="G28" s="2"/>
      <c r="H28" s="2">
        <f>--10.89</f>
        <v>10.89</v>
      </c>
      <c r="I28" s="2"/>
      <c r="J28" s="19"/>
      <c r="K28" s="2"/>
      <c r="L28" s="2">
        <f t="shared" si="0"/>
        <v>-3.9400000000000004</v>
      </c>
      <c r="M28" s="2"/>
      <c r="N28" s="19">
        <f t="shared" si="1"/>
        <v>-0.36179981634527092</v>
      </c>
      <c r="O28" s="11"/>
      <c r="P28" s="2">
        <f>--41.91</f>
        <v>41.91</v>
      </c>
      <c r="Q28" s="2"/>
      <c r="R28" s="19"/>
      <c r="S28" s="2"/>
      <c r="T28" s="2">
        <f>--132.64</f>
        <v>132.63999999999999</v>
      </c>
      <c r="U28" s="2"/>
      <c r="V28" s="19"/>
      <c r="W28" s="2"/>
      <c r="X28" s="2">
        <f t="shared" si="2"/>
        <v>-90.72999999999999</v>
      </c>
      <c r="Y28" s="2"/>
      <c r="Z28" s="19">
        <f t="shared" si="3"/>
        <v>-0.68403196622436668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-631.8</f>
        <v>-631.79999999999995</v>
      </c>
      <c r="E29" s="2"/>
      <c r="F29" s="19"/>
      <c r="G29" s="2"/>
      <c r="H29" s="2">
        <f>-1458.3</f>
        <v>-1458.3</v>
      </c>
      <c r="I29" s="2"/>
      <c r="J29" s="19"/>
      <c r="K29" s="2"/>
      <c r="L29" s="2">
        <f t="shared" si="0"/>
        <v>826.5</v>
      </c>
      <c r="M29" s="2"/>
      <c r="N29" s="19">
        <f t="shared" si="1"/>
        <v>-0.56675581156140709</v>
      </c>
      <c r="O29" s="11"/>
      <c r="P29" s="2">
        <f>-78730.37</f>
        <v>-78730.37</v>
      </c>
      <c r="Q29" s="2"/>
      <c r="R29" s="19"/>
      <c r="S29" s="2"/>
      <c r="T29" s="2">
        <f>-114020.87</f>
        <v>-114020.87</v>
      </c>
      <c r="U29" s="2"/>
      <c r="V29" s="19"/>
      <c r="W29" s="2"/>
      <c r="X29" s="2">
        <f t="shared" si="2"/>
        <v>35290.5</v>
      </c>
      <c r="Y29" s="2"/>
      <c r="Z29" s="19">
        <f t="shared" si="3"/>
        <v>-0.30950912758339766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-166.15</f>
        <v>-166.15</v>
      </c>
      <c r="E30" s="2"/>
      <c r="F30" s="19"/>
      <c r="G30" s="2"/>
      <c r="H30" s="2">
        <f>-493.55</f>
        <v>-493.55</v>
      </c>
      <c r="I30" s="2"/>
      <c r="J30" s="19"/>
      <c r="K30" s="2"/>
      <c r="L30" s="2">
        <f t="shared" si="0"/>
        <v>327.39999999999998</v>
      </c>
      <c r="M30" s="2"/>
      <c r="N30" s="19">
        <f t="shared" si="1"/>
        <v>-0.66335730928983883</v>
      </c>
      <c r="O30" s="11"/>
      <c r="P30" s="2">
        <f>-27208.35</f>
        <v>-27208.35</v>
      </c>
      <c r="Q30" s="2"/>
      <c r="R30" s="19"/>
      <c r="S30" s="2"/>
      <c r="T30" s="2">
        <f>-29961.95</f>
        <v>-29961.95</v>
      </c>
      <c r="U30" s="2"/>
      <c r="V30" s="19"/>
      <c r="W30" s="2"/>
      <c r="X30" s="2">
        <f t="shared" si="2"/>
        <v>2753.6000000000022</v>
      </c>
      <c r="Y30" s="2"/>
      <c r="Z30" s="19">
        <f t="shared" si="3"/>
        <v>-9.1903230597474531E-2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3" si="4"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>
        <f>-1699.5</f>
        <v>-1699.5</v>
      </c>
      <c r="U31" s="2"/>
      <c r="V31" s="19"/>
      <c r="W31" s="2"/>
      <c r="X31" s="2">
        <f t="shared" si="2"/>
        <v>1554.51</v>
      </c>
      <c r="Y31" s="2"/>
      <c r="Z31" s="19">
        <f t="shared" si="3"/>
        <v>-0.9146866725507502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4"/>
        <v>0</v>
      </c>
      <c r="E32" s="2"/>
      <c r="F32" s="19"/>
      <c r="G32" s="2"/>
      <c r="H32" s="2">
        <f>-56.78</f>
        <v>-56.78</v>
      </c>
      <c r="I32" s="2"/>
      <c r="J32" s="19"/>
      <c r="K32" s="2"/>
      <c r="L32" s="2">
        <f t="shared" si="0"/>
        <v>56.78</v>
      </c>
      <c r="M32" s="2"/>
      <c r="N32" s="19">
        <f t="shared" si="1"/>
        <v>-1</v>
      </c>
      <c r="O32" s="11"/>
      <c r="P32" s="2">
        <f>-11369.46</f>
        <v>-11369.46</v>
      </c>
      <c r="Q32" s="2"/>
      <c r="R32" s="19"/>
      <c r="S32" s="2"/>
      <c r="T32" s="2">
        <f>-16043.85</f>
        <v>-16043.85</v>
      </c>
      <c r="U32" s="2"/>
      <c r="V32" s="19"/>
      <c r="W32" s="2"/>
      <c r="X32" s="2">
        <f t="shared" si="2"/>
        <v>4674.3900000000012</v>
      </c>
      <c r="Y32" s="2"/>
      <c r="Z32" s="19">
        <f t="shared" si="3"/>
        <v>-0.29135089146308407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 t="shared" si="4"/>
        <v>0</v>
      </c>
      <c r="E33" s="2"/>
      <c r="F33" s="19"/>
      <c r="G33" s="2"/>
      <c r="H33" s="2">
        <f t="shared" ref="H33:H34" si="5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-102.71</f>
        <v>-102.71</v>
      </c>
      <c r="Q33" s="2"/>
      <c r="R33" s="19"/>
      <c r="S33" s="2"/>
      <c r="T33" s="2">
        <f>-96.96</f>
        <v>-96.96</v>
      </c>
      <c r="U33" s="2"/>
      <c r="V33" s="19"/>
      <c r="W33" s="2"/>
      <c r="X33" s="2">
        <f t="shared" si="2"/>
        <v>-5.75</v>
      </c>
      <c r="Y33" s="2"/>
      <c r="Z33" s="19">
        <f t="shared" si="3"/>
        <v>5.9302805280528059E-2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>-11.94</f>
        <v>-11.94</v>
      </c>
      <c r="E34" s="2"/>
      <c r="F34" s="19"/>
      <c r="G34" s="2"/>
      <c r="H34" s="2">
        <f t="shared" si="5"/>
        <v>0</v>
      </c>
      <c r="I34" s="2"/>
      <c r="J34" s="19"/>
      <c r="K34" s="2"/>
      <c r="L34" s="2">
        <f t="shared" si="0"/>
        <v>-11.94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>
        <f>-3.95</f>
        <v>-3.95</v>
      </c>
      <c r="U34" s="2"/>
      <c r="V34" s="19"/>
      <c r="W34" s="2"/>
      <c r="X34" s="2">
        <f t="shared" si="2"/>
        <v>-7.9899999999999993</v>
      </c>
      <c r="Y34" s="2"/>
      <c r="Z34" s="19">
        <f t="shared" si="3"/>
        <v>2.022784810126582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ref="D35:D36" si="6">0</f>
        <v>0</v>
      </c>
      <c r="E35" s="2"/>
      <c r="F35" s="19"/>
      <c r="G35" s="2"/>
      <c r="H35" s="2">
        <f>-16.9</f>
        <v>-16.899999999999999</v>
      </c>
      <c r="I35" s="2"/>
      <c r="J35" s="19"/>
      <c r="K35" s="2"/>
      <c r="L35" s="2">
        <f t="shared" si="0"/>
        <v>16.899999999999999</v>
      </c>
      <c r="M35" s="2"/>
      <c r="N35" s="19">
        <f t="shared" si="1"/>
        <v>-1</v>
      </c>
      <c r="O35" s="11"/>
      <c r="P35" s="2">
        <f>-32.75</f>
        <v>-32.75</v>
      </c>
      <c r="Q35" s="2"/>
      <c r="R35" s="19"/>
      <c r="S35" s="2"/>
      <c r="T35" s="2">
        <f>-39.8</f>
        <v>-39.799999999999997</v>
      </c>
      <c r="U35" s="2"/>
      <c r="V35" s="19"/>
      <c r="W35" s="2"/>
      <c r="X35" s="2">
        <f t="shared" si="2"/>
        <v>7.0499999999999972</v>
      </c>
      <c r="Y35" s="2"/>
      <c r="Z35" s="19">
        <f t="shared" si="3"/>
        <v>-0.17713567839195973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6"/>
        <v>0</v>
      </c>
      <c r="E36" s="2"/>
      <c r="F36" s="19"/>
      <c r="G36" s="2"/>
      <c r="H36" s="2">
        <f>-5102.08</f>
        <v>-5102.08</v>
      </c>
      <c r="I36" s="2"/>
      <c r="J36" s="19"/>
      <c r="K36" s="2"/>
      <c r="L36" s="2">
        <f t="shared" si="0"/>
        <v>5102.08</v>
      </c>
      <c r="M36" s="2"/>
      <c r="N36" s="19">
        <f t="shared" si="1"/>
        <v>-1</v>
      </c>
      <c r="O36" s="11"/>
      <c r="P36" s="2">
        <f>-12310.98</f>
        <v>-12310.98</v>
      </c>
      <c r="Q36" s="2"/>
      <c r="R36" s="19"/>
      <c r="S36" s="2"/>
      <c r="T36" s="2">
        <f>-30135.07</f>
        <v>-30135.07</v>
      </c>
      <c r="U36" s="2"/>
      <c r="V36" s="19"/>
      <c r="W36" s="2"/>
      <c r="X36" s="2">
        <f t="shared" si="2"/>
        <v>17824.09</v>
      </c>
      <c r="Y36" s="2"/>
      <c r="Z36" s="19">
        <f t="shared" si="3"/>
        <v>-0.59147332327417856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-14.1</f>
        <v>-14.1</v>
      </c>
      <c r="E37" s="2"/>
      <c r="F37" s="19"/>
      <c r="G37" s="2"/>
      <c r="H37" s="2">
        <f>-307.4</f>
        <v>-307.39999999999998</v>
      </c>
      <c r="I37" s="2"/>
      <c r="J37" s="19"/>
      <c r="K37" s="2"/>
      <c r="L37" s="2">
        <f t="shared" si="0"/>
        <v>293.29999999999995</v>
      </c>
      <c r="M37" s="2"/>
      <c r="N37" s="19">
        <f t="shared" si="1"/>
        <v>-0.9541314248536108</v>
      </c>
      <c r="O37" s="11"/>
      <c r="P37" s="2">
        <f>-697.9</f>
        <v>-697.9</v>
      </c>
      <c r="Q37" s="2"/>
      <c r="R37" s="19"/>
      <c r="S37" s="2"/>
      <c r="T37" s="2">
        <f>-2513.44</f>
        <v>-2513.44</v>
      </c>
      <c r="U37" s="2"/>
      <c r="V37" s="19"/>
      <c r="W37" s="2"/>
      <c r="X37" s="2">
        <f t="shared" si="2"/>
        <v>1815.54</v>
      </c>
      <c r="Y37" s="2"/>
      <c r="Z37" s="19">
        <f t="shared" si="3"/>
        <v>-0.72233273919409258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>
        <f t="shared" ref="H38:H39" si="7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>
        <f>-509.85</f>
        <v>-509.85</v>
      </c>
      <c r="U38" s="2"/>
      <c r="V38" s="19"/>
      <c r="W38" s="2"/>
      <c r="X38" s="2">
        <f t="shared" si="2"/>
        <v>324.86</v>
      </c>
      <c r="Y38" s="2"/>
      <c r="Z38" s="19">
        <f t="shared" si="3"/>
        <v>-0.63716779444934779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-226.45</f>
        <v>-226.45</v>
      </c>
      <c r="E39" s="2"/>
      <c r="F39" s="19"/>
      <c r="G39" s="2"/>
      <c r="H39" s="2">
        <f t="shared" si="7"/>
        <v>0</v>
      </c>
      <c r="I39" s="2"/>
      <c r="J39" s="19"/>
      <c r="K39" s="2"/>
      <c r="L39" s="2">
        <f t="shared" si="0"/>
        <v>-226.45</v>
      </c>
      <c r="M39" s="2"/>
      <c r="N39" s="19">
        <f t="shared" si="1"/>
        <v>0</v>
      </c>
      <c r="O39" s="11"/>
      <c r="P39" s="2">
        <f>-13430.32</f>
        <v>-13430.32</v>
      </c>
      <c r="Q39" s="2"/>
      <c r="R39" s="19"/>
      <c r="S39" s="2"/>
      <c r="T39" s="2">
        <f>-3743.75</f>
        <v>-3743.75</v>
      </c>
      <c r="U39" s="2"/>
      <c r="V39" s="19"/>
      <c r="W39" s="2"/>
      <c r="X39" s="2">
        <f t="shared" si="2"/>
        <v>-9686.57</v>
      </c>
      <c r="Y39" s="2"/>
      <c r="Z39" s="19">
        <f t="shared" si="3"/>
        <v>2.5873976627712856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0</f>
        <v>0</v>
      </c>
      <c r="E40" s="2"/>
      <c r="F40" s="19"/>
      <c r="G40" s="2"/>
      <c r="H40" s="2">
        <f>-22.98</f>
        <v>-22.98</v>
      </c>
      <c r="I40" s="2"/>
      <c r="J40" s="19"/>
      <c r="K40" s="2"/>
      <c r="L40" s="2">
        <f t="shared" si="0"/>
        <v>22.98</v>
      </c>
      <c r="M40" s="2"/>
      <c r="N40" s="19">
        <f t="shared" si="1"/>
        <v>-1</v>
      </c>
      <c r="O40" s="11"/>
      <c r="P40" s="2">
        <f>-387.96</f>
        <v>-387.96</v>
      </c>
      <c r="Q40" s="2"/>
      <c r="R40" s="19"/>
      <c r="S40" s="2"/>
      <c r="T40" s="2">
        <f>-609.26</f>
        <v>-609.26</v>
      </c>
      <c r="U40" s="2"/>
      <c r="V40" s="19"/>
      <c r="W40" s="2"/>
      <c r="X40" s="2">
        <f t="shared" si="2"/>
        <v>221.3</v>
      </c>
      <c r="Y40" s="2"/>
      <c r="Z40" s="19">
        <f t="shared" si="3"/>
        <v>-0.3632275219118275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8" t="s">
        <v>8</v>
      </c>
      <c r="C42" s="10"/>
      <c r="D42" s="4">
        <f>SUM(OSRRefD16x_0)</f>
        <v>32413.880000000019</v>
      </c>
      <c r="E42" s="4"/>
      <c r="F42" s="12">
        <f t="shared" ref="F42:F58" si="8">IF(D$12=0,0,D42/D$12)</f>
        <v>0.51288977765780353</v>
      </c>
      <c r="G42" s="4"/>
      <c r="H42" s="4">
        <f>SUM(OSRRefH16x_0)</f>
        <v>54756.780000000021</v>
      </c>
      <c r="I42" s="4"/>
      <c r="J42" s="12">
        <f t="shared" ref="J42:J58" si="9">IF(H$12=0,0,H42/H$12)</f>
        <v>0.68223421670582884</v>
      </c>
      <c r="K42" s="4"/>
      <c r="L42" s="4">
        <f t="shared" ref="L42:L58" si="10">+D42-H42</f>
        <v>-22342.9</v>
      </c>
      <c r="M42" s="4"/>
      <c r="N42" s="12">
        <f t="shared" ref="N42:N58" si="11">IF(H42=0,0,L42/H42)</f>
        <v>-0.40803896795976669</v>
      </c>
      <c r="O42" s="10"/>
      <c r="P42" s="4">
        <f>SUM(OSRRefP16x_0)</f>
        <v>2154515.8500000006</v>
      </c>
      <c r="Q42" s="4"/>
      <c r="R42" s="12">
        <f t="shared" ref="R42:R58" si="12">IF(P$12=0,0,P42/P$12)</f>
        <v>0.73276523341902422</v>
      </c>
      <c r="S42" s="4"/>
      <c r="T42" s="4">
        <f>SUM(OSRRefT16x_0)</f>
        <v>2561413.16</v>
      </c>
      <c r="U42" s="4"/>
      <c r="V42" s="12">
        <f t="shared" ref="V42:V58" si="13">IF(T$12=0,0,T42/T$12)</f>
        <v>0.73633811690678497</v>
      </c>
      <c r="W42" s="4"/>
      <c r="X42" s="4">
        <f t="shared" ref="X42:X58" si="14">+P42-T42</f>
        <v>-406897.30999999959</v>
      </c>
      <c r="Y42" s="4"/>
      <c r="Z42" s="12">
        <f t="shared" ref="Z42:Z58" si="15">IF(T42=0,0,X42/T42)</f>
        <v>-0.15885657040974974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155219.06</v>
      </c>
      <c r="E43" s="2"/>
      <c r="F43" s="19">
        <f t="shared" si="8"/>
        <v>2.4560549114037942</v>
      </c>
      <c r="G43" s="2"/>
      <c r="H43" s="2">
        <v>435074.94</v>
      </c>
      <c r="I43" s="2"/>
      <c r="J43" s="19">
        <f t="shared" si="9"/>
        <v>5.4207535742466115</v>
      </c>
      <c r="K43" s="2"/>
      <c r="L43" s="2">
        <f t="shared" si="10"/>
        <v>-279855.88</v>
      </c>
      <c r="M43" s="2"/>
      <c r="N43" s="19">
        <f t="shared" si="11"/>
        <v>-0.64323603653200523</v>
      </c>
      <c r="O43" s="11"/>
      <c r="P43" s="2">
        <v>1737069.75</v>
      </c>
      <c r="Q43" s="2"/>
      <c r="R43" s="19">
        <f t="shared" si="12"/>
        <v>0.59078902613962003</v>
      </c>
      <c r="S43" s="2"/>
      <c r="T43" s="2">
        <v>2155732.5</v>
      </c>
      <c r="U43" s="2"/>
      <c r="V43" s="19">
        <f t="shared" si="13"/>
        <v>0.61971572348943338</v>
      </c>
      <c r="W43" s="2"/>
      <c r="X43" s="2">
        <f t="shared" si="14"/>
        <v>-418662.75</v>
      </c>
      <c r="Y43" s="2"/>
      <c r="Z43" s="19">
        <f t="shared" si="15"/>
        <v>-0.1942090449533975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40274.950000000004</v>
      </c>
      <c r="E44" s="2"/>
      <c r="F44" s="19">
        <f t="shared" si="8"/>
        <v>0.63727668982174135</v>
      </c>
      <c r="G44" s="2"/>
      <c r="H44" s="2">
        <v>-55954.86</v>
      </c>
      <c r="I44" s="2"/>
      <c r="J44" s="19">
        <f t="shared" si="9"/>
        <v>-0.69716152197014325</v>
      </c>
      <c r="K44" s="2"/>
      <c r="L44" s="2">
        <f t="shared" si="10"/>
        <v>96229.81</v>
      </c>
      <c r="M44" s="2"/>
      <c r="N44" s="19">
        <f t="shared" si="11"/>
        <v>-1.7197757263622855</v>
      </c>
      <c r="O44" s="11"/>
      <c r="P44" s="2">
        <v>252522.85</v>
      </c>
      <c r="Q44" s="2"/>
      <c r="R44" s="19">
        <f t="shared" si="12"/>
        <v>8.5884708215948929E-2</v>
      </c>
      <c r="S44" s="2"/>
      <c r="T44" s="2">
        <v>252363.15000000002</v>
      </c>
      <c r="U44" s="2"/>
      <c r="V44" s="19">
        <f t="shared" si="13"/>
        <v>7.254768951357482E-2</v>
      </c>
      <c r="W44" s="2"/>
      <c r="X44" s="2">
        <f t="shared" si="14"/>
        <v>159.69999999998254</v>
      </c>
      <c r="Y44" s="2"/>
      <c r="Z44" s="19">
        <f t="shared" si="15"/>
        <v>6.3281822247020821E-4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8"/>
        <v>0</v>
      </c>
      <c r="G45" s="2"/>
      <c r="H45" s="2">
        <v>9907.4500000000007</v>
      </c>
      <c r="I45" s="2"/>
      <c r="J45" s="19">
        <f t="shared" si="9"/>
        <v>0.12344044683237697</v>
      </c>
      <c r="K45" s="2"/>
      <c r="L45" s="2">
        <f t="shared" si="10"/>
        <v>-9907.4500000000007</v>
      </c>
      <c r="M45" s="2"/>
      <c r="N45" s="19">
        <f t="shared" si="11"/>
        <v>-1</v>
      </c>
      <c r="O45" s="11"/>
      <c r="P45" s="2">
        <v>-78.400000000000006</v>
      </c>
      <c r="Q45" s="2"/>
      <c r="R45" s="19">
        <f t="shared" si="12"/>
        <v>-2.6664363736312958E-5</v>
      </c>
      <c r="S45" s="2"/>
      <c r="T45" s="2">
        <v>8143.75</v>
      </c>
      <c r="U45" s="2"/>
      <c r="V45" s="19">
        <f t="shared" si="13"/>
        <v>2.3411113963198462E-3</v>
      </c>
      <c r="W45" s="2"/>
      <c r="X45" s="2">
        <f t="shared" si="14"/>
        <v>-8222.15</v>
      </c>
      <c r="Y45" s="2"/>
      <c r="Z45" s="19">
        <f t="shared" si="15"/>
        <v>-1.0096270145817343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31572.300000000003</v>
      </c>
      <c r="E46" s="2"/>
      <c r="F46" s="19">
        <f t="shared" si="8"/>
        <v>0.49957332868343635</v>
      </c>
      <c r="G46" s="2"/>
      <c r="H46" s="2">
        <v>25639.57</v>
      </c>
      <c r="I46" s="2"/>
      <c r="J46" s="19">
        <f t="shared" si="9"/>
        <v>0.31945253091259679</v>
      </c>
      <c r="K46" s="2"/>
      <c r="L46" s="2">
        <f t="shared" si="10"/>
        <v>5932.7300000000032</v>
      </c>
      <c r="M46" s="2"/>
      <c r="N46" s="19">
        <f t="shared" si="11"/>
        <v>0.23138960598793207</v>
      </c>
      <c r="O46" s="11"/>
      <c r="P46" s="2">
        <v>354352.27</v>
      </c>
      <c r="Q46" s="2"/>
      <c r="R46" s="19">
        <f t="shared" si="12"/>
        <v>0.12051757421005328</v>
      </c>
      <c r="S46" s="2"/>
      <c r="T46" s="2">
        <v>332594.94</v>
      </c>
      <c r="U46" s="2"/>
      <c r="V46" s="19">
        <f t="shared" si="13"/>
        <v>9.561219393919454E-2</v>
      </c>
      <c r="W46" s="2"/>
      <c r="X46" s="2">
        <f t="shared" si="14"/>
        <v>21757.330000000016</v>
      </c>
      <c r="Y46" s="2"/>
      <c r="Z46" s="19">
        <f t="shared" si="15"/>
        <v>6.5416900209005036E-2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1161</v>
      </c>
      <c r="E47" s="2"/>
      <c r="F47" s="19">
        <f t="shared" si="8"/>
        <v>1.8370680457282792E-2</v>
      </c>
      <c r="G47" s="2"/>
      <c r="H47" s="2">
        <v>-264</v>
      </c>
      <c r="I47" s="2"/>
      <c r="J47" s="19">
        <f t="shared" si="9"/>
        <v>-3.2892699901334367E-3</v>
      </c>
      <c r="K47" s="2"/>
      <c r="L47" s="2">
        <f t="shared" si="10"/>
        <v>1425</v>
      </c>
      <c r="M47" s="2"/>
      <c r="N47" s="19">
        <f t="shared" si="11"/>
        <v>-5.3977272727272725</v>
      </c>
      <c r="O47" s="11"/>
      <c r="P47" s="2">
        <v>4902</v>
      </c>
      <c r="Q47" s="2"/>
      <c r="R47" s="19">
        <f t="shared" si="12"/>
        <v>1.66720294688018E-3</v>
      </c>
      <c r="S47" s="2"/>
      <c r="T47" s="2">
        <v>2574</v>
      </c>
      <c r="U47" s="2"/>
      <c r="V47" s="19">
        <f t="shared" si="13"/>
        <v>7.3995649843466274E-4</v>
      </c>
      <c r="W47" s="2"/>
      <c r="X47" s="2">
        <f t="shared" si="14"/>
        <v>2328</v>
      </c>
      <c r="Y47" s="2"/>
      <c r="Z47" s="19">
        <f t="shared" si="15"/>
        <v>0.90442890442890445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37.17</v>
      </c>
      <c r="E48" s="2"/>
      <c r="F48" s="19">
        <f t="shared" si="8"/>
        <v>5.8814659138432509E-4</v>
      </c>
      <c r="G48" s="2"/>
      <c r="H48" s="2"/>
      <c r="I48" s="2"/>
      <c r="J48" s="19">
        <f t="shared" si="9"/>
        <v>0</v>
      </c>
      <c r="K48" s="2"/>
      <c r="L48" s="2">
        <f t="shared" si="10"/>
        <v>37.17</v>
      </c>
      <c r="M48" s="2"/>
      <c r="N48" s="19">
        <f t="shared" si="11"/>
        <v>0</v>
      </c>
      <c r="O48" s="11"/>
      <c r="P48" s="2">
        <v>735.31</v>
      </c>
      <c r="Q48" s="2"/>
      <c r="R48" s="19">
        <f t="shared" si="12"/>
        <v>2.5008384309883007E-4</v>
      </c>
      <c r="S48" s="2"/>
      <c r="T48" s="2">
        <v>1406.94</v>
      </c>
      <c r="U48" s="2"/>
      <c r="V48" s="19">
        <f t="shared" si="13"/>
        <v>4.0445780726793489E-4</v>
      </c>
      <c r="W48" s="2"/>
      <c r="X48" s="2">
        <f t="shared" si="14"/>
        <v>-671.63000000000011</v>
      </c>
      <c r="Y48" s="2"/>
      <c r="Z48" s="19">
        <f t="shared" si="15"/>
        <v>-0.47736932633943174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56.98</v>
      </c>
      <c r="E49" s="2"/>
      <c r="F49" s="19">
        <f t="shared" si="8"/>
        <v>9.016032493160839E-4</v>
      </c>
      <c r="G49" s="2"/>
      <c r="H49" s="2">
        <v>52.76</v>
      </c>
      <c r="I49" s="2"/>
      <c r="J49" s="19">
        <f t="shared" si="9"/>
        <v>6.5735562378575795E-4</v>
      </c>
      <c r="K49" s="2"/>
      <c r="L49" s="2">
        <f t="shared" si="10"/>
        <v>4.2199999999999989</v>
      </c>
      <c r="M49" s="2"/>
      <c r="N49" s="19">
        <f t="shared" si="11"/>
        <v>7.9984836997725531E-2</v>
      </c>
      <c r="O49" s="11"/>
      <c r="P49" s="2">
        <v>499.33</v>
      </c>
      <c r="Q49" s="2"/>
      <c r="R49" s="19">
        <f t="shared" si="12"/>
        <v>1.6982546867924932E-4</v>
      </c>
      <c r="S49" s="2"/>
      <c r="T49" s="2">
        <v>787.96</v>
      </c>
      <c r="U49" s="2"/>
      <c r="V49" s="19">
        <f t="shared" si="13"/>
        <v>2.2651753011133523E-4</v>
      </c>
      <c r="W49" s="2"/>
      <c r="X49" s="2">
        <f t="shared" si="14"/>
        <v>-288.63000000000005</v>
      </c>
      <c r="Y49" s="2"/>
      <c r="Z49" s="19">
        <f t="shared" si="15"/>
        <v>-0.36630031981318856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>
        <v>196.31</v>
      </c>
      <c r="E50" s="2"/>
      <c r="F50" s="19">
        <f t="shared" si="8"/>
        <v>3.1062431357185057E-3</v>
      </c>
      <c r="G50" s="2"/>
      <c r="H50" s="2">
        <v>1051.22</v>
      </c>
      <c r="I50" s="2"/>
      <c r="J50" s="19">
        <f t="shared" si="9"/>
        <v>1.3097524238742693E-2</v>
      </c>
      <c r="K50" s="2"/>
      <c r="L50" s="2">
        <f t="shared" si="10"/>
        <v>-854.91000000000008</v>
      </c>
      <c r="M50" s="2"/>
      <c r="N50" s="19">
        <f t="shared" si="11"/>
        <v>-0.81325507505564965</v>
      </c>
      <c r="O50" s="11"/>
      <c r="P50" s="2">
        <v>998.4</v>
      </c>
      <c r="Q50" s="2"/>
      <c r="R50" s="19">
        <f t="shared" si="12"/>
        <v>3.3956250962161803E-4</v>
      </c>
      <c r="S50" s="2"/>
      <c r="T50" s="2">
        <v>2085.77</v>
      </c>
      <c r="U50" s="2"/>
      <c r="V50" s="19">
        <f t="shared" si="13"/>
        <v>5.9960336664338241E-4</v>
      </c>
      <c r="W50" s="2"/>
      <c r="X50" s="2">
        <f t="shared" si="14"/>
        <v>-1087.3699999999999</v>
      </c>
      <c r="Y50" s="2"/>
      <c r="Z50" s="19">
        <f t="shared" si="15"/>
        <v>-0.52132785494086109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-247490</v>
      </c>
      <c r="E51" s="2"/>
      <c r="F51" s="19">
        <f t="shared" si="8"/>
        <v>-3.9160720985124189</v>
      </c>
      <c r="G51" s="2"/>
      <c r="H51" s="2">
        <v>-423776</v>
      </c>
      <c r="I51" s="2"/>
      <c r="J51" s="19">
        <f t="shared" si="9"/>
        <v>-5.2799760581014663</v>
      </c>
      <c r="K51" s="2"/>
      <c r="L51" s="2">
        <f t="shared" si="10"/>
        <v>176286</v>
      </c>
      <c r="M51" s="2"/>
      <c r="N51" s="19">
        <f t="shared" si="11"/>
        <v>-0.4159886355055501</v>
      </c>
      <c r="O51" s="11"/>
      <c r="P51" s="2">
        <v>-1728365</v>
      </c>
      <c r="Q51" s="2"/>
      <c r="R51" s="19">
        <f t="shared" si="12"/>
        <v>-0.58782848251419062</v>
      </c>
      <c r="S51" s="2"/>
      <c r="T51" s="2">
        <v>-2012774.0000000002</v>
      </c>
      <c r="U51" s="2"/>
      <c r="V51" s="19">
        <f t="shared" si="13"/>
        <v>-0.5786189592775175</v>
      </c>
      <c r="W51" s="2"/>
      <c r="X51" s="2">
        <f t="shared" si="14"/>
        <v>284409.00000000023</v>
      </c>
      <c r="Y51" s="2"/>
      <c r="Z51" s="19">
        <f t="shared" si="15"/>
        <v>-0.14130200409981458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46642.47</v>
      </c>
      <c r="E52" s="2"/>
      <c r="F52" s="19">
        <f t="shared" si="8"/>
        <v>0.73803093204857795</v>
      </c>
      <c r="G52" s="2"/>
      <c r="H52" s="2">
        <v>60800</v>
      </c>
      <c r="I52" s="2"/>
      <c r="J52" s="19">
        <f t="shared" si="9"/>
        <v>0.75752884621254901</v>
      </c>
      <c r="K52" s="2"/>
      <c r="L52" s="2">
        <f t="shared" si="10"/>
        <v>-14157.529999999999</v>
      </c>
      <c r="M52" s="2"/>
      <c r="N52" s="19">
        <f t="shared" si="11"/>
        <v>-0.23285411184210525</v>
      </c>
      <c r="O52" s="11"/>
      <c r="P52" s="2">
        <v>1485407.4700000002</v>
      </c>
      <c r="Q52" s="2"/>
      <c r="R52" s="19">
        <f t="shared" si="12"/>
        <v>0.50519700352954566</v>
      </c>
      <c r="S52" s="2"/>
      <c r="T52" s="2">
        <v>1771544</v>
      </c>
      <c r="U52" s="2"/>
      <c r="V52" s="19">
        <f t="shared" si="13"/>
        <v>0.50927175410370484</v>
      </c>
      <c r="W52" s="2"/>
      <c r="X52" s="2">
        <f t="shared" si="14"/>
        <v>-286136.5299999998</v>
      </c>
      <c r="Y52" s="2"/>
      <c r="Z52" s="19">
        <f t="shared" si="15"/>
        <v>-0.16151816155850479</v>
      </c>
    </row>
    <row r="53" spans="1:26" s="24" customFormat="1" hidden="1" outlineLevel="1" x14ac:dyDescent="0.25">
      <c r="A53" s="44"/>
      <c r="B53" s="11" t="str">
        <f>CONCATENATE("          ", "5500", " - ", "FREIGHT-IN")</f>
        <v xml:space="preserve">          5500 - FREIGHT-IN</v>
      </c>
      <c r="C53" s="11"/>
      <c r="D53" s="2"/>
      <c r="E53" s="2"/>
      <c r="F53" s="19">
        <f t="shared" si="8"/>
        <v>0</v>
      </c>
      <c r="G53" s="2"/>
      <c r="H53" s="2">
        <v>10.5</v>
      </c>
      <c r="I53" s="2"/>
      <c r="J53" s="19">
        <f t="shared" si="9"/>
        <v>1.308232382439435E-4</v>
      </c>
      <c r="K53" s="2"/>
      <c r="L53" s="2">
        <f t="shared" si="10"/>
        <v>-10.5</v>
      </c>
      <c r="M53" s="2"/>
      <c r="N53" s="19">
        <f t="shared" si="11"/>
        <v>-1</v>
      </c>
      <c r="O53" s="11"/>
      <c r="P53" s="2"/>
      <c r="Q53" s="2"/>
      <c r="R53" s="19">
        <f t="shared" si="12"/>
        <v>0</v>
      </c>
      <c r="S53" s="2"/>
      <c r="T53" s="2">
        <v>10.5</v>
      </c>
      <c r="U53" s="2"/>
      <c r="V53" s="19">
        <f t="shared" si="13"/>
        <v>3.0184705647101625E-6</v>
      </c>
      <c r="W53" s="2"/>
      <c r="X53" s="2">
        <f t="shared" si="14"/>
        <v>-10.5</v>
      </c>
      <c r="Y53" s="2"/>
      <c r="Z53" s="19">
        <f t="shared" si="15"/>
        <v>-1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4162.3900000000003</v>
      </c>
      <c r="E54" s="2"/>
      <c r="F54" s="19">
        <f t="shared" si="8"/>
        <v>6.5862133185692784E-2</v>
      </c>
      <c r="G54" s="2"/>
      <c r="H54" s="2">
        <v>2096.16</v>
      </c>
      <c r="I54" s="2"/>
      <c r="J54" s="19">
        <f t="shared" si="9"/>
        <v>2.6116803721659483E-2</v>
      </c>
      <c r="K54" s="2"/>
      <c r="L54" s="2">
        <f t="shared" si="10"/>
        <v>2066.2300000000005</v>
      </c>
      <c r="M54" s="2"/>
      <c r="N54" s="19">
        <f t="shared" si="11"/>
        <v>0.98572150980841189</v>
      </c>
      <c r="O54" s="11"/>
      <c r="P54" s="2">
        <v>38669.939999999995</v>
      </c>
      <c r="Q54" s="2"/>
      <c r="R54" s="19">
        <f t="shared" si="12"/>
        <v>1.3151904921191298E-2</v>
      </c>
      <c r="S54" s="2"/>
      <c r="T54" s="2">
        <v>38895.120000000003</v>
      </c>
      <c r="U54" s="2"/>
      <c r="V54" s="19">
        <f t="shared" si="13"/>
        <v>1.1181311888654243E-2</v>
      </c>
      <c r="W54" s="2"/>
      <c r="X54" s="2">
        <f t="shared" si="14"/>
        <v>-225.18000000000757</v>
      </c>
      <c r="Y54" s="2"/>
      <c r="Z54" s="19">
        <f t="shared" si="15"/>
        <v>-5.7894152274117561E-3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563.29999999999995</v>
      </c>
      <c r="E55" s="2"/>
      <c r="F55" s="19">
        <f t="shared" si="8"/>
        <v>8.9131819996446128E-3</v>
      </c>
      <c r="G55" s="2"/>
      <c r="H55" s="2">
        <v>119.04</v>
      </c>
      <c r="I55" s="2"/>
      <c r="J55" s="19">
        <f t="shared" si="9"/>
        <v>1.4831617410056223E-3</v>
      </c>
      <c r="K55" s="2"/>
      <c r="L55" s="2">
        <f t="shared" si="10"/>
        <v>444.25999999999993</v>
      </c>
      <c r="M55" s="2"/>
      <c r="N55" s="19">
        <f t="shared" si="11"/>
        <v>3.7320228494623646</v>
      </c>
      <c r="O55" s="11"/>
      <c r="P55" s="2">
        <v>7653.42</v>
      </c>
      <c r="Q55" s="2"/>
      <c r="R55" s="19">
        <f t="shared" si="12"/>
        <v>2.6029792692190343E-3</v>
      </c>
      <c r="S55" s="2"/>
      <c r="T55" s="2">
        <v>7870.09</v>
      </c>
      <c r="U55" s="2"/>
      <c r="V55" s="19">
        <f t="shared" si="13"/>
        <v>2.2624414292018863E-3</v>
      </c>
      <c r="W55" s="2"/>
      <c r="X55" s="2">
        <f t="shared" si="14"/>
        <v>-216.67000000000007</v>
      </c>
      <c r="Y55" s="2"/>
      <c r="Z55" s="19">
        <f t="shared" si="15"/>
        <v>-2.7530816038952549E-2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/>
      <c r="E56" s="2"/>
      <c r="F56" s="19">
        <f t="shared" si="8"/>
        <v>0</v>
      </c>
      <c r="G56" s="2"/>
      <c r="H56" s="2"/>
      <c r="I56" s="2"/>
      <c r="J56" s="19">
        <f t="shared" si="9"/>
        <v>0</v>
      </c>
      <c r="K56" s="2"/>
      <c r="L56" s="2">
        <f t="shared" si="10"/>
        <v>0</v>
      </c>
      <c r="M56" s="2"/>
      <c r="N56" s="19">
        <f t="shared" si="11"/>
        <v>0</v>
      </c>
      <c r="O56" s="11"/>
      <c r="P56" s="2">
        <v>105.97</v>
      </c>
      <c r="Q56" s="2"/>
      <c r="R56" s="19">
        <f t="shared" si="12"/>
        <v>3.6041104912462807E-5</v>
      </c>
      <c r="S56" s="2"/>
      <c r="T56" s="2">
        <v>166.22</v>
      </c>
      <c r="U56" s="2"/>
      <c r="V56" s="19">
        <f t="shared" si="13"/>
        <v>4.7783826406297452E-5</v>
      </c>
      <c r="W56" s="2"/>
      <c r="X56" s="2">
        <f t="shared" si="14"/>
        <v>-60.25</v>
      </c>
      <c r="Y56" s="2"/>
      <c r="Z56" s="19">
        <f t="shared" si="15"/>
        <v>-0.36247142341475153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>
        <v>9.08</v>
      </c>
      <c r="E57" s="2"/>
      <c r="F57" s="19">
        <f t="shared" si="8"/>
        <v>1.4367422786574311E-4</v>
      </c>
      <c r="G57" s="2"/>
      <c r="H57" s="2"/>
      <c r="I57" s="2"/>
      <c r="J57" s="19">
        <f t="shared" si="9"/>
        <v>0</v>
      </c>
      <c r="K57" s="2"/>
      <c r="L57" s="2">
        <f t="shared" si="10"/>
        <v>9.08</v>
      </c>
      <c r="M57" s="2"/>
      <c r="N57" s="19">
        <f t="shared" si="11"/>
        <v>0</v>
      </c>
      <c r="O57" s="11"/>
      <c r="P57" s="2">
        <v>21.41</v>
      </c>
      <c r="Q57" s="2"/>
      <c r="R57" s="19">
        <f t="shared" si="12"/>
        <v>7.2816840254395458E-6</v>
      </c>
      <c r="S57" s="2"/>
      <c r="T57" s="2">
        <v>12.22</v>
      </c>
      <c r="U57" s="2"/>
      <c r="V57" s="19">
        <f t="shared" si="13"/>
        <v>3.512924790548399E-6</v>
      </c>
      <c r="W57" s="2"/>
      <c r="X57" s="2">
        <f t="shared" si="14"/>
        <v>9.19</v>
      </c>
      <c r="Y57" s="2"/>
      <c r="Z57" s="19">
        <f t="shared" si="15"/>
        <v>0.7520458265139115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>
        <v>8.8699999999999992</v>
      </c>
      <c r="E58" s="2"/>
      <c r="F58" s="19">
        <f t="shared" si="8"/>
        <v>1.4035136576752658E-4</v>
      </c>
      <c r="G58" s="2"/>
      <c r="H58" s="2"/>
      <c r="I58" s="2"/>
      <c r="J58" s="19">
        <f t="shared" si="9"/>
        <v>0</v>
      </c>
      <c r="K58" s="2"/>
      <c r="L58" s="2">
        <f t="shared" si="10"/>
        <v>8.8699999999999992</v>
      </c>
      <c r="M58" s="2"/>
      <c r="N58" s="19">
        <f t="shared" si="11"/>
        <v>0</v>
      </c>
      <c r="O58" s="11"/>
      <c r="P58" s="2">
        <v>21.13</v>
      </c>
      <c r="Q58" s="2"/>
      <c r="R58" s="19">
        <f t="shared" si="12"/>
        <v>7.1864541549527131E-6</v>
      </c>
      <c r="S58" s="2"/>
      <c r="T58" s="2"/>
      <c r="U58" s="2"/>
      <c r="V58" s="19">
        <f t="shared" si="13"/>
        <v>0</v>
      </c>
      <c r="W58" s="2"/>
      <c r="X58" s="2">
        <f t="shared" si="14"/>
        <v>21.13</v>
      </c>
      <c r="Y58" s="2"/>
      <c r="Z58" s="19">
        <f t="shared" si="15"/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6</v>
      </c>
      <c r="C60" s="29"/>
      <c r="D60" s="20">
        <f>D12-D42</f>
        <v>30784.649999999965</v>
      </c>
      <c r="E60" s="14"/>
      <c r="F60" s="21">
        <f>IF(D$12=0,0,D60/D$12)</f>
        <v>0.48711022234219647</v>
      </c>
      <c r="G60" s="14"/>
      <c r="H60" s="20">
        <f>H12-H42</f>
        <v>25504.189999999966</v>
      </c>
      <c r="I60" s="14"/>
      <c r="J60" s="21">
        <f>IF(H$12=0,0,H60/H$12)</f>
        <v>0.31776578329417116</v>
      </c>
      <c r="K60" s="15"/>
      <c r="L60" s="20">
        <f>+D60-H60</f>
        <v>5280.4599999999991</v>
      </c>
      <c r="M60" s="15"/>
      <c r="N60" s="21">
        <f>IF(H60=0,0,L60/H60)</f>
        <v>0.2070428427642676</v>
      </c>
      <c r="O60" s="28"/>
      <c r="P60" s="20">
        <f>P12-P42</f>
        <v>785738.0699999989</v>
      </c>
      <c r="Q60" s="14"/>
      <c r="R60" s="21">
        <f>IF(P$12=0,0,P60/P$12)</f>
        <v>0.26723476658097578</v>
      </c>
      <c r="S60" s="14"/>
      <c r="T60" s="20">
        <f>T12-T42</f>
        <v>917169.71000000043</v>
      </c>
      <c r="U60" s="14"/>
      <c r="V60" s="21">
        <f>IF(T$12=0,0,T60/T$12)</f>
        <v>0.26366188309321498</v>
      </c>
      <c r="W60" s="15"/>
      <c r="X60" s="20">
        <f>+P60-T60</f>
        <v>-131431.64000000153</v>
      </c>
      <c r="Y60" s="15"/>
      <c r="Z60" s="21">
        <f>IF(T60=0,0,X60/T60)</f>
        <v>-0.14330133078642715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8" t="s">
        <v>9</v>
      </c>
      <c r="C62" s="10"/>
      <c r="D62" s="22">
        <f>SUM(OSRRefD22x_0)</f>
        <v>46337.939999999988</v>
      </c>
      <c r="E62" s="22"/>
      <c r="F62" s="33">
        <f t="shared" ref="F62:F72" si="16">IF(D$12=0,0,D62/D$12)</f>
        <v>0.73321230731157827</v>
      </c>
      <c r="G62" s="22"/>
      <c r="H62" s="22">
        <f>SUM(OSRRefH22x_0)</f>
        <v>53273.570000000007</v>
      </c>
      <c r="I62" s="22"/>
      <c r="J62" s="33">
        <f t="shared" ref="J62:J72" si="17">IF(H$12=0,0,H62/H$12)</f>
        <v>0.6637543752586097</v>
      </c>
      <c r="K62" s="4"/>
      <c r="L62" s="22">
        <f t="shared" ref="L62:L72" si="18">+D62-H62</f>
        <v>-6935.6300000000192</v>
      </c>
      <c r="M62" s="4"/>
      <c r="N62" s="33">
        <f t="shared" ref="N62:N72" si="19">IF(H62=0,0,L62/H62)</f>
        <v>-0.13018894735231781</v>
      </c>
      <c r="O62" s="10"/>
      <c r="P62" s="22">
        <f>SUM(OSRRefP22x_0)</f>
        <v>255586.98999999993</v>
      </c>
      <c r="Q62" s="22"/>
      <c r="R62" s="33">
        <f t="shared" ref="R62:R72" si="20">IF(P$12=0,0,P62/P$12)</f>
        <v>8.6926842699354342E-2</v>
      </c>
      <c r="S62" s="22"/>
      <c r="T62" s="22">
        <f>SUM(OSRRefT22x_0)</f>
        <v>352450.75999999995</v>
      </c>
      <c r="U62" s="22"/>
      <c r="V62" s="33">
        <f t="shared" ref="V62:V72" si="21">IF(T$12=0,0,T62/T$12)</f>
        <v>0.10132021376854532</v>
      </c>
      <c r="W62" s="4"/>
      <c r="X62" s="22">
        <f t="shared" ref="X62:X72" si="22">+P62-T62</f>
        <v>-96863.770000000019</v>
      </c>
      <c r="Y62" s="4"/>
      <c r="Z62" s="33">
        <f t="shared" ref="Z62:Z72" si="23">IF(T62=0,0,X62/T62)</f>
        <v>-0.27482922720892994</v>
      </c>
    </row>
    <row r="63" spans="1:26" s="27" customFormat="1" outlineLevel="1" collapsed="1" x14ac:dyDescent="0.25">
      <c r="A63" s="25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9543.23</v>
      </c>
      <c r="E63" s="1"/>
      <c r="F63" s="5">
        <f t="shared" si="16"/>
        <v>0.15100398695982331</v>
      </c>
      <c r="G63" s="1"/>
      <c r="H63" s="1">
        <f>SUM(OSRRefH22_0x_0)</f>
        <v>11923.92</v>
      </c>
      <c r="I63" s="1"/>
      <c r="J63" s="5">
        <f t="shared" si="17"/>
        <v>0.14856436447254504</v>
      </c>
      <c r="K63" s="1"/>
      <c r="L63" s="1">
        <f t="shared" si="18"/>
        <v>-2380.6900000000005</v>
      </c>
      <c r="M63" s="1"/>
      <c r="N63" s="5">
        <f t="shared" si="19"/>
        <v>-0.19965665653577017</v>
      </c>
      <c r="O63" s="13"/>
      <c r="P63" s="1">
        <f>SUM(OSRRefP22_0x_0)</f>
        <v>60890.789999999994</v>
      </c>
      <c r="Q63" s="1"/>
      <c r="R63" s="5">
        <f t="shared" si="20"/>
        <v>2.0709364448360298E-2</v>
      </c>
      <c r="S63" s="1"/>
      <c r="T63" s="1">
        <f>SUM(OSRRefT22_0x_0)</f>
        <v>76473.03</v>
      </c>
      <c r="U63" s="1"/>
      <c r="V63" s="5">
        <f t="shared" si="21"/>
        <v>2.1983960957066402E-2</v>
      </c>
      <c r="W63" s="1"/>
      <c r="X63" s="1">
        <f t="shared" si="22"/>
        <v>-15582.240000000005</v>
      </c>
      <c r="Y63" s="1"/>
      <c r="Z63" s="5">
        <f t="shared" si="23"/>
        <v>-0.20376124759277886</v>
      </c>
    </row>
    <row r="64" spans="1:26" s="24" customFormat="1" hidden="1" outlineLevel="2" x14ac:dyDescent="0.25">
      <c r="A64" s="26"/>
      <c r="B64" s="11" t="str">
        <f>CONCATENATE("          ", "6111", " - ", "F.I.C.A.")</f>
        <v xml:space="preserve">          6111 - F.I.C.A.</v>
      </c>
      <c r="C64" s="11"/>
      <c r="D64" s="6">
        <v>1559.53</v>
      </c>
      <c r="E64" s="2"/>
      <c r="F64" s="7">
        <f t="shared" si="16"/>
        <v>2.4676681562055325E-2</v>
      </c>
      <c r="G64" s="2"/>
      <c r="H64" s="6">
        <v>1837.64</v>
      </c>
      <c r="I64" s="2"/>
      <c r="J64" s="7">
        <f t="shared" si="17"/>
        <v>2.2895811002533364E-2</v>
      </c>
      <c r="K64" s="2"/>
      <c r="L64" s="6">
        <f t="shared" si="18"/>
        <v>-278.11000000000013</v>
      </c>
      <c r="M64" s="2"/>
      <c r="N64" s="7">
        <f t="shared" si="19"/>
        <v>-0.1513408502209356</v>
      </c>
      <c r="O64" s="11"/>
      <c r="P64" s="6">
        <v>10634.91</v>
      </c>
      <c r="Q64" s="2"/>
      <c r="R64" s="7">
        <f t="shared" si="20"/>
        <v>3.6170039354968368E-3</v>
      </c>
      <c r="S64" s="2"/>
      <c r="T64" s="6">
        <v>12551.79</v>
      </c>
      <c r="U64" s="2"/>
      <c r="V64" s="7">
        <f t="shared" si="21"/>
        <v>3.6083055856593691E-3</v>
      </c>
      <c r="W64" s="2"/>
      <c r="X64" s="6">
        <f t="shared" si="22"/>
        <v>-1916.880000000001</v>
      </c>
      <c r="Y64" s="2"/>
      <c r="Z64" s="7">
        <f t="shared" si="23"/>
        <v>-0.15271766019029961</v>
      </c>
    </row>
    <row r="65" spans="1:26" s="24" customFormat="1" hidden="1" outlineLevel="2" x14ac:dyDescent="0.25">
      <c r="A65" s="26"/>
      <c r="B65" s="11" t="str">
        <f>CONCATENATE("          ", "6112", " - ", "COMPENSATION INSURANCE")</f>
        <v xml:space="preserve">          6112 - COMPENSATION INSURANCE</v>
      </c>
      <c r="C65" s="11"/>
      <c r="D65" s="6">
        <v>115.27</v>
      </c>
      <c r="E65" s="2"/>
      <c r="F65" s="7">
        <f t="shared" si="16"/>
        <v>1.8239348288638995E-3</v>
      </c>
      <c r="G65" s="2"/>
      <c r="H65" s="6">
        <v>120.08</v>
      </c>
      <c r="I65" s="2"/>
      <c r="J65" s="7">
        <f t="shared" si="17"/>
        <v>1.4961194712697842E-3</v>
      </c>
      <c r="K65" s="2"/>
      <c r="L65" s="6">
        <f t="shared" si="18"/>
        <v>-4.8100000000000023</v>
      </c>
      <c r="M65" s="2"/>
      <c r="N65" s="7">
        <f t="shared" si="19"/>
        <v>-4.0056628914057313E-2</v>
      </c>
      <c r="O65" s="11"/>
      <c r="P65" s="6">
        <v>383.33</v>
      </c>
      <c r="Q65" s="2"/>
      <c r="R65" s="7">
        <f t="shared" si="20"/>
        <v>1.3037309376327609E-4</v>
      </c>
      <c r="S65" s="2"/>
      <c r="T65" s="6">
        <v>654.23</v>
      </c>
      <c r="U65" s="2"/>
      <c r="V65" s="7">
        <f t="shared" si="21"/>
        <v>1.8807371405241236E-4</v>
      </c>
      <c r="W65" s="2"/>
      <c r="X65" s="6">
        <f t="shared" si="22"/>
        <v>-270.90000000000003</v>
      </c>
      <c r="Y65" s="2"/>
      <c r="Z65" s="7">
        <f t="shared" si="23"/>
        <v>-0.41407456093422806</v>
      </c>
    </row>
    <row r="66" spans="1:26" s="24" customFormat="1" hidden="1" outlineLevel="2" x14ac:dyDescent="0.25">
      <c r="A66" s="26"/>
      <c r="B66" s="11" t="str">
        <f>CONCATENATE("          ", "6113", " - ", "GROUP INSURANCE")</f>
        <v xml:space="preserve">          6113 - GROUP INSURANCE</v>
      </c>
      <c r="C66" s="11"/>
      <c r="D66" s="6">
        <v>4168.57</v>
      </c>
      <c r="E66" s="2"/>
      <c r="F66" s="7">
        <f t="shared" si="16"/>
        <v>6.5959920270297442E-2</v>
      </c>
      <c r="G66" s="2"/>
      <c r="H66" s="6">
        <v>5625.91</v>
      </c>
      <c r="I66" s="2"/>
      <c r="J66" s="7">
        <f t="shared" si="17"/>
        <v>7.0095215644665157E-2</v>
      </c>
      <c r="K66" s="2"/>
      <c r="L66" s="6">
        <f t="shared" si="18"/>
        <v>-1457.3400000000001</v>
      </c>
      <c r="M66" s="2"/>
      <c r="N66" s="7">
        <f t="shared" si="19"/>
        <v>-0.25904075962822015</v>
      </c>
      <c r="O66" s="11"/>
      <c r="P66" s="6">
        <v>25011.42</v>
      </c>
      <c r="Q66" s="2"/>
      <c r="R66" s="7">
        <f t="shared" si="20"/>
        <v>8.506551026041996E-3</v>
      </c>
      <c r="S66" s="2"/>
      <c r="T66" s="6">
        <v>30236.2</v>
      </c>
      <c r="U66" s="2"/>
      <c r="V66" s="7">
        <f t="shared" si="21"/>
        <v>8.6921028274942313E-3</v>
      </c>
      <c r="W66" s="2"/>
      <c r="X66" s="6">
        <f t="shared" si="22"/>
        <v>-5224.7800000000025</v>
      </c>
      <c r="Y66" s="2"/>
      <c r="Z66" s="7">
        <f t="shared" si="23"/>
        <v>-0.17279883054087491</v>
      </c>
    </row>
    <row r="67" spans="1:26" s="24" customFormat="1" hidden="1" outlineLevel="2" x14ac:dyDescent="0.25">
      <c r="A67" s="26"/>
      <c r="B67" s="11" t="str">
        <f>CONCATENATE("          ", "6114", " - ", "STATE UNEMPLOYMENT INSURANCE")</f>
        <v xml:space="preserve">          6114 - STATE UNEMPLOYMENT INSURANCE</v>
      </c>
      <c r="C67" s="11"/>
      <c r="D67" s="6">
        <v>88.15</v>
      </c>
      <c r="E67" s="2"/>
      <c r="F67" s="7">
        <f t="shared" si="16"/>
        <v>1.3948109236085085E-3</v>
      </c>
      <c r="G67" s="2"/>
      <c r="H67" s="6">
        <v>100.71</v>
      </c>
      <c r="I67" s="2"/>
      <c r="J67" s="7">
        <f t="shared" si="17"/>
        <v>1.2547817450997666E-3</v>
      </c>
      <c r="K67" s="2"/>
      <c r="L67" s="6">
        <f t="shared" si="18"/>
        <v>-12.559999999999988</v>
      </c>
      <c r="M67" s="2"/>
      <c r="N67" s="7">
        <f t="shared" si="19"/>
        <v>-0.12471452685929886</v>
      </c>
      <c r="O67" s="11"/>
      <c r="P67" s="6">
        <v>391.59</v>
      </c>
      <c r="Q67" s="2"/>
      <c r="R67" s="7">
        <f t="shared" si="20"/>
        <v>1.3318237494263762E-4</v>
      </c>
      <c r="S67" s="2"/>
      <c r="T67" s="6">
        <v>543.13</v>
      </c>
      <c r="U67" s="2"/>
      <c r="V67" s="7">
        <f t="shared" si="21"/>
        <v>1.5613542074390769E-4</v>
      </c>
      <c r="W67" s="2"/>
      <c r="X67" s="6">
        <f t="shared" si="22"/>
        <v>-151.54000000000002</v>
      </c>
      <c r="Y67" s="2"/>
      <c r="Z67" s="7">
        <f t="shared" si="23"/>
        <v>-0.27901239114024273</v>
      </c>
    </row>
    <row r="68" spans="1:26" s="24" customFormat="1" hidden="1" outlineLevel="2" x14ac:dyDescent="0.25">
      <c r="A68" s="26"/>
      <c r="B68" s="11" t="str">
        <f>CONCATENATE("          ", "6115", " - ", "P.E.R.S.")</f>
        <v xml:space="preserve">          6115 - P.E.R.S.</v>
      </c>
      <c r="C68" s="11"/>
      <c r="D68" s="6">
        <v>1325.86</v>
      </c>
      <c r="E68" s="2"/>
      <c r="F68" s="7">
        <f t="shared" si="16"/>
        <v>2.0979285435911252E-2</v>
      </c>
      <c r="G68" s="2"/>
      <c r="H68" s="6">
        <v>1199.44</v>
      </c>
      <c r="I68" s="2"/>
      <c r="J68" s="7">
        <f t="shared" si="17"/>
        <v>1.4944249988506247E-2</v>
      </c>
      <c r="K68" s="2"/>
      <c r="L68" s="6">
        <f t="shared" si="18"/>
        <v>126.41999999999985</v>
      </c>
      <c r="M68" s="2"/>
      <c r="N68" s="7">
        <f t="shared" si="19"/>
        <v>0.10539918628693377</v>
      </c>
      <c r="O68" s="11"/>
      <c r="P68" s="6">
        <v>8432.4</v>
      </c>
      <c r="Q68" s="2"/>
      <c r="R68" s="7">
        <f t="shared" si="20"/>
        <v>2.867915571047007E-3</v>
      </c>
      <c r="S68" s="2"/>
      <c r="T68" s="6">
        <v>8374.36</v>
      </c>
      <c r="U68" s="2"/>
      <c r="V68" s="7">
        <f t="shared" si="21"/>
        <v>2.407405634122495E-3</v>
      </c>
      <c r="W68" s="2"/>
      <c r="X68" s="6">
        <f t="shared" si="22"/>
        <v>58.039999999999054</v>
      </c>
      <c r="Y68" s="2"/>
      <c r="Z68" s="7">
        <f t="shared" si="23"/>
        <v>6.9306788817293562E-3</v>
      </c>
    </row>
    <row r="69" spans="1:26" s="24" customFormat="1" hidden="1" outlineLevel="2" x14ac:dyDescent="0.25">
      <c r="A69" s="26"/>
      <c r="B69" s="11" t="str">
        <f>CONCATENATE("          ", "6117", " - ", "RETIREMENT STAFF HOURLY")</f>
        <v xml:space="preserve">          6117 - RETIREMENT STAFF HOURLY</v>
      </c>
      <c r="C69" s="11"/>
      <c r="D69" s="6">
        <v>92.54</v>
      </c>
      <c r="E69" s="2"/>
      <c r="F69" s="7">
        <f t="shared" si="16"/>
        <v>1.4642745646140825E-3</v>
      </c>
      <c r="G69" s="2"/>
      <c r="H69" s="6">
        <v>86.61</v>
      </c>
      <c r="I69" s="2"/>
      <c r="J69" s="7">
        <f t="shared" si="17"/>
        <v>1.0791048251721854E-3</v>
      </c>
      <c r="K69" s="2"/>
      <c r="L69" s="6">
        <f t="shared" si="18"/>
        <v>5.9300000000000068</v>
      </c>
      <c r="M69" s="2"/>
      <c r="N69" s="7">
        <f t="shared" si="19"/>
        <v>6.846784435977378E-2</v>
      </c>
      <c r="O69" s="11"/>
      <c r="P69" s="6">
        <v>738.74</v>
      </c>
      <c r="Q69" s="2"/>
      <c r="R69" s="7">
        <f t="shared" si="20"/>
        <v>2.5125040901229377E-4</v>
      </c>
      <c r="S69" s="2"/>
      <c r="T69" s="6">
        <v>1440.55</v>
      </c>
      <c r="U69" s="2"/>
      <c r="V69" s="7">
        <f t="shared" si="21"/>
        <v>4.1411978780887853E-4</v>
      </c>
      <c r="W69" s="2"/>
      <c r="X69" s="6">
        <f t="shared" si="22"/>
        <v>-701.81</v>
      </c>
      <c r="Y69" s="2"/>
      <c r="Z69" s="7">
        <f t="shared" si="23"/>
        <v>-0.48718197910520283</v>
      </c>
    </row>
    <row r="70" spans="1:26" s="24" customFormat="1" hidden="1" outlineLevel="2" x14ac:dyDescent="0.25">
      <c r="A70" s="26"/>
      <c r="B70" s="11" t="str">
        <f>CONCATENATE("          ", "6118", " - ", "VACATION")</f>
        <v xml:space="preserve">          6118 - VACATION</v>
      </c>
      <c r="C70" s="11"/>
      <c r="D70" s="6">
        <v>794.54</v>
      </c>
      <c r="E70" s="2"/>
      <c r="F70" s="7">
        <f t="shared" si="16"/>
        <v>1.2572127864366468E-2</v>
      </c>
      <c r="G70" s="2"/>
      <c r="H70" s="6">
        <v>1323.9</v>
      </c>
      <c r="I70" s="2"/>
      <c r="J70" s="7">
        <f t="shared" si="17"/>
        <v>1.6494941439157793E-2</v>
      </c>
      <c r="K70" s="2"/>
      <c r="L70" s="6">
        <f t="shared" si="18"/>
        <v>-529.36000000000013</v>
      </c>
      <c r="M70" s="2"/>
      <c r="N70" s="7">
        <f t="shared" si="19"/>
        <v>-0.39984893118815629</v>
      </c>
      <c r="O70" s="11"/>
      <c r="P70" s="6">
        <v>5636.46</v>
      </c>
      <c r="Q70" s="2"/>
      <c r="R70" s="7">
        <f t="shared" si="20"/>
        <v>1.9169976993007466E-3</v>
      </c>
      <c r="S70" s="2"/>
      <c r="T70" s="6">
        <v>9979.31</v>
      </c>
      <c r="U70" s="2"/>
      <c r="V70" s="7">
        <f t="shared" si="21"/>
        <v>2.8687860467731213E-3</v>
      </c>
      <c r="W70" s="2"/>
      <c r="X70" s="6">
        <f t="shared" si="22"/>
        <v>-4342.8499999999995</v>
      </c>
      <c r="Y70" s="2"/>
      <c r="Z70" s="7">
        <f t="shared" si="23"/>
        <v>-0.43518539858968203</v>
      </c>
    </row>
    <row r="71" spans="1:26" s="24" customFormat="1" hidden="1" outlineLevel="2" x14ac:dyDescent="0.25">
      <c r="A71" s="26"/>
      <c r="B71" s="11" t="str">
        <f>CONCATENATE("          ", "6119", " - ", "SICK LEAVE")</f>
        <v xml:space="preserve">          6119 - SICK LEAVE</v>
      </c>
      <c r="C71" s="11"/>
      <c r="D71" s="6">
        <v>801.74</v>
      </c>
      <c r="E71" s="2"/>
      <c r="F71" s="7">
        <f t="shared" si="16"/>
        <v>1.268605456487675E-2</v>
      </c>
      <c r="G71" s="2"/>
      <c r="H71" s="6">
        <v>926.46</v>
      </c>
      <c r="I71" s="2"/>
      <c r="J71" s="7">
        <f t="shared" si="17"/>
        <v>1.1543094981284181E-2</v>
      </c>
      <c r="K71" s="2"/>
      <c r="L71" s="6">
        <f t="shared" si="18"/>
        <v>-124.72000000000003</v>
      </c>
      <c r="M71" s="2"/>
      <c r="N71" s="7">
        <f t="shared" si="19"/>
        <v>-0.13461995121214085</v>
      </c>
      <c r="O71" s="11"/>
      <c r="P71" s="6">
        <v>6120.11</v>
      </c>
      <c r="Q71" s="2"/>
      <c r="R71" s="7">
        <f t="shared" si="20"/>
        <v>2.0814902952327333E-3</v>
      </c>
      <c r="S71" s="2"/>
      <c r="T71" s="6">
        <v>8450.94</v>
      </c>
      <c r="U71" s="2"/>
      <c r="V71" s="7">
        <f t="shared" si="21"/>
        <v>2.4294203461077812E-3</v>
      </c>
      <c r="W71" s="2"/>
      <c r="X71" s="6">
        <f t="shared" si="22"/>
        <v>-2330.8300000000008</v>
      </c>
      <c r="Y71" s="2"/>
      <c r="Z71" s="7">
        <f t="shared" si="23"/>
        <v>-0.27580718831277951</v>
      </c>
    </row>
    <row r="72" spans="1:26" s="24" customFormat="1" hidden="1" outlineLevel="2" x14ac:dyDescent="0.25">
      <c r="A72" s="26"/>
      <c r="B72" s="11" t="str">
        <f>CONCATENATE("          ", "6156", " - ", "EMPLOYEE MEALS")</f>
        <v xml:space="preserve">          6156 - EMPLOYEE MEALS</v>
      </c>
      <c r="C72" s="11"/>
      <c r="D72" s="6">
        <v>597.03</v>
      </c>
      <c r="E72" s="2"/>
      <c r="F72" s="7">
        <f t="shared" si="16"/>
        <v>9.4468969452295819E-3</v>
      </c>
      <c r="G72" s="2"/>
      <c r="H72" s="6">
        <v>703.17</v>
      </c>
      <c r="I72" s="2"/>
      <c r="J72" s="7">
        <f t="shared" si="17"/>
        <v>8.7610453748565471E-3</v>
      </c>
      <c r="K72" s="2"/>
      <c r="L72" s="6">
        <f t="shared" si="18"/>
        <v>-106.13999999999999</v>
      </c>
      <c r="M72" s="2"/>
      <c r="N72" s="7">
        <f t="shared" si="19"/>
        <v>-0.15094500618627074</v>
      </c>
      <c r="O72" s="11"/>
      <c r="P72" s="6">
        <v>3541.83</v>
      </c>
      <c r="Q72" s="2"/>
      <c r="R72" s="7">
        <f t="shared" si="20"/>
        <v>1.2046000435227719E-3</v>
      </c>
      <c r="S72" s="2"/>
      <c r="T72" s="6">
        <v>4242.5200000000004</v>
      </c>
      <c r="U72" s="2"/>
      <c r="V72" s="7">
        <f t="shared" si="21"/>
        <v>1.2196115943042057E-3</v>
      </c>
      <c r="W72" s="2"/>
      <c r="X72" s="6">
        <f t="shared" si="22"/>
        <v>-700.69000000000051</v>
      </c>
      <c r="Y72" s="2"/>
      <c r="Z72" s="7">
        <f t="shared" si="23"/>
        <v>-0.16515891498449045</v>
      </c>
    </row>
    <row r="73" spans="1:26" s="27" customFormat="1" outlineLevel="1" collapsed="1" x14ac:dyDescent="0.25">
      <c r="A73" s="25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24062.180000000004</v>
      </c>
      <c r="E73" s="1"/>
      <c r="F73" s="5">
        <f t="shared" ref="F73:F78" si="24">IF(D$12=0,0,D73/D$12)</f>
        <v>0.3807395520117321</v>
      </c>
      <c r="G73" s="1"/>
      <c r="H73" s="1">
        <f>SUM(OSRRefH22_1x_0)</f>
        <v>26287</v>
      </c>
      <c r="I73" s="1"/>
      <c r="J73" s="5">
        <f t="shared" ref="J73:J78" si="25">IF(H$12=0,0,H73/H$12)</f>
        <v>0.32751909178271837</v>
      </c>
      <c r="K73" s="1"/>
      <c r="L73" s="1">
        <f t="shared" ref="L73:L78" si="26">+D73-H73</f>
        <v>-2224.8199999999961</v>
      </c>
      <c r="M73" s="1"/>
      <c r="N73" s="5">
        <f t="shared" ref="N73:N78" si="27">IF(H73=0,0,L73/H73)</f>
        <v>-8.4635751512154148E-2</v>
      </c>
      <c r="O73" s="13"/>
      <c r="P73" s="1">
        <f>SUM(OSRRefP22_1x_0)</f>
        <v>143018.14000000001</v>
      </c>
      <c r="Q73" s="1"/>
      <c r="R73" s="5">
        <f t="shared" ref="R73:R78" si="28">IF(P$12=0,0,P73/P$12)</f>
        <v>4.8641424819527164E-2</v>
      </c>
      <c r="S73" s="1"/>
      <c r="T73" s="1">
        <f>SUM(OSRRefT22_1x_0)</f>
        <v>168681.80999999997</v>
      </c>
      <c r="U73" s="1"/>
      <c r="V73" s="5">
        <f t="shared" ref="V73:V78" si="29">IF(T$12=0,0,T73/T$12)</f>
        <v>4.8491531265431646E-2</v>
      </c>
      <c r="W73" s="1"/>
      <c r="X73" s="1">
        <f t="shared" ref="X73:X78" si="30">+P73-T73</f>
        <v>-25663.669999999955</v>
      </c>
      <c r="Y73" s="1"/>
      <c r="Z73" s="5">
        <f t="shared" ref="Z73:Z78" si="31">IF(T73=0,0,X73/T73)</f>
        <v>-0.15214248649572801</v>
      </c>
    </row>
    <row r="74" spans="1:26" s="24" customFormat="1" hidden="1" outlineLevel="2" x14ac:dyDescent="0.25">
      <c r="A74" s="26"/>
      <c r="B74" s="11" t="str">
        <f>CONCATENATE("          ", "6002", " - ", "STAFF SALARIES")</f>
        <v xml:space="preserve">          6002 - STAFF SALARIES</v>
      </c>
      <c r="C74" s="11"/>
      <c r="D74" s="6">
        <v>14382.75</v>
      </c>
      <c r="E74" s="2"/>
      <c r="F74" s="7">
        <f t="shared" si="24"/>
        <v>0.22758045163392254</v>
      </c>
      <c r="G74" s="2"/>
      <c r="H74" s="6">
        <v>13475.63</v>
      </c>
      <c r="I74" s="2"/>
      <c r="J74" s="7">
        <f t="shared" si="25"/>
        <v>0.16789767180735546</v>
      </c>
      <c r="K74" s="2"/>
      <c r="L74" s="6">
        <f t="shared" si="26"/>
        <v>907.1200000000008</v>
      </c>
      <c r="M74" s="2"/>
      <c r="N74" s="7">
        <f t="shared" si="27"/>
        <v>6.7315591182007875E-2</v>
      </c>
      <c r="O74" s="11"/>
      <c r="P74" s="6">
        <v>89028.58</v>
      </c>
      <c r="Q74" s="2"/>
      <c r="R74" s="7">
        <f t="shared" si="28"/>
        <v>3.0279214796523429E-2</v>
      </c>
      <c r="S74" s="2"/>
      <c r="T74" s="6">
        <v>81078.989999999991</v>
      </c>
      <c r="U74" s="2"/>
      <c r="V74" s="7">
        <f t="shared" si="29"/>
        <v>2.3308051879183771E-2</v>
      </c>
      <c r="W74" s="2"/>
      <c r="X74" s="6">
        <f t="shared" si="30"/>
        <v>7949.5900000000111</v>
      </c>
      <c r="Y74" s="2"/>
      <c r="Z74" s="7">
        <f t="shared" si="31"/>
        <v>9.8047471977635789E-2</v>
      </c>
    </row>
    <row r="75" spans="1:26" s="24" customFormat="1" hidden="1" outlineLevel="2" x14ac:dyDescent="0.25">
      <c r="A75" s="26"/>
      <c r="B75" s="11" t="str">
        <f>CONCATENATE("          ", "6004", " - ", "STAFF HOURLY")</f>
        <v xml:space="preserve">          6004 - STAFF HOURLY</v>
      </c>
      <c r="C75" s="11"/>
      <c r="D75" s="6">
        <v>3238.83</v>
      </c>
      <c r="E75" s="2"/>
      <c r="F75" s="7">
        <f t="shared" si="24"/>
        <v>5.1248502140793475E-2</v>
      </c>
      <c r="G75" s="2"/>
      <c r="H75" s="6">
        <v>5471.48</v>
      </c>
      <c r="I75" s="2"/>
      <c r="J75" s="7">
        <f t="shared" si="25"/>
        <v>6.817111729399733E-2</v>
      </c>
      <c r="K75" s="2"/>
      <c r="L75" s="6">
        <f t="shared" si="26"/>
        <v>-2232.6499999999996</v>
      </c>
      <c r="M75" s="2"/>
      <c r="N75" s="7">
        <f t="shared" si="27"/>
        <v>-0.40805230029169437</v>
      </c>
      <c r="O75" s="11"/>
      <c r="P75" s="6">
        <v>18551.86</v>
      </c>
      <c r="Q75" s="2"/>
      <c r="R75" s="7">
        <f t="shared" si="28"/>
        <v>6.3096115181779959E-3</v>
      </c>
      <c r="S75" s="2"/>
      <c r="T75" s="6">
        <v>36568.800000000003</v>
      </c>
      <c r="U75" s="2"/>
      <c r="V75" s="7">
        <f t="shared" si="29"/>
        <v>1.0512556798740287E-2</v>
      </c>
      <c r="W75" s="2"/>
      <c r="X75" s="6">
        <f t="shared" si="30"/>
        <v>-18016.940000000002</v>
      </c>
      <c r="Y75" s="2"/>
      <c r="Z75" s="7">
        <f t="shared" si="31"/>
        <v>-0.49268611493951131</v>
      </c>
    </row>
    <row r="76" spans="1:26" s="24" customFormat="1" hidden="1" outlineLevel="2" x14ac:dyDescent="0.25">
      <c r="A76" s="26"/>
      <c r="B76" s="11" t="str">
        <f>CONCATENATE("          ", "6005", " - ", "TEMPORARY WAGES-HOURLY")</f>
        <v xml:space="preserve">          6005 - TEMPORARY WAGES-HOURLY</v>
      </c>
      <c r="C76" s="11"/>
      <c r="D76" s="6">
        <v>3282.15</v>
      </c>
      <c r="E76" s="2"/>
      <c r="F76" s="7">
        <f t="shared" si="24"/>
        <v>5.1933961122197003E-2</v>
      </c>
      <c r="G76" s="2"/>
      <c r="H76" s="6">
        <v>4575.13</v>
      </c>
      <c r="I76" s="2"/>
      <c r="J76" s="7">
        <f t="shared" si="25"/>
        <v>5.7003173522572691E-2</v>
      </c>
      <c r="K76" s="2"/>
      <c r="L76" s="6">
        <f t="shared" si="26"/>
        <v>-1292.98</v>
      </c>
      <c r="M76" s="2"/>
      <c r="N76" s="7">
        <f t="shared" si="27"/>
        <v>-0.28261054877129177</v>
      </c>
      <c r="O76" s="11"/>
      <c r="P76" s="6">
        <v>13553.27</v>
      </c>
      <c r="Q76" s="2"/>
      <c r="R76" s="7">
        <f t="shared" si="28"/>
        <v>4.6095576670466621E-3</v>
      </c>
      <c r="S76" s="2"/>
      <c r="T76" s="6">
        <v>21430.66</v>
      </c>
      <c r="U76" s="2"/>
      <c r="V76" s="7">
        <f t="shared" si="29"/>
        <v>6.1607444183153807E-3</v>
      </c>
      <c r="W76" s="2"/>
      <c r="X76" s="6">
        <f t="shared" si="30"/>
        <v>-7877.3899999999994</v>
      </c>
      <c r="Y76" s="2"/>
      <c r="Z76" s="7">
        <f t="shared" si="31"/>
        <v>-0.36757570695442882</v>
      </c>
    </row>
    <row r="77" spans="1:26" s="24" customFormat="1" hidden="1" outlineLevel="2" x14ac:dyDescent="0.25">
      <c r="A77" s="26"/>
      <c r="B77" s="11" t="str">
        <f>CONCATENATE("          ", "6006", " - ", "TEMPORARY PART TIME")</f>
        <v xml:space="preserve">          6006 - TEMPORARY PART TIME</v>
      </c>
      <c r="C77" s="11"/>
      <c r="D77" s="6"/>
      <c r="E77" s="2"/>
      <c r="F77" s="7">
        <f t="shared" si="24"/>
        <v>0</v>
      </c>
      <c r="G77" s="2"/>
      <c r="H77" s="6"/>
      <c r="I77" s="2"/>
      <c r="J77" s="7">
        <f t="shared" si="25"/>
        <v>0</v>
      </c>
      <c r="K77" s="2"/>
      <c r="L77" s="6">
        <f t="shared" si="26"/>
        <v>0</v>
      </c>
      <c r="M77" s="2"/>
      <c r="N77" s="7">
        <f t="shared" si="27"/>
        <v>0</v>
      </c>
      <c r="O77" s="11"/>
      <c r="P77" s="6"/>
      <c r="Q77" s="2"/>
      <c r="R77" s="7">
        <f t="shared" si="28"/>
        <v>0</v>
      </c>
      <c r="S77" s="2"/>
      <c r="T77" s="6">
        <v>3834.31</v>
      </c>
      <c r="U77" s="2"/>
      <c r="V77" s="7">
        <f t="shared" si="29"/>
        <v>1.102262082949888E-3</v>
      </c>
      <c r="W77" s="2"/>
      <c r="X77" s="6">
        <f t="shared" si="30"/>
        <v>-3834.31</v>
      </c>
      <c r="Y77" s="2"/>
      <c r="Z77" s="7">
        <f t="shared" si="31"/>
        <v>-1</v>
      </c>
    </row>
    <row r="78" spans="1:26" s="24" customFormat="1" hidden="1" outlineLevel="2" x14ac:dyDescent="0.25">
      <c r="A78" s="26"/>
      <c r="B78" s="11" t="str">
        <f>CONCATENATE("          ", "6007", " - ", "STUDENT HOURLY")</f>
        <v xml:space="preserve">          6007 - STUDENT HOURLY</v>
      </c>
      <c r="C78" s="11"/>
      <c r="D78" s="6">
        <v>3158.45</v>
      </c>
      <c r="E78" s="2"/>
      <c r="F78" s="7">
        <f t="shared" si="24"/>
        <v>4.9976637114818978E-2</v>
      </c>
      <c r="G78" s="2"/>
      <c r="H78" s="6">
        <v>2764.76</v>
      </c>
      <c r="I78" s="2"/>
      <c r="J78" s="7">
        <f t="shared" si="25"/>
        <v>3.4447129158792882E-2</v>
      </c>
      <c r="K78" s="2"/>
      <c r="L78" s="6">
        <f t="shared" si="26"/>
        <v>393.6899999999996</v>
      </c>
      <c r="M78" s="2"/>
      <c r="N78" s="7">
        <f t="shared" si="27"/>
        <v>0.14239572331775618</v>
      </c>
      <c r="O78" s="11"/>
      <c r="P78" s="6">
        <v>21884.43</v>
      </c>
      <c r="Q78" s="2"/>
      <c r="R78" s="7">
        <f t="shared" si="28"/>
        <v>7.4430408377790733E-3</v>
      </c>
      <c r="S78" s="2"/>
      <c r="T78" s="6">
        <v>25769.05</v>
      </c>
      <c r="U78" s="2"/>
      <c r="V78" s="7">
        <f t="shared" si="29"/>
        <v>7.4079160862423254E-3</v>
      </c>
      <c r="W78" s="2"/>
      <c r="X78" s="6">
        <f t="shared" si="30"/>
        <v>-3884.619999999999</v>
      </c>
      <c r="Y78" s="2"/>
      <c r="Z78" s="7">
        <f t="shared" si="31"/>
        <v>-0.15074750524369346</v>
      </c>
    </row>
    <row r="79" spans="1:26" s="27" customFormat="1" outlineLevel="1" collapsed="1" x14ac:dyDescent="0.25">
      <c r="A79" s="25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1138.8499999999999</v>
      </c>
      <c r="E79" s="1"/>
      <c r="F79" s="5">
        <f t="shared" ref="F79:F83" si="32">IF(D$12=0,0,D79/D$12)</f>
        <v>1.8020197621685191E-2</v>
      </c>
      <c r="G79" s="1"/>
      <c r="H79" s="1">
        <f>SUM(OSRRefH22_2x_0)</f>
        <v>2062.4299999999998</v>
      </c>
      <c r="I79" s="1"/>
      <c r="J79" s="5">
        <f t="shared" ref="J79:J83" si="33">IF(H$12=0,0,H79/H$12)</f>
        <v>2.5696549642995843E-2</v>
      </c>
      <c r="K79" s="1"/>
      <c r="L79" s="1">
        <f t="shared" ref="L79:L83" si="34">+D79-H79</f>
        <v>-923.57999999999993</v>
      </c>
      <c r="M79" s="1"/>
      <c r="N79" s="5">
        <f t="shared" ref="N79:N83" si="35">IF(H79=0,0,L79/H79)</f>
        <v>-0.44781156208938</v>
      </c>
      <c r="O79" s="13"/>
      <c r="P79" s="1">
        <f>SUM(OSRRefP22_2x_0)</f>
        <v>4346.9399999999996</v>
      </c>
      <c r="Q79" s="1"/>
      <c r="R79" s="5">
        <f t="shared" ref="R79:R83" si="36">IF(P$12=0,0,P79/P$12)</f>
        <v>1.4784233329072478E-3</v>
      </c>
      <c r="S79" s="1"/>
      <c r="T79" s="1">
        <f>SUM(OSRRefT22_2x_0)</f>
        <v>4307.32</v>
      </c>
      <c r="U79" s="1"/>
      <c r="V79" s="5">
        <f t="shared" ref="V79:V83" si="37">IF(T$12=0,0,T79/T$12)</f>
        <v>1.2382398697892739E-3</v>
      </c>
      <c r="W79" s="1"/>
      <c r="X79" s="1">
        <f t="shared" ref="X79:X83" si="38">+P79-T79</f>
        <v>39.619999999999891</v>
      </c>
      <c r="Y79" s="1"/>
      <c r="Z79" s="5">
        <f t="shared" ref="Z79:Z83" si="39">IF(T79=0,0,X79/T79)</f>
        <v>9.1982949954960147E-3</v>
      </c>
    </row>
    <row r="80" spans="1:26" s="24" customFormat="1" hidden="1" outlineLevel="2" x14ac:dyDescent="0.25">
      <c r="A80" s="26"/>
      <c r="B80" s="11" t="str">
        <f>CONCATENATE("          ", "6362", " - ", "ADVERTISING EXPENSE")</f>
        <v xml:space="preserve">          6362 - ADVERTISING EXPENSE</v>
      </c>
      <c r="C80" s="11"/>
      <c r="D80" s="6">
        <v>1138.8499999999999</v>
      </c>
      <c r="E80" s="2"/>
      <c r="F80" s="7">
        <f t="shared" si="32"/>
        <v>1.8020197621685191E-2</v>
      </c>
      <c r="G80" s="2"/>
      <c r="H80" s="6">
        <v>2062.4299999999998</v>
      </c>
      <c r="I80" s="2"/>
      <c r="J80" s="7">
        <f t="shared" si="33"/>
        <v>2.5696549642995843E-2</v>
      </c>
      <c r="K80" s="2"/>
      <c r="L80" s="6">
        <f t="shared" si="34"/>
        <v>-923.57999999999993</v>
      </c>
      <c r="M80" s="2"/>
      <c r="N80" s="7">
        <f t="shared" si="35"/>
        <v>-0.44781156208938</v>
      </c>
      <c r="O80" s="11"/>
      <c r="P80" s="6">
        <v>4346.9399999999996</v>
      </c>
      <c r="Q80" s="2"/>
      <c r="R80" s="7">
        <f t="shared" si="36"/>
        <v>1.4784233329072478E-3</v>
      </c>
      <c r="S80" s="2"/>
      <c r="T80" s="6">
        <v>4307.32</v>
      </c>
      <c r="U80" s="2"/>
      <c r="V80" s="7">
        <f t="shared" si="37"/>
        <v>1.2382398697892739E-3</v>
      </c>
      <c r="W80" s="2"/>
      <c r="X80" s="6">
        <f t="shared" si="38"/>
        <v>39.619999999999891</v>
      </c>
      <c r="Y80" s="2"/>
      <c r="Z80" s="7">
        <f t="shared" si="39"/>
        <v>9.1982949954960147E-3</v>
      </c>
    </row>
    <row r="81" spans="1:26" s="27" customFormat="1" outlineLevel="1" collapsed="1" x14ac:dyDescent="0.25">
      <c r="A81" s="25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675.06</v>
      </c>
      <c r="E81" s="1"/>
      <c r="F81" s="5">
        <f t="shared" si="32"/>
        <v>1.0681577562009751E-2</v>
      </c>
      <c r="G81" s="1"/>
      <c r="H81" s="1">
        <f>SUM(OSRRefH22_3x_0)</f>
        <v>-253.42</v>
      </c>
      <c r="I81" s="1"/>
      <c r="J81" s="5">
        <f t="shared" si="33"/>
        <v>-3.1574500034076344E-3</v>
      </c>
      <c r="K81" s="1"/>
      <c r="L81" s="1">
        <f t="shared" si="34"/>
        <v>928.4799999999999</v>
      </c>
      <c r="M81" s="1"/>
      <c r="N81" s="5">
        <f t="shared" si="35"/>
        <v>-3.6637992265803803</v>
      </c>
      <c r="O81" s="13"/>
      <c r="P81" s="1">
        <f>SUM(OSRRefP22_3x_0)</f>
        <v>-1838.17</v>
      </c>
      <c r="Q81" s="1"/>
      <c r="R81" s="5">
        <f t="shared" si="36"/>
        <v>-6.2517389654564266E-4</v>
      </c>
      <c r="S81" s="1"/>
      <c r="T81" s="1">
        <f>SUM(OSRRefT22_3x_0)</f>
        <v>14448.359999999999</v>
      </c>
      <c r="U81" s="1"/>
      <c r="V81" s="5">
        <f t="shared" si="37"/>
        <v>4.1535189874605449E-3</v>
      </c>
      <c r="W81" s="1"/>
      <c r="X81" s="1">
        <f t="shared" si="38"/>
        <v>-16286.529999999999</v>
      </c>
      <c r="Y81" s="1"/>
      <c r="Z81" s="5">
        <f t="shared" si="39"/>
        <v>-1.1272234357394195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6">
        <v>675.06</v>
      </c>
      <c r="E82" s="2"/>
      <c r="F82" s="7">
        <f t="shared" si="32"/>
        <v>1.0681577562009751E-2</v>
      </c>
      <c r="G82" s="2"/>
      <c r="H82" s="6">
        <v>-251.79</v>
      </c>
      <c r="I82" s="2"/>
      <c r="J82" s="7">
        <f t="shared" si="33"/>
        <v>-3.1371412530897648E-3</v>
      </c>
      <c r="K82" s="2"/>
      <c r="L82" s="6">
        <f t="shared" si="34"/>
        <v>926.84999999999991</v>
      </c>
      <c r="M82" s="2"/>
      <c r="N82" s="7">
        <f t="shared" si="35"/>
        <v>-3.6810437269152865</v>
      </c>
      <c r="O82" s="11"/>
      <c r="P82" s="6">
        <v>-1404.54</v>
      </c>
      <c r="Q82" s="2"/>
      <c r="R82" s="7">
        <f t="shared" si="36"/>
        <v>-4.7769343676276783E-4</v>
      </c>
      <c r="S82" s="2"/>
      <c r="T82" s="6">
        <v>14527.56</v>
      </c>
      <c r="U82" s="2"/>
      <c r="V82" s="7">
        <f t="shared" si="37"/>
        <v>4.1762868797200732E-3</v>
      </c>
      <c r="W82" s="2"/>
      <c r="X82" s="6">
        <f t="shared" si="38"/>
        <v>-15932.099999999999</v>
      </c>
      <c r="Y82" s="2"/>
      <c r="Z82" s="7">
        <f t="shared" si="39"/>
        <v>-1.0966810668825322</v>
      </c>
    </row>
    <row r="83" spans="1:26" s="24" customFormat="1" hidden="1" outlineLevel="2" x14ac:dyDescent="0.25">
      <c r="A83" s="26"/>
      <c r="B83" s="11" t="str">
        <f>CONCATENATE("          ", "9175", " - ", "EARNED DISCOUNTS")</f>
        <v xml:space="preserve">          9175 - EARNED DISCOUNTS</v>
      </c>
      <c r="C83" s="11"/>
      <c r="D83" s="6"/>
      <c r="E83" s="2"/>
      <c r="F83" s="7">
        <f t="shared" si="32"/>
        <v>0</v>
      </c>
      <c r="G83" s="2"/>
      <c r="H83" s="6">
        <v>-1.63</v>
      </c>
      <c r="I83" s="2"/>
      <c r="J83" s="7">
        <f t="shared" si="33"/>
        <v>-2.0308750317869321E-5</v>
      </c>
      <c r="K83" s="2"/>
      <c r="L83" s="6">
        <f t="shared" si="34"/>
        <v>1.63</v>
      </c>
      <c r="M83" s="2"/>
      <c r="N83" s="7">
        <f t="shared" si="35"/>
        <v>-1</v>
      </c>
      <c r="O83" s="11"/>
      <c r="P83" s="6">
        <v>-433.63</v>
      </c>
      <c r="Q83" s="2"/>
      <c r="R83" s="7">
        <f t="shared" si="36"/>
        <v>-1.4748045978287482E-4</v>
      </c>
      <c r="S83" s="2"/>
      <c r="T83" s="6">
        <v>-79.2</v>
      </c>
      <c r="U83" s="2"/>
      <c r="V83" s="7">
        <f t="shared" si="37"/>
        <v>-2.2767892259528084E-5</v>
      </c>
      <c r="W83" s="2"/>
      <c r="X83" s="6">
        <f t="shared" si="38"/>
        <v>-354.43</v>
      </c>
      <c r="Y83" s="2"/>
      <c r="Z83" s="7">
        <f t="shared" si="39"/>
        <v>4.4751262626262625</v>
      </c>
    </row>
    <row r="84" spans="1:26" s="27" customFormat="1" outlineLevel="1" collapsed="1" x14ac:dyDescent="0.25">
      <c r="A84" s="25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0" si="40">IF(D$12=0,0,D84/D$12)</f>
        <v>0</v>
      </c>
      <c r="G84" s="1"/>
      <c r="H84" s="1">
        <f>SUM(OSRRefH22_4x_0)</f>
        <v>0</v>
      </c>
      <c r="I84" s="1"/>
      <c r="J84" s="5">
        <f t="shared" ref="J84:J90" si="41">IF(H$12=0,0,H84/H$12)</f>
        <v>0</v>
      </c>
      <c r="K84" s="1"/>
      <c r="L84" s="1">
        <f t="shared" ref="L84:L90" si="42">+D84-H84</f>
        <v>0</v>
      </c>
      <c r="M84" s="1"/>
      <c r="N84" s="5">
        <f t="shared" ref="N84:N90" si="43">IF(H84=0,0,L84/H84)</f>
        <v>0</v>
      </c>
      <c r="O84" s="13"/>
      <c r="P84" s="1">
        <f>SUM(OSRRefP22_4x_0)</f>
        <v>37.880000000000003</v>
      </c>
      <c r="Q84" s="1"/>
      <c r="R84" s="5">
        <f t="shared" ref="R84:R90" si="44">IF(P$12=0,0,P84/P$12)</f>
        <v>1.2883241050147128E-5</v>
      </c>
      <c r="S84" s="1"/>
      <c r="T84" s="1">
        <f>SUM(OSRRefT22_4x_0)</f>
        <v>372.67</v>
      </c>
      <c r="U84" s="1"/>
      <c r="V84" s="5">
        <f t="shared" ref="V84:V90" si="45">IF(T$12=0,0,T84/T$12)</f>
        <v>1.0713270717624156E-4</v>
      </c>
      <c r="W84" s="1"/>
      <c r="X84" s="1">
        <f t="shared" ref="X84:X90" si="46">+P84-T84</f>
        <v>-334.79</v>
      </c>
      <c r="Y84" s="1"/>
      <c r="Z84" s="5">
        <f t="shared" ref="Z84:Z90" si="47">IF(T84=0,0,X84/T84)</f>
        <v>-0.89835511310274507</v>
      </c>
    </row>
    <row r="85" spans="1:26" s="24" customFormat="1" hidden="1" outlineLevel="2" x14ac:dyDescent="0.25">
      <c r="A85" s="26"/>
      <c r="B85" s="11" t="str">
        <f>CONCATENATE("          ", "6277", " - ", "EMPLOYEE APPRECIATION")</f>
        <v xml:space="preserve">          6277 - EMPLOYEE APPRECIATION</v>
      </c>
      <c r="C85" s="11"/>
      <c r="D85" s="6"/>
      <c r="E85" s="2"/>
      <c r="F85" s="7">
        <f t="shared" si="40"/>
        <v>0</v>
      </c>
      <c r="G85" s="2"/>
      <c r="H85" s="6"/>
      <c r="I85" s="2"/>
      <c r="J85" s="7">
        <f t="shared" si="41"/>
        <v>0</v>
      </c>
      <c r="K85" s="2"/>
      <c r="L85" s="6">
        <f t="shared" si="42"/>
        <v>0</v>
      </c>
      <c r="M85" s="2"/>
      <c r="N85" s="7">
        <f t="shared" si="43"/>
        <v>0</v>
      </c>
      <c r="O85" s="11"/>
      <c r="P85" s="6">
        <v>37.880000000000003</v>
      </c>
      <c r="Q85" s="2"/>
      <c r="R85" s="7">
        <f t="shared" si="44"/>
        <v>1.2883241050147128E-5</v>
      </c>
      <c r="S85" s="2"/>
      <c r="T85" s="6">
        <v>372.67</v>
      </c>
      <c r="U85" s="2"/>
      <c r="V85" s="7">
        <f t="shared" si="45"/>
        <v>1.0713270717624156E-4</v>
      </c>
      <c r="W85" s="2"/>
      <c r="X85" s="6">
        <f t="shared" si="46"/>
        <v>-334.79</v>
      </c>
      <c r="Y85" s="2"/>
      <c r="Z85" s="7">
        <f t="shared" si="47"/>
        <v>-0.89835511310274507</v>
      </c>
    </row>
    <row r="86" spans="1:26" s="27" customFormat="1" outlineLevel="1" collapsed="1" x14ac:dyDescent="0.25">
      <c r="A86" s="25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0</v>
      </c>
      <c r="E86" s="1"/>
      <c r="F86" s="5">
        <f t="shared" si="40"/>
        <v>0</v>
      </c>
      <c r="G86" s="1"/>
      <c r="H86" s="1">
        <f>SUM(OSRRefH22_5x_0)</f>
        <v>91.26</v>
      </c>
      <c r="I86" s="1"/>
      <c r="J86" s="5">
        <f t="shared" si="41"/>
        <v>1.1370408306802175E-3</v>
      </c>
      <c r="K86" s="1"/>
      <c r="L86" s="1">
        <f t="shared" si="42"/>
        <v>-91.26</v>
      </c>
      <c r="M86" s="1"/>
      <c r="N86" s="5">
        <f t="shared" si="43"/>
        <v>-1</v>
      </c>
      <c r="O86" s="13"/>
      <c r="P86" s="1">
        <f>SUM(OSRRefP22_5x_0)</f>
        <v>547.55999999999995</v>
      </c>
      <c r="Q86" s="1"/>
      <c r="R86" s="5">
        <f t="shared" si="44"/>
        <v>1.8622881387060614E-4</v>
      </c>
      <c r="S86" s="1"/>
      <c r="T86" s="1">
        <f>SUM(OSRRefT22_5x_0)</f>
        <v>547.55999999999995</v>
      </c>
      <c r="U86" s="1"/>
      <c r="V86" s="5">
        <f t="shared" si="45"/>
        <v>1.5740892784882823E-4</v>
      </c>
      <c r="W86" s="1"/>
      <c r="X86" s="1">
        <f t="shared" si="46"/>
        <v>0</v>
      </c>
      <c r="Y86" s="1"/>
      <c r="Z86" s="5">
        <f t="shared" si="47"/>
        <v>0</v>
      </c>
    </row>
    <row r="87" spans="1:26" s="24" customFormat="1" hidden="1" outlineLevel="2" x14ac:dyDescent="0.25">
      <c r="A87" s="26"/>
      <c r="B87" s="11" t="str">
        <f>CONCATENATE("          ", "6351", " - ", "EQUIPMENT RENTAL")</f>
        <v xml:space="preserve">          6351 - EQUIPMENT RENTAL</v>
      </c>
      <c r="C87" s="11"/>
      <c r="D87" s="6"/>
      <c r="E87" s="2"/>
      <c r="F87" s="7">
        <f t="shared" si="40"/>
        <v>0</v>
      </c>
      <c r="G87" s="2"/>
      <c r="H87" s="6">
        <v>91.26</v>
      </c>
      <c r="I87" s="2"/>
      <c r="J87" s="7">
        <f t="shared" si="41"/>
        <v>1.1370408306802175E-3</v>
      </c>
      <c r="K87" s="2"/>
      <c r="L87" s="6">
        <f t="shared" si="42"/>
        <v>-91.26</v>
      </c>
      <c r="M87" s="2"/>
      <c r="N87" s="7">
        <f t="shared" si="43"/>
        <v>-1</v>
      </c>
      <c r="O87" s="11"/>
      <c r="P87" s="6">
        <v>547.55999999999995</v>
      </c>
      <c r="Q87" s="2"/>
      <c r="R87" s="7">
        <f t="shared" si="44"/>
        <v>1.8622881387060614E-4</v>
      </c>
      <c r="S87" s="2"/>
      <c r="T87" s="6">
        <v>547.55999999999995</v>
      </c>
      <c r="U87" s="2"/>
      <c r="V87" s="7">
        <f t="shared" si="45"/>
        <v>1.5740892784882823E-4</v>
      </c>
      <c r="W87" s="2"/>
      <c r="X87" s="6">
        <f t="shared" si="46"/>
        <v>0</v>
      </c>
      <c r="Y87" s="2"/>
      <c r="Z87" s="7">
        <f t="shared" si="47"/>
        <v>0</v>
      </c>
    </row>
    <row r="88" spans="1:26" s="27" customFormat="1" outlineLevel="1" collapsed="1" x14ac:dyDescent="0.25">
      <c r="A88" s="25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2571.11</v>
      </c>
      <c r="E88" s="1"/>
      <c r="F88" s="5">
        <f t="shared" si="40"/>
        <v>4.0683066520692819E-2</v>
      </c>
      <c r="G88" s="1"/>
      <c r="H88" s="1">
        <f>SUM(OSRRefH22_6x_0)</f>
        <v>1223.3899999999999</v>
      </c>
      <c r="I88" s="1"/>
      <c r="J88" s="5">
        <f t="shared" si="41"/>
        <v>1.5242651565262668E-2</v>
      </c>
      <c r="K88" s="1"/>
      <c r="L88" s="1">
        <f t="shared" si="42"/>
        <v>1347.7200000000003</v>
      </c>
      <c r="M88" s="1"/>
      <c r="N88" s="5">
        <f t="shared" si="43"/>
        <v>1.1016274450502297</v>
      </c>
      <c r="O88" s="13"/>
      <c r="P88" s="1">
        <f>SUM(OSRRefP22_6x_0)</f>
        <v>11941.9</v>
      </c>
      <c r="Q88" s="1"/>
      <c r="R88" s="5">
        <f t="shared" si="44"/>
        <v>4.0615199655953532E-3</v>
      </c>
      <c r="S88" s="1"/>
      <c r="T88" s="1">
        <f>SUM(OSRRefT22_6x_0)</f>
        <v>13751.050000000001</v>
      </c>
      <c r="U88" s="1"/>
      <c r="V88" s="5">
        <f t="shared" si="45"/>
        <v>3.9530609198912079E-3</v>
      </c>
      <c r="W88" s="1"/>
      <c r="X88" s="1">
        <f t="shared" si="46"/>
        <v>-1809.1500000000015</v>
      </c>
      <c r="Y88" s="1"/>
      <c r="Z88" s="5">
        <f t="shared" si="47"/>
        <v>-0.13156449871100762</v>
      </c>
    </row>
    <row r="89" spans="1:26" s="24" customFormat="1" hidden="1" outlineLevel="2" x14ac:dyDescent="0.25">
      <c r="A89" s="26"/>
      <c r="B89" s="11" t="str">
        <f>CONCATENATE("          ", "6305", " - ", "FREIGHT OUT")</f>
        <v xml:space="preserve">          6305 - FREIGHT OUT</v>
      </c>
      <c r="C89" s="11"/>
      <c r="D89" s="6">
        <v>2571.11</v>
      </c>
      <c r="E89" s="2"/>
      <c r="F89" s="7">
        <f t="shared" si="40"/>
        <v>4.0683066520692819E-2</v>
      </c>
      <c r="G89" s="2"/>
      <c r="H89" s="6">
        <v>1221.04</v>
      </c>
      <c r="I89" s="2"/>
      <c r="J89" s="7">
        <f t="shared" si="41"/>
        <v>1.5213372078608072E-2</v>
      </c>
      <c r="K89" s="2"/>
      <c r="L89" s="6">
        <f t="shared" si="42"/>
        <v>1350.0700000000002</v>
      </c>
      <c r="M89" s="2"/>
      <c r="N89" s="7">
        <f t="shared" si="43"/>
        <v>1.1056722138504882</v>
      </c>
      <c r="O89" s="11"/>
      <c r="P89" s="6">
        <v>11941.4</v>
      </c>
      <c r="Q89" s="2"/>
      <c r="R89" s="7">
        <f t="shared" si="44"/>
        <v>4.0613499122551982E-3</v>
      </c>
      <c r="S89" s="2"/>
      <c r="T89" s="6">
        <v>13747.76</v>
      </c>
      <c r="U89" s="2"/>
      <c r="V89" s="7">
        <f t="shared" si="45"/>
        <v>3.9521151324475989E-3</v>
      </c>
      <c r="W89" s="2"/>
      <c r="X89" s="6">
        <f t="shared" si="46"/>
        <v>-1806.3600000000006</v>
      </c>
      <c r="Y89" s="2"/>
      <c r="Z89" s="7">
        <f t="shared" si="47"/>
        <v>-0.13139304148457645</v>
      </c>
    </row>
    <row r="90" spans="1:26" s="24" customFormat="1" hidden="1" outlineLevel="2" x14ac:dyDescent="0.25">
      <c r="A90" s="26"/>
      <c r="B90" s="11" t="str">
        <f>CONCATENATE("          ", "6307", " - ", "POSTAGE")</f>
        <v xml:space="preserve">          6307 - POSTAGE</v>
      </c>
      <c r="C90" s="11"/>
      <c r="D90" s="6"/>
      <c r="E90" s="2"/>
      <c r="F90" s="7">
        <f t="shared" si="40"/>
        <v>0</v>
      </c>
      <c r="G90" s="2"/>
      <c r="H90" s="6">
        <v>2.35</v>
      </c>
      <c r="I90" s="2"/>
      <c r="J90" s="7">
        <f t="shared" si="41"/>
        <v>2.9279486654596879E-5</v>
      </c>
      <c r="K90" s="2"/>
      <c r="L90" s="6">
        <f t="shared" si="42"/>
        <v>-2.35</v>
      </c>
      <c r="M90" s="2"/>
      <c r="N90" s="7">
        <f t="shared" si="43"/>
        <v>-1</v>
      </c>
      <c r="O90" s="11"/>
      <c r="P90" s="6">
        <v>0.5</v>
      </c>
      <c r="Q90" s="2"/>
      <c r="R90" s="7">
        <f t="shared" si="44"/>
        <v>1.7005334015505712E-7</v>
      </c>
      <c r="S90" s="2"/>
      <c r="T90" s="6">
        <v>3.29</v>
      </c>
      <c r="U90" s="2"/>
      <c r="V90" s="7">
        <f t="shared" si="45"/>
        <v>9.4578744360918429E-7</v>
      </c>
      <c r="W90" s="2"/>
      <c r="X90" s="6">
        <f t="shared" si="46"/>
        <v>-2.79</v>
      </c>
      <c r="Y90" s="2"/>
      <c r="Z90" s="7">
        <f t="shared" si="47"/>
        <v>-0.84802431610942253</v>
      </c>
    </row>
    <row r="91" spans="1:26" s="27" customFormat="1" outlineLevel="1" collapsed="1" x14ac:dyDescent="0.25">
      <c r="A91" s="25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0</v>
      </c>
      <c r="E91" s="1"/>
      <c r="F91" s="5">
        <f t="shared" ref="F91:F97" si="48">IF(D$12=0,0,D91/D$12)</f>
        <v>0</v>
      </c>
      <c r="G91" s="1"/>
      <c r="H91" s="1">
        <f>SUM(OSRRefH22_7x_0)</f>
        <v>-1263.53</v>
      </c>
      <c r="I91" s="1"/>
      <c r="J91" s="5">
        <f t="shared" ref="J91:J97" si="49">IF(H$12=0,0,H91/H$12)</f>
        <v>-1.574277011603523E-2</v>
      </c>
      <c r="K91" s="1"/>
      <c r="L91" s="1">
        <f t="shared" ref="L91:L97" si="50">+D91-H91</f>
        <v>1263.53</v>
      </c>
      <c r="M91" s="1"/>
      <c r="N91" s="5">
        <f t="shared" ref="N91:N97" si="51">IF(H91=0,0,L91/H91)</f>
        <v>-1</v>
      </c>
      <c r="O91" s="13"/>
      <c r="P91" s="1">
        <f>SUM(OSRRefP22_7x_0)</f>
        <v>8152.9</v>
      </c>
      <c r="Q91" s="1"/>
      <c r="R91" s="5">
        <f t="shared" ref="R91:R97" si="52">IF(P$12=0,0,P91/P$12)</f>
        <v>2.77285575390033E-3</v>
      </c>
      <c r="S91" s="1"/>
      <c r="T91" s="1">
        <f>SUM(OSRRefT22_7x_0)</f>
        <v>10865.1</v>
      </c>
      <c r="U91" s="1"/>
      <c r="V91" s="5">
        <f t="shared" ref="V91:V97" si="53">IF(T$12=0,0,T91/T$12)</f>
        <v>3.1234270983459419E-3</v>
      </c>
      <c r="W91" s="1"/>
      <c r="X91" s="1">
        <f t="shared" ref="X91:X97" si="54">+P91-T91</f>
        <v>-2712.2000000000007</v>
      </c>
      <c r="Y91" s="1"/>
      <c r="Z91" s="5">
        <f t="shared" ref="Z91:Z97" si="55">IF(T91=0,0,X91/T91)</f>
        <v>-0.2496249459277872</v>
      </c>
    </row>
    <row r="92" spans="1:26" s="24" customFormat="1" hidden="1" outlineLevel="2" x14ac:dyDescent="0.25">
      <c r="A92" s="26"/>
      <c r="B92" s="11" t="str">
        <f>CONCATENATE("          ", "6279", " - ", "GENERAL EXPENSE")</f>
        <v xml:space="preserve">          6279 - GENERAL EXPENSE</v>
      </c>
      <c r="C92" s="11"/>
      <c r="D92" s="6"/>
      <c r="E92" s="2"/>
      <c r="F92" s="7">
        <f t="shared" si="48"/>
        <v>0</v>
      </c>
      <c r="G92" s="2"/>
      <c r="H92" s="6">
        <v>-1263.53</v>
      </c>
      <c r="I92" s="2"/>
      <c r="J92" s="7">
        <f t="shared" si="49"/>
        <v>-1.574277011603523E-2</v>
      </c>
      <c r="K92" s="2"/>
      <c r="L92" s="6">
        <f t="shared" si="50"/>
        <v>1263.53</v>
      </c>
      <c r="M92" s="2"/>
      <c r="N92" s="7">
        <f t="shared" si="51"/>
        <v>-1</v>
      </c>
      <c r="O92" s="11"/>
      <c r="P92" s="6">
        <v>8152.9</v>
      </c>
      <c r="Q92" s="2"/>
      <c r="R92" s="7">
        <f t="shared" si="52"/>
        <v>2.77285575390033E-3</v>
      </c>
      <c r="S92" s="2"/>
      <c r="T92" s="6">
        <v>10865.1</v>
      </c>
      <c r="U92" s="2"/>
      <c r="V92" s="7">
        <f t="shared" si="53"/>
        <v>3.1234270983459419E-3</v>
      </c>
      <c r="W92" s="2"/>
      <c r="X92" s="6">
        <f t="shared" si="54"/>
        <v>-2712.2000000000007</v>
      </c>
      <c r="Y92" s="2"/>
      <c r="Z92" s="7">
        <f t="shared" si="55"/>
        <v>-0.2496249459277872</v>
      </c>
    </row>
    <row r="93" spans="1:26" s="27" customFormat="1" outlineLevel="1" collapsed="1" x14ac:dyDescent="0.25">
      <c r="A93" s="25"/>
      <c r="B93" s="13" t="str">
        <f>CONCATENATE("     ","Inventory Adjustment                              ")</f>
        <v xml:space="preserve">     Inventory Adjustment                              </v>
      </c>
      <c r="C93" s="13"/>
      <c r="D93" s="1">
        <f>SUM(OSRRefD22_8x_0)</f>
        <v>6800</v>
      </c>
      <c r="E93" s="1"/>
      <c r="F93" s="5">
        <f t="shared" si="48"/>
        <v>0.10759743937082084</v>
      </c>
      <c r="G93" s="1"/>
      <c r="H93" s="1">
        <f>SUM(OSRRefH22_8x_0)</f>
        <v>6950</v>
      </c>
      <c r="I93" s="1"/>
      <c r="J93" s="5">
        <f t="shared" si="49"/>
        <v>8.659252436146736E-2</v>
      </c>
      <c r="K93" s="1"/>
      <c r="L93" s="1">
        <f t="shared" si="50"/>
        <v>-150</v>
      </c>
      <c r="M93" s="1"/>
      <c r="N93" s="5">
        <f t="shared" si="51"/>
        <v>-2.1582733812949641E-2</v>
      </c>
      <c r="O93" s="13"/>
      <c r="P93" s="1">
        <f>SUM(OSRRefP22_8x_0)</f>
        <v>11800</v>
      </c>
      <c r="Q93" s="1"/>
      <c r="R93" s="5">
        <f t="shared" si="52"/>
        <v>4.0132588276593478E-3</v>
      </c>
      <c r="S93" s="1"/>
      <c r="T93" s="1">
        <f>SUM(OSRRefT22_8x_0)</f>
        <v>41700</v>
      </c>
      <c r="U93" s="1"/>
      <c r="V93" s="5">
        <f t="shared" si="53"/>
        <v>1.1987640242706075E-2</v>
      </c>
      <c r="W93" s="1"/>
      <c r="X93" s="1">
        <f t="shared" si="54"/>
        <v>-29900</v>
      </c>
      <c r="Y93" s="1"/>
      <c r="Z93" s="5">
        <f t="shared" si="55"/>
        <v>-0.71702637889688248</v>
      </c>
    </row>
    <row r="94" spans="1:26" s="24" customFormat="1" hidden="1" outlineLevel="2" x14ac:dyDescent="0.25">
      <c r="A94" s="26"/>
      <c r="B94" s="11" t="str">
        <f>CONCATENATE("          ", "6408", " - ", "INVENTORY ADJUSTMENT")</f>
        <v xml:space="preserve">          6408 - INVENTORY ADJUSTMENT</v>
      </c>
      <c r="C94" s="11"/>
      <c r="D94" s="6">
        <v>6800</v>
      </c>
      <c r="E94" s="2"/>
      <c r="F94" s="7">
        <f t="shared" si="48"/>
        <v>0.10759743937082084</v>
      </c>
      <c r="G94" s="2"/>
      <c r="H94" s="6">
        <v>6950</v>
      </c>
      <c r="I94" s="2"/>
      <c r="J94" s="7">
        <f t="shared" si="49"/>
        <v>8.659252436146736E-2</v>
      </c>
      <c r="K94" s="2"/>
      <c r="L94" s="6">
        <f t="shared" si="50"/>
        <v>-150</v>
      </c>
      <c r="M94" s="2"/>
      <c r="N94" s="7">
        <f t="shared" si="51"/>
        <v>-2.1582733812949641E-2</v>
      </c>
      <c r="O94" s="11"/>
      <c r="P94" s="6">
        <v>11800</v>
      </c>
      <c r="Q94" s="2"/>
      <c r="R94" s="7">
        <f t="shared" si="52"/>
        <v>4.0132588276593478E-3</v>
      </c>
      <c r="S94" s="2"/>
      <c r="T94" s="6">
        <v>41700</v>
      </c>
      <c r="U94" s="2"/>
      <c r="V94" s="7">
        <f t="shared" si="53"/>
        <v>1.1987640242706075E-2</v>
      </c>
      <c r="W94" s="2"/>
      <c r="X94" s="6">
        <f t="shared" si="54"/>
        <v>-29900</v>
      </c>
      <c r="Y94" s="2"/>
      <c r="Z94" s="7">
        <f t="shared" si="55"/>
        <v>-0.71702637889688248</v>
      </c>
    </row>
    <row r="95" spans="1:26" s="27" customFormat="1" outlineLevel="1" collapsed="1" x14ac:dyDescent="0.25">
      <c r="A95" s="25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SUM(OSRRefD22_9x_0)</f>
        <v>23.6</v>
      </c>
      <c r="E95" s="1"/>
      <c r="F95" s="5">
        <f t="shared" si="48"/>
        <v>3.7342640722814292E-4</v>
      </c>
      <c r="G95" s="1"/>
      <c r="H95" s="1">
        <f>SUM(OSRRefH22_9x_0)</f>
        <v>78</v>
      </c>
      <c r="I95" s="1"/>
      <c r="J95" s="5">
        <f t="shared" si="49"/>
        <v>9.7182976981215175E-4</v>
      </c>
      <c r="K95" s="1"/>
      <c r="L95" s="1">
        <f t="shared" si="50"/>
        <v>-54.4</v>
      </c>
      <c r="M95" s="1"/>
      <c r="N95" s="5">
        <f t="shared" si="51"/>
        <v>-0.6974358974358974</v>
      </c>
      <c r="O95" s="13"/>
      <c r="P95" s="1">
        <f>SUM(OSRRefP22_9x_0)</f>
        <v>143.16</v>
      </c>
      <c r="Q95" s="1"/>
      <c r="R95" s="5">
        <f t="shared" si="52"/>
        <v>4.8689672353195953E-5</v>
      </c>
      <c r="S95" s="1"/>
      <c r="T95" s="1">
        <f>SUM(OSRRefT22_9x_0)</f>
        <v>542.18000000000006</v>
      </c>
      <c r="U95" s="1"/>
      <c r="V95" s="5">
        <f t="shared" si="53"/>
        <v>1.558623210261482E-4</v>
      </c>
      <c r="W95" s="1"/>
      <c r="X95" s="1">
        <f t="shared" si="54"/>
        <v>-399.0200000000001</v>
      </c>
      <c r="Y95" s="1"/>
      <c r="Z95" s="5">
        <f t="shared" si="55"/>
        <v>-0.73595484894315555</v>
      </c>
    </row>
    <row r="96" spans="1:26" s="24" customFormat="1" hidden="1" outlineLevel="2" x14ac:dyDescent="0.25">
      <c r="A96" s="26"/>
      <c r="B96" s="11" t="str">
        <f>CONCATENATE("          ", "6373", " - ", "MAINTENANCE CONTRACTS")</f>
        <v xml:space="preserve">          6373 - MAINTENANCE CONTRACTS</v>
      </c>
      <c r="C96" s="11"/>
      <c r="D96" s="6">
        <v>23.6</v>
      </c>
      <c r="E96" s="2"/>
      <c r="F96" s="7">
        <f t="shared" si="48"/>
        <v>3.7342640722814292E-4</v>
      </c>
      <c r="G96" s="2"/>
      <c r="H96" s="6"/>
      <c r="I96" s="2"/>
      <c r="J96" s="7">
        <f t="shared" si="49"/>
        <v>0</v>
      </c>
      <c r="K96" s="2"/>
      <c r="L96" s="6">
        <f t="shared" si="50"/>
        <v>23.6</v>
      </c>
      <c r="M96" s="2"/>
      <c r="N96" s="7">
        <f t="shared" si="51"/>
        <v>0</v>
      </c>
      <c r="O96" s="11"/>
      <c r="P96" s="6">
        <v>143.16</v>
      </c>
      <c r="Q96" s="2"/>
      <c r="R96" s="7">
        <f t="shared" si="52"/>
        <v>4.8689672353195953E-5</v>
      </c>
      <c r="S96" s="2"/>
      <c r="T96" s="6">
        <v>152.18</v>
      </c>
      <c r="U96" s="2"/>
      <c r="V96" s="7">
        <f t="shared" si="53"/>
        <v>4.3747700051199294E-5</v>
      </c>
      <c r="W96" s="2"/>
      <c r="X96" s="6">
        <f t="shared" si="54"/>
        <v>-9.0200000000000102</v>
      </c>
      <c r="Y96" s="2"/>
      <c r="Z96" s="7">
        <f t="shared" si="55"/>
        <v>-5.9271914837692272E-2</v>
      </c>
    </row>
    <row r="97" spans="1:26" s="24" customFormat="1" hidden="1" outlineLevel="2" x14ac:dyDescent="0.25">
      <c r="A97" s="26"/>
      <c r="B97" s="11" t="str">
        <f>CONCATENATE("          ", "6375", " - ", "OUTSIDE REPAIRS &amp; MAINTENANCE")</f>
        <v xml:space="preserve">          6375 - OUTSIDE REPAIRS &amp; MAINTENANCE</v>
      </c>
      <c r="C97" s="11"/>
      <c r="D97" s="6"/>
      <c r="E97" s="2"/>
      <c r="F97" s="7">
        <f t="shared" si="48"/>
        <v>0</v>
      </c>
      <c r="G97" s="2"/>
      <c r="H97" s="6">
        <v>78</v>
      </c>
      <c r="I97" s="2"/>
      <c r="J97" s="7">
        <f t="shared" si="49"/>
        <v>9.7182976981215175E-4</v>
      </c>
      <c r="K97" s="2"/>
      <c r="L97" s="6">
        <f t="shared" si="50"/>
        <v>-78</v>
      </c>
      <c r="M97" s="2"/>
      <c r="N97" s="7">
        <f t="shared" si="51"/>
        <v>-1</v>
      </c>
      <c r="O97" s="11"/>
      <c r="P97" s="6"/>
      <c r="Q97" s="2"/>
      <c r="R97" s="7">
        <f t="shared" si="52"/>
        <v>0</v>
      </c>
      <c r="S97" s="2"/>
      <c r="T97" s="6">
        <v>390</v>
      </c>
      <c r="U97" s="2"/>
      <c r="V97" s="7">
        <f t="shared" si="53"/>
        <v>1.121146209749489E-4</v>
      </c>
      <c r="W97" s="2"/>
      <c r="X97" s="6">
        <f t="shared" si="54"/>
        <v>-390</v>
      </c>
      <c r="Y97" s="2"/>
      <c r="Z97" s="7">
        <f t="shared" si="55"/>
        <v>-1</v>
      </c>
    </row>
    <row r="98" spans="1:26" s="27" customFormat="1" outlineLevel="1" collapsed="1" x14ac:dyDescent="0.25">
      <c r="A98" s="25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SUM(OSRRefD22_10x_0)</f>
        <v>250</v>
      </c>
      <c r="E98" s="1"/>
      <c r="F98" s="5">
        <f t="shared" ref="F98:F104" si="56">IF(D$12=0,0,D98/D$12)</f>
        <v>3.9557882121625306E-3</v>
      </c>
      <c r="G98" s="1"/>
      <c r="H98" s="1">
        <f>SUM(OSRRefH22_10x_0)</f>
        <v>255.71</v>
      </c>
      <c r="I98" s="1"/>
      <c r="J98" s="5">
        <f t="shared" ref="J98:J104" si="57">IF(H$12=0,0,H98/H$12)</f>
        <v>3.1859819287008372E-3</v>
      </c>
      <c r="K98" s="1"/>
      <c r="L98" s="1">
        <f t="shared" ref="L98:L104" si="58">+D98-H98</f>
        <v>-5.710000000000008</v>
      </c>
      <c r="M98" s="1"/>
      <c r="N98" s="5">
        <f t="shared" ref="N98:N104" si="59">IF(H98=0,0,L98/H98)</f>
        <v>-2.2329983184075742E-2</v>
      </c>
      <c r="O98" s="13"/>
      <c r="P98" s="1">
        <f>SUM(OSRRefP22_10x_0)</f>
        <v>1557.4</v>
      </c>
      <c r="Q98" s="1"/>
      <c r="R98" s="5">
        <f t="shared" ref="R98:R104" si="60">IF(P$12=0,0,P98/P$12)</f>
        <v>5.2968214391497191E-4</v>
      </c>
      <c r="S98" s="1"/>
      <c r="T98" s="1">
        <f>SUM(OSRRefT22_10x_0)</f>
        <v>5013.3599999999997</v>
      </c>
      <c r="U98" s="1"/>
      <c r="V98" s="5">
        <f t="shared" ref="V98:V104" si="61">IF(T$12=0,0,T98/T$12)</f>
        <v>1.4412075800281276E-3</v>
      </c>
      <c r="W98" s="1"/>
      <c r="X98" s="1">
        <f t="shared" ref="X98:X104" si="62">+P98-T98</f>
        <v>-3455.9599999999996</v>
      </c>
      <c r="Y98" s="1"/>
      <c r="Z98" s="5">
        <f t="shared" ref="Z98:Z104" si="63">IF(T98=0,0,X98/T98)</f>
        <v>-0.6893500566486348</v>
      </c>
    </row>
    <row r="99" spans="1:26" s="24" customFormat="1" hidden="1" outlineLevel="2" x14ac:dyDescent="0.25">
      <c r="A99" s="26"/>
      <c r="B99" s="11" t="str">
        <f>CONCATENATE("          ", "6258", " - ", "MEMBERSHIP DUES")</f>
        <v xml:space="preserve">          6258 - MEMBERSHIP DUES</v>
      </c>
      <c r="C99" s="11"/>
      <c r="D99" s="6">
        <v>250</v>
      </c>
      <c r="E99" s="2"/>
      <c r="F99" s="7">
        <f t="shared" si="56"/>
        <v>3.9557882121625306E-3</v>
      </c>
      <c r="G99" s="2"/>
      <c r="H99" s="6">
        <v>255.71</v>
      </c>
      <c r="I99" s="2"/>
      <c r="J99" s="7">
        <f t="shared" si="57"/>
        <v>3.1859819287008372E-3</v>
      </c>
      <c r="K99" s="2"/>
      <c r="L99" s="6">
        <f t="shared" si="58"/>
        <v>-5.710000000000008</v>
      </c>
      <c r="M99" s="2"/>
      <c r="N99" s="7">
        <f t="shared" si="59"/>
        <v>-2.2329983184075742E-2</v>
      </c>
      <c r="O99" s="11"/>
      <c r="P99" s="6">
        <v>1557.4</v>
      </c>
      <c r="Q99" s="2"/>
      <c r="R99" s="7">
        <f t="shared" si="60"/>
        <v>5.2968214391497191E-4</v>
      </c>
      <c r="S99" s="2"/>
      <c r="T99" s="6">
        <v>5013.3599999999997</v>
      </c>
      <c r="U99" s="2"/>
      <c r="V99" s="7">
        <f t="shared" si="61"/>
        <v>1.4412075800281276E-3</v>
      </c>
      <c r="W99" s="2"/>
      <c r="X99" s="6">
        <f t="shared" si="62"/>
        <v>-3455.9599999999996</v>
      </c>
      <c r="Y99" s="2"/>
      <c r="Z99" s="7">
        <f t="shared" si="63"/>
        <v>-0.6893500566486348</v>
      </c>
    </row>
    <row r="100" spans="1:26" s="27" customFormat="1" outlineLevel="1" collapsed="1" x14ac:dyDescent="0.25">
      <c r="A100" s="25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SUM(OSRRefD22_11x_0)</f>
        <v>208.46</v>
      </c>
      <c r="E100" s="1"/>
      <c r="F100" s="5">
        <f t="shared" si="56"/>
        <v>3.2984944428296049E-3</v>
      </c>
      <c r="G100" s="1"/>
      <c r="H100" s="1">
        <f>SUM(OSRRefH22_11x_0)</f>
        <v>4978.16</v>
      </c>
      <c r="I100" s="1"/>
      <c r="J100" s="5">
        <f t="shared" si="57"/>
        <v>6.2024667780616168E-2</v>
      </c>
      <c r="K100" s="1"/>
      <c r="L100" s="1">
        <f t="shared" si="58"/>
        <v>-4769.7</v>
      </c>
      <c r="M100" s="1"/>
      <c r="N100" s="5">
        <f t="shared" si="59"/>
        <v>-0.95812509039484473</v>
      </c>
      <c r="O100" s="13"/>
      <c r="P100" s="1">
        <f>SUM(OSRRefP22_11x_0)</f>
        <v>9423.0499999999993</v>
      </c>
      <c r="Q100" s="1"/>
      <c r="R100" s="5">
        <f t="shared" si="60"/>
        <v>3.2048422538962216E-3</v>
      </c>
      <c r="S100" s="1"/>
      <c r="T100" s="1">
        <f>SUM(OSRRefT22_11x_0)</f>
        <v>12381.06</v>
      </c>
      <c r="U100" s="1"/>
      <c r="V100" s="5">
        <f t="shared" si="61"/>
        <v>3.5592252542771814E-3</v>
      </c>
      <c r="W100" s="1"/>
      <c r="X100" s="1">
        <f t="shared" si="62"/>
        <v>-2958.01</v>
      </c>
      <c r="Y100" s="1"/>
      <c r="Z100" s="5">
        <f t="shared" si="63"/>
        <v>-0.23891411559268758</v>
      </c>
    </row>
    <row r="101" spans="1:26" s="24" customFormat="1" hidden="1" outlineLevel="2" x14ac:dyDescent="0.25">
      <c r="A101" s="26"/>
      <c r="B101" s="11" t="str">
        <f>CONCATENATE("          ", "6234", " - ", "EXPENDABLE SUPPLIES &amp; EQUIPMEN")</f>
        <v xml:space="preserve">          6234 - EXPENDABLE SUPPLIES &amp; EQUIPMEN</v>
      </c>
      <c r="C101" s="11"/>
      <c r="D101" s="6"/>
      <c r="E101" s="2"/>
      <c r="F101" s="7">
        <f t="shared" si="56"/>
        <v>0</v>
      </c>
      <c r="G101" s="2"/>
      <c r="H101" s="6"/>
      <c r="I101" s="2"/>
      <c r="J101" s="7">
        <f t="shared" si="57"/>
        <v>0</v>
      </c>
      <c r="K101" s="2"/>
      <c r="L101" s="6">
        <f t="shared" si="58"/>
        <v>0</v>
      </c>
      <c r="M101" s="2"/>
      <c r="N101" s="7">
        <f t="shared" si="59"/>
        <v>0</v>
      </c>
      <c r="O101" s="11"/>
      <c r="P101" s="6"/>
      <c r="Q101" s="2"/>
      <c r="R101" s="7">
        <f t="shared" si="60"/>
        <v>0</v>
      </c>
      <c r="S101" s="2"/>
      <c r="T101" s="6">
        <v>272.45999999999998</v>
      </c>
      <c r="U101" s="2"/>
      <c r="V101" s="7">
        <f t="shared" si="61"/>
        <v>7.8324999053421985E-5</v>
      </c>
      <c r="W101" s="2"/>
      <c r="X101" s="6">
        <f t="shared" si="62"/>
        <v>-272.45999999999998</v>
      </c>
      <c r="Y101" s="2"/>
      <c r="Z101" s="7">
        <f t="shared" si="63"/>
        <v>-1</v>
      </c>
    </row>
    <row r="102" spans="1:26" s="24" customFormat="1" hidden="1" outlineLevel="2" x14ac:dyDescent="0.25">
      <c r="A102" s="26"/>
      <c r="B102" s="11" t="str">
        <f>CONCATENATE("          ", "6241", " - ", "OFFICE EXPENSE")</f>
        <v xml:space="preserve">          6241 - OFFICE EXPENSE</v>
      </c>
      <c r="C102" s="11"/>
      <c r="D102" s="6">
        <v>208.46</v>
      </c>
      <c r="E102" s="2"/>
      <c r="F102" s="7">
        <f t="shared" si="56"/>
        <v>3.2984944428296049E-3</v>
      </c>
      <c r="G102" s="2"/>
      <c r="H102" s="6">
        <v>3350.04</v>
      </c>
      <c r="I102" s="2"/>
      <c r="J102" s="7">
        <f t="shared" si="57"/>
        <v>4.1739341052070521E-2</v>
      </c>
      <c r="K102" s="2"/>
      <c r="L102" s="6">
        <f t="shared" si="58"/>
        <v>-3141.58</v>
      </c>
      <c r="M102" s="2"/>
      <c r="N102" s="7">
        <f t="shared" si="59"/>
        <v>-0.93777387732683792</v>
      </c>
      <c r="O102" s="11"/>
      <c r="P102" s="6">
        <v>3583.93</v>
      </c>
      <c r="Q102" s="2"/>
      <c r="R102" s="7">
        <f t="shared" si="60"/>
        <v>1.2189185347638277E-3</v>
      </c>
      <c r="S102" s="2"/>
      <c r="T102" s="6">
        <v>4545.32</v>
      </c>
      <c r="U102" s="2"/>
      <c r="V102" s="7">
        <f t="shared" si="61"/>
        <v>1.3066585359227043E-3</v>
      </c>
      <c r="W102" s="2"/>
      <c r="X102" s="6">
        <f t="shared" si="62"/>
        <v>-961.38999999999987</v>
      </c>
      <c r="Y102" s="2"/>
      <c r="Z102" s="7">
        <f t="shared" si="63"/>
        <v>-0.21151206075699838</v>
      </c>
    </row>
    <row r="103" spans="1:26" s="24" customFormat="1" hidden="1" outlineLevel="2" x14ac:dyDescent="0.25">
      <c r="A103" s="26"/>
      <c r="B103" s="11" t="str">
        <f>CONCATENATE("          ", "6245", " - ", "PRINTING")</f>
        <v xml:space="preserve">          6245 - PRINTING</v>
      </c>
      <c r="C103" s="11"/>
      <c r="D103" s="6"/>
      <c r="E103" s="2"/>
      <c r="F103" s="7">
        <f t="shared" si="56"/>
        <v>0</v>
      </c>
      <c r="G103" s="2"/>
      <c r="H103" s="6">
        <v>1628.12</v>
      </c>
      <c r="I103" s="2"/>
      <c r="J103" s="7">
        <f t="shared" si="57"/>
        <v>2.0285326728545647E-2</v>
      </c>
      <c r="K103" s="2"/>
      <c r="L103" s="6">
        <f t="shared" si="58"/>
        <v>-1628.12</v>
      </c>
      <c r="M103" s="2"/>
      <c r="N103" s="7">
        <f t="shared" si="59"/>
        <v>-1</v>
      </c>
      <c r="O103" s="11"/>
      <c r="P103" s="6">
        <v>4978.08</v>
      </c>
      <c r="Q103" s="2"/>
      <c r="R103" s="7">
        <f t="shared" si="60"/>
        <v>1.6930782631181735E-3</v>
      </c>
      <c r="S103" s="2"/>
      <c r="T103" s="6">
        <v>2137.92</v>
      </c>
      <c r="U103" s="2"/>
      <c r="V103" s="7">
        <f t="shared" si="61"/>
        <v>6.1459510378144297E-4</v>
      </c>
      <c r="W103" s="2"/>
      <c r="X103" s="6">
        <f t="shared" si="62"/>
        <v>2840.16</v>
      </c>
      <c r="Y103" s="2"/>
      <c r="Z103" s="7">
        <f t="shared" si="63"/>
        <v>1.3284687920969913</v>
      </c>
    </row>
    <row r="104" spans="1:26" s="24" customFormat="1" hidden="1" outlineLevel="2" x14ac:dyDescent="0.25">
      <c r="A104" s="26"/>
      <c r="B104" s="11" t="str">
        <f>CONCATENATE("          ", "6247", " - ", "STORE SUPPLIES")</f>
        <v xml:space="preserve">          6247 - STORE SUPPLIES</v>
      </c>
      <c r="C104" s="11"/>
      <c r="D104" s="6"/>
      <c r="E104" s="2"/>
      <c r="F104" s="7">
        <f t="shared" si="56"/>
        <v>0</v>
      </c>
      <c r="G104" s="2"/>
      <c r="H104" s="6"/>
      <c r="I104" s="2"/>
      <c r="J104" s="7">
        <f t="shared" si="57"/>
        <v>0</v>
      </c>
      <c r="K104" s="2"/>
      <c r="L104" s="6">
        <f t="shared" si="58"/>
        <v>0</v>
      </c>
      <c r="M104" s="2"/>
      <c r="N104" s="7">
        <f t="shared" si="59"/>
        <v>0</v>
      </c>
      <c r="O104" s="11"/>
      <c r="P104" s="6">
        <v>861.04</v>
      </c>
      <c r="Q104" s="2"/>
      <c r="R104" s="7">
        <f t="shared" si="60"/>
        <v>2.9284545601422076E-4</v>
      </c>
      <c r="S104" s="2"/>
      <c r="T104" s="6">
        <v>5425.36</v>
      </c>
      <c r="U104" s="2"/>
      <c r="V104" s="7">
        <f t="shared" si="61"/>
        <v>1.5596466155196121E-3</v>
      </c>
      <c r="W104" s="2"/>
      <c r="X104" s="6">
        <f t="shared" si="62"/>
        <v>-4564.32</v>
      </c>
      <c r="Y104" s="2"/>
      <c r="Z104" s="7">
        <f t="shared" si="63"/>
        <v>-0.84129348098559353</v>
      </c>
    </row>
    <row r="105" spans="1:26" s="27" customFormat="1" outlineLevel="1" collapsed="1" x14ac:dyDescent="0.25">
      <c r="A105" s="25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SUM(OSRRefD22_12x_0)</f>
        <v>1065.45</v>
      </c>
      <c r="E105" s="1"/>
      <c r="F105" s="5">
        <f t="shared" ref="F105:F107" si="64">IF(D$12=0,0,D105/D$12)</f>
        <v>1.6858778202594273E-2</v>
      </c>
      <c r="G105" s="1"/>
      <c r="H105" s="1">
        <f>SUM(OSRRefH22_12x_0)</f>
        <v>472.35</v>
      </c>
      <c r="I105" s="1"/>
      <c r="J105" s="5">
        <f t="shared" ref="J105:J107" si="65">IF(H$12=0,0,H105/H$12)</f>
        <v>5.8851768175739727E-3</v>
      </c>
      <c r="K105" s="1"/>
      <c r="L105" s="1">
        <f t="shared" ref="L105:L107" si="66">+D105-H105</f>
        <v>593.1</v>
      </c>
      <c r="M105" s="1"/>
      <c r="N105" s="5">
        <f t="shared" ref="N105:N107" si="67">IF(H105=0,0,L105/H105)</f>
        <v>1.2556367100666879</v>
      </c>
      <c r="O105" s="13"/>
      <c r="P105" s="1">
        <f>SUM(OSRRefP22_12x_0)</f>
        <v>4934.04</v>
      </c>
      <c r="Q105" s="1"/>
      <c r="R105" s="5">
        <f t="shared" ref="R105:R107" si="68">IF(P$12=0,0,P105/P$12)</f>
        <v>1.6780999649173159E-3</v>
      </c>
      <c r="S105" s="1"/>
      <c r="T105" s="1">
        <f>SUM(OSRRefT22_12x_0)</f>
        <v>3854.95</v>
      </c>
      <c r="U105" s="1"/>
      <c r="V105" s="5">
        <f t="shared" ref="V105:V107" si="69">IF(T$12=0,0,T105/T$12)</f>
        <v>1.1081955336599467E-3</v>
      </c>
      <c r="W105" s="1"/>
      <c r="X105" s="1">
        <f t="shared" ref="X105:X107" si="70">+P105-T105</f>
        <v>1079.0900000000001</v>
      </c>
      <c r="Y105" s="1"/>
      <c r="Z105" s="5">
        <f t="shared" ref="Z105:Z107" si="71">IF(T105=0,0,X105/T105)</f>
        <v>0.27992321560590933</v>
      </c>
    </row>
    <row r="106" spans="1:26" s="24" customFormat="1" hidden="1" outlineLevel="2" x14ac:dyDescent="0.25">
      <c r="A106" s="26"/>
      <c r="B106" s="11" t="str">
        <f>CONCATENATE("          ", "6303", " - ", "DATA PHONE LINES")</f>
        <v xml:space="preserve">          6303 - DATA PHONE LINES</v>
      </c>
      <c r="C106" s="11"/>
      <c r="D106" s="6">
        <v>295</v>
      </c>
      <c r="E106" s="2"/>
      <c r="F106" s="7">
        <f t="shared" si="64"/>
        <v>4.6678300903517864E-3</v>
      </c>
      <c r="G106" s="2"/>
      <c r="H106" s="6"/>
      <c r="I106" s="2"/>
      <c r="J106" s="7">
        <f t="shared" si="65"/>
        <v>0</v>
      </c>
      <c r="K106" s="2"/>
      <c r="L106" s="6">
        <f t="shared" si="66"/>
        <v>295</v>
      </c>
      <c r="M106" s="2"/>
      <c r="N106" s="7">
        <f t="shared" si="67"/>
        <v>0</v>
      </c>
      <c r="O106" s="11"/>
      <c r="P106" s="6">
        <v>1770</v>
      </c>
      <c r="Q106" s="2"/>
      <c r="R106" s="7">
        <f t="shared" si="68"/>
        <v>6.0198882414890214E-4</v>
      </c>
      <c r="S106" s="2"/>
      <c r="T106" s="6">
        <v>885</v>
      </c>
      <c r="U106" s="2"/>
      <c r="V106" s="7">
        <f t="shared" si="69"/>
        <v>2.5441394759699945E-4</v>
      </c>
      <c r="W106" s="2"/>
      <c r="X106" s="6">
        <f t="shared" si="70"/>
        <v>885</v>
      </c>
      <c r="Y106" s="2"/>
      <c r="Z106" s="7">
        <f t="shared" si="71"/>
        <v>1</v>
      </c>
    </row>
    <row r="107" spans="1:26" s="24" customFormat="1" hidden="1" outlineLevel="2" x14ac:dyDescent="0.25">
      <c r="A107" s="26"/>
      <c r="B107" s="11" t="str">
        <f>CONCATENATE("          ", "6309", " - ", "TELEPHONE")</f>
        <v xml:space="preserve">          6309 - TELEPHONE</v>
      </c>
      <c r="C107" s="11"/>
      <c r="D107" s="6">
        <v>770.45</v>
      </c>
      <c r="E107" s="2"/>
      <c r="F107" s="7">
        <f t="shared" si="64"/>
        <v>1.2190948112242488E-2</v>
      </c>
      <c r="G107" s="2"/>
      <c r="H107" s="6">
        <v>472.35</v>
      </c>
      <c r="I107" s="2"/>
      <c r="J107" s="7">
        <f t="shared" si="65"/>
        <v>5.8851768175739727E-3</v>
      </c>
      <c r="K107" s="2"/>
      <c r="L107" s="6">
        <f t="shared" si="66"/>
        <v>298.10000000000002</v>
      </c>
      <c r="M107" s="2"/>
      <c r="N107" s="7">
        <f t="shared" si="67"/>
        <v>0.63109982004869269</v>
      </c>
      <c r="O107" s="11"/>
      <c r="P107" s="6">
        <v>3164.04</v>
      </c>
      <c r="Q107" s="2"/>
      <c r="R107" s="7">
        <f t="shared" si="68"/>
        <v>1.0761111407684139E-3</v>
      </c>
      <c r="S107" s="2"/>
      <c r="T107" s="6">
        <v>2969.95</v>
      </c>
      <c r="U107" s="2"/>
      <c r="V107" s="7">
        <f t="shared" si="69"/>
        <v>8.5378158606294738E-4</v>
      </c>
      <c r="W107" s="2"/>
      <c r="X107" s="6">
        <f t="shared" si="70"/>
        <v>194.09000000000015</v>
      </c>
      <c r="Y107" s="2"/>
      <c r="Z107" s="7">
        <f t="shared" si="71"/>
        <v>6.5351268539874455E-2</v>
      </c>
    </row>
    <row r="108" spans="1:26" s="27" customFormat="1" outlineLevel="1" collapsed="1" x14ac:dyDescent="0.25">
      <c r="A108" s="25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SUM(OSRRefD22_13x_0)</f>
        <v>0</v>
      </c>
      <c r="E108" s="1"/>
      <c r="F108" s="5">
        <f t="shared" ref="F108:F111" si="72">IF(D$12=0,0,D108/D$12)</f>
        <v>0</v>
      </c>
      <c r="G108" s="1"/>
      <c r="H108" s="1">
        <f>SUM(OSRRefH22_13x_0)</f>
        <v>468.3</v>
      </c>
      <c r="I108" s="1"/>
      <c r="J108" s="5">
        <f t="shared" ref="J108:J111" si="73">IF(H$12=0,0,H108/H$12)</f>
        <v>5.8347164256798804E-3</v>
      </c>
      <c r="K108" s="1"/>
      <c r="L108" s="1">
        <f t="shared" ref="L108:L111" si="74">+D108-H108</f>
        <v>-468.3</v>
      </c>
      <c r="M108" s="1"/>
      <c r="N108" s="5">
        <f t="shared" ref="N108:N111" si="75">IF(H108=0,0,L108/H108)</f>
        <v>-1</v>
      </c>
      <c r="O108" s="13"/>
      <c r="P108" s="1">
        <f>SUM(OSRRefP22_13x_0)</f>
        <v>547.47</v>
      </c>
      <c r="Q108" s="1"/>
      <c r="R108" s="5">
        <f t="shared" ref="R108:R111" si="76">IF(P$12=0,0,P108/P$12)</f>
        <v>1.8619820426937824E-4</v>
      </c>
      <c r="S108" s="1"/>
      <c r="T108" s="1">
        <f>SUM(OSRRefT22_13x_0)</f>
        <v>-555.96</v>
      </c>
      <c r="U108" s="1"/>
      <c r="V108" s="5">
        <f t="shared" ref="V108:V111" si="77">IF(T$12=0,0,T108/T$12)</f>
        <v>-1.598237043005964E-4</v>
      </c>
      <c r="W108" s="1"/>
      <c r="X108" s="1">
        <f t="shared" ref="X108:X111" si="78">+P108-T108</f>
        <v>1103.43</v>
      </c>
      <c r="Y108" s="1"/>
      <c r="Z108" s="5">
        <f t="shared" ref="Z108:Z111" si="79">IF(T108=0,0,X108/T108)</f>
        <v>-1.9847291172026764</v>
      </c>
    </row>
    <row r="109" spans="1:26" s="24" customFormat="1" hidden="1" outlineLevel="2" x14ac:dyDescent="0.25">
      <c r="A109" s="26"/>
      <c r="B109" s="11" t="str">
        <f>CONCATENATE("          ", "6376", " - ", "TRAINING")</f>
        <v xml:space="preserve">          6376 - TRAINING</v>
      </c>
      <c r="C109" s="11"/>
      <c r="D109" s="6"/>
      <c r="E109" s="2"/>
      <c r="F109" s="7">
        <f t="shared" si="72"/>
        <v>0</v>
      </c>
      <c r="G109" s="2"/>
      <c r="H109" s="6">
        <v>468.3</v>
      </c>
      <c r="I109" s="2"/>
      <c r="J109" s="7">
        <f t="shared" si="73"/>
        <v>5.8347164256798804E-3</v>
      </c>
      <c r="K109" s="2"/>
      <c r="L109" s="6">
        <f t="shared" si="74"/>
        <v>-468.3</v>
      </c>
      <c r="M109" s="2"/>
      <c r="N109" s="7">
        <f t="shared" si="75"/>
        <v>-1</v>
      </c>
      <c r="O109" s="11"/>
      <c r="P109" s="6">
        <v>547.47</v>
      </c>
      <c r="Q109" s="2"/>
      <c r="R109" s="7">
        <f t="shared" si="76"/>
        <v>1.8619820426937824E-4</v>
      </c>
      <c r="S109" s="2"/>
      <c r="T109" s="6">
        <v>-555.96</v>
      </c>
      <c r="U109" s="2"/>
      <c r="V109" s="7">
        <f t="shared" si="77"/>
        <v>-1.598237043005964E-4</v>
      </c>
      <c r="W109" s="2"/>
      <c r="X109" s="6">
        <f t="shared" si="78"/>
        <v>1103.43</v>
      </c>
      <c r="Y109" s="2"/>
      <c r="Z109" s="7">
        <f t="shared" si="79"/>
        <v>-1.9847291172026764</v>
      </c>
    </row>
    <row r="110" spans="1:26" s="27" customFormat="1" outlineLevel="1" collapsed="1" x14ac:dyDescent="0.25">
      <c r="A110" s="25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SUM(OSRRefD22_14x_0)</f>
        <v>0</v>
      </c>
      <c r="E110" s="1"/>
      <c r="F110" s="5">
        <f t="shared" si="72"/>
        <v>0</v>
      </c>
      <c r="G110" s="1"/>
      <c r="H110" s="1">
        <f>SUM(OSRRefH22_14x_0)</f>
        <v>0</v>
      </c>
      <c r="I110" s="1"/>
      <c r="J110" s="5">
        <f t="shared" si="73"/>
        <v>0</v>
      </c>
      <c r="K110" s="1"/>
      <c r="L110" s="1">
        <f t="shared" si="74"/>
        <v>0</v>
      </c>
      <c r="M110" s="1"/>
      <c r="N110" s="5">
        <f t="shared" si="75"/>
        <v>0</v>
      </c>
      <c r="O110" s="13"/>
      <c r="P110" s="1">
        <f>SUM(OSRRefP22_14x_0)</f>
        <v>83.93</v>
      </c>
      <c r="Q110" s="1"/>
      <c r="R110" s="5">
        <f t="shared" si="76"/>
        <v>2.8545153678427889E-5</v>
      </c>
      <c r="S110" s="1"/>
      <c r="T110" s="1">
        <f>SUM(OSRRefT22_14x_0)</f>
        <v>68.27</v>
      </c>
      <c r="U110" s="1"/>
      <c r="V110" s="5">
        <f t="shared" si="77"/>
        <v>1.9625808138358363E-5</v>
      </c>
      <c r="W110" s="1"/>
      <c r="X110" s="1">
        <f t="shared" si="78"/>
        <v>15.660000000000011</v>
      </c>
      <c r="Y110" s="1"/>
      <c r="Z110" s="5">
        <f t="shared" si="79"/>
        <v>0.22938333089204646</v>
      </c>
    </row>
    <row r="111" spans="1:26" s="24" customFormat="1" hidden="1" outlineLevel="2" x14ac:dyDescent="0.25">
      <c r="A111" s="26"/>
      <c r="B111" s="11" t="str">
        <f>CONCATENATE("          ", "6292", " - ", "TRAVEL/CONFERENCE")</f>
        <v xml:space="preserve">          6292 - TRAVEL/CONFERENCE</v>
      </c>
      <c r="C111" s="11"/>
      <c r="D111" s="6"/>
      <c r="E111" s="2"/>
      <c r="F111" s="7">
        <f t="shared" si="72"/>
        <v>0</v>
      </c>
      <c r="G111" s="2"/>
      <c r="H111" s="6"/>
      <c r="I111" s="2"/>
      <c r="J111" s="7">
        <f t="shared" si="73"/>
        <v>0</v>
      </c>
      <c r="K111" s="2"/>
      <c r="L111" s="6">
        <f t="shared" si="74"/>
        <v>0</v>
      </c>
      <c r="M111" s="2"/>
      <c r="N111" s="7">
        <f t="shared" si="75"/>
        <v>0</v>
      </c>
      <c r="O111" s="11"/>
      <c r="P111" s="6">
        <v>83.93</v>
      </c>
      <c r="Q111" s="2"/>
      <c r="R111" s="7">
        <f t="shared" si="76"/>
        <v>2.8545153678427889E-5</v>
      </c>
      <c r="S111" s="2"/>
      <c r="T111" s="6">
        <v>68.27</v>
      </c>
      <c r="U111" s="2"/>
      <c r="V111" s="7">
        <f t="shared" si="77"/>
        <v>1.9625808138358363E-5</v>
      </c>
      <c r="W111" s="2"/>
      <c r="X111" s="6">
        <f t="shared" si="78"/>
        <v>15.660000000000011</v>
      </c>
      <c r="Y111" s="2"/>
      <c r="Z111" s="7">
        <f t="shared" si="79"/>
        <v>0.22938333089204646</v>
      </c>
    </row>
    <row r="112" spans="1:26" s="61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8" t="s">
        <v>0</v>
      </c>
      <c r="C113" s="10"/>
      <c r="D113" s="4">
        <f>SUM(OSRRefD25x_0)</f>
        <v>3606.87</v>
      </c>
      <c r="E113" s="4"/>
      <c r="F113" s="12">
        <f t="shared" ref="F113:F116" si="80">IF(D$12=0,0,D113/D$12)</f>
        <v>5.7072055315210667E-2</v>
      </c>
      <c r="G113" s="4"/>
      <c r="H113" s="4">
        <f>SUM(OSRRefH25x_0)</f>
        <v>5932.6</v>
      </c>
      <c r="I113" s="4"/>
      <c r="J113" s="12">
        <f t="shared" ref="J113:J116" si="81">IF(H$12=0,0,H113/H$12)</f>
        <v>7.3916375543430404E-2</v>
      </c>
      <c r="K113" s="4"/>
      <c r="L113" s="4">
        <f t="shared" ref="L113:L116" si="82">+D113-H113</f>
        <v>-2325.7300000000005</v>
      </c>
      <c r="M113" s="4"/>
      <c r="N113" s="12">
        <f t="shared" ref="N113:N116" si="83">IF(H113=0,0,L113/H113)</f>
        <v>-0.39202541887199549</v>
      </c>
      <c r="O113" s="10"/>
      <c r="P113" s="4">
        <f>SUM(OSRRefP25x_0)</f>
        <v>146048.81</v>
      </c>
      <c r="Q113" s="4"/>
      <c r="R113" s="12">
        <f t="shared" ref="R113:R116" si="84">IF(P$12=0,0,P113/P$12)</f>
        <v>4.9672175932342612E-2</v>
      </c>
      <c r="S113" s="4"/>
      <c r="T113" s="4">
        <f>SUM(OSRRefT25x_0)</f>
        <v>52127.93</v>
      </c>
      <c r="U113" s="4"/>
      <c r="V113" s="12">
        <f t="shared" ref="V113:V116" si="85">IF(T$12=0,0,T113/T$12)</f>
        <v>1.4985392600406841E-2</v>
      </c>
      <c r="W113" s="4"/>
      <c r="X113" s="4">
        <f t="shared" ref="X113:X116" si="86">+P113-T113</f>
        <v>93920.88</v>
      </c>
      <c r="Y113" s="4"/>
      <c r="Z113" s="12">
        <f t="shared" ref="Z113:Z116" si="87">IF(T113=0,0,X113/T113)</f>
        <v>1.801738146901287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>--224.43</f>
        <v>224.43</v>
      </c>
      <c r="E114" s="2"/>
      <c r="F114" s="19">
        <f t="shared" si="80"/>
        <v>3.5511901938225471E-3</v>
      </c>
      <c r="G114" s="2"/>
      <c r="H114" s="2">
        <f>--5342.43</f>
        <v>5342.43</v>
      </c>
      <c r="I114" s="2"/>
      <c r="J114" s="19">
        <f t="shared" si="81"/>
        <v>6.6563237399199157E-2</v>
      </c>
      <c r="K114" s="2"/>
      <c r="L114" s="2">
        <f t="shared" si="82"/>
        <v>-5118</v>
      </c>
      <c r="M114" s="2"/>
      <c r="N114" s="19">
        <f t="shared" si="83"/>
        <v>-0.95799102655533153</v>
      </c>
      <c r="O114" s="11"/>
      <c r="P114" s="2">
        <f>--54141.85</f>
        <v>54141.85</v>
      </c>
      <c r="Q114" s="2"/>
      <c r="R114" s="19">
        <f t="shared" si="84"/>
        <v>1.8414004869348157E-2</v>
      </c>
      <c r="S114" s="2"/>
      <c r="T114" s="2">
        <f>--48282.85</f>
        <v>48282.85</v>
      </c>
      <c r="U114" s="2"/>
      <c r="V114" s="19">
        <f t="shared" si="85"/>
        <v>1.3880034429077721E-2</v>
      </c>
      <c r="W114" s="2"/>
      <c r="X114" s="2">
        <f t="shared" si="86"/>
        <v>5859</v>
      </c>
      <c r="Y114" s="2"/>
      <c r="Z114" s="19">
        <f t="shared" si="87"/>
        <v>0.12134743495878972</v>
      </c>
    </row>
    <row r="115" spans="1:26" s="24" customFormat="1" hidden="1" outlineLevel="1" x14ac:dyDescent="0.25">
      <c r="A115" s="44"/>
      <c r="B115" s="11" t="str">
        <f>CONCATENATE("          ", "9151", " - ", "MISC. INCOME")</f>
        <v xml:space="preserve">          9151 - MISC. INCOME</v>
      </c>
      <c r="C115" s="11"/>
      <c r="D115" s="2">
        <f>0</f>
        <v>0</v>
      </c>
      <c r="E115" s="2"/>
      <c r="F115" s="19">
        <f t="shared" si="80"/>
        <v>0</v>
      </c>
      <c r="G115" s="2"/>
      <c r="H115" s="2">
        <f>0</f>
        <v>0</v>
      </c>
      <c r="I115" s="2"/>
      <c r="J115" s="19">
        <f t="shared" si="81"/>
        <v>0</v>
      </c>
      <c r="K115" s="2"/>
      <c r="L115" s="2">
        <f t="shared" si="82"/>
        <v>0</v>
      </c>
      <c r="M115" s="2"/>
      <c r="N115" s="19">
        <f t="shared" si="83"/>
        <v>0</v>
      </c>
      <c r="O115" s="11"/>
      <c r="P115" s="2">
        <f>--87676.2</f>
        <v>87676.2</v>
      </c>
      <c r="Q115" s="2"/>
      <c r="R115" s="19">
        <f t="shared" si="84"/>
        <v>2.9819261324205638E-2</v>
      </c>
      <c r="S115" s="2"/>
      <c r="T115" s="2">
        <f>0</f>
        <v>0</v>
      </c>
      <c r="U115" s="2"/>
      <c r="V115" s="19">
        <f t="shared" si="85"/>
        <v>0</v>
      </c>
      <c r="W115" s="2"/>
      <c r="X115" s="2">
        <f t="shared" si="86"/>
        <v>87676.2</v>
      </c>
      <c r="Y115" s="2"/>
      <c r="Z115" s="19">
        <f t="shared" si="87"/>
        <v>0</v>
      </c>
    </row>
    <row r="116" spans="1:26" s="24" customFormat="1" hidden="1" outlineLevel="1" x14ac:dyDescent="0.25">
      <c r="A116" s="44"/>
      <c r="B116" s="11" t="str">
        <f>CONCATENATE("          ", "9152", " - ", "MISC. INCOME")</f>
        <v xml:space="preserve">          9152 - MISC. INCOME</v>
      </c>
      <c r="C116" s="11"/>
      <c r="D116" s="2">
        <f>--3382.44</f>
        <v>3382.44</v>
      </c>
      <c r="E116" s="2"/>
      <c r="F116" s="19">
        <f t="shared" si="80"/>
        <v>5.3520865121388123E-2</v>
      </c>
      <c r="G116" s="2"/>
      <c r="H116" s="2">
        <f>--590.17</f>
        <v>590.16999999999996</v>
      </c>
      <c r="I116" s="2"/>
      <c r="J116" s="19">
        <f t="shared" si="81"/>
        <v>7.3531381442312506E-3</v>
      </c>
      <c r="K116" s="2"/>
      <c r="L116" s="2">
        <f t="shared" si="82"/>
        <v>2792.27</v>
      </c>
      <c r="M116" s="2"/>
      <c r="N116" s="19">
        <f t="shared" si="83"/>
        <v>4.7312977616618941</v>
      </c>
      <c r="O116" s="11"/>
      <c r="P116" s="2">
        <f>--4230.76</f>
        <v>4230.76</v>
      </c>
      <c r="Q116" s="2"/>
      <c r="R116" s="19">
        <f t="shared" si="84"/>
        <v>1.4389097387888189E-3</v>
      </c>
      <c r="S116" s="2"/>
      <c r="T116" s="2">
        <f>--3845.08</f>
        <v>3845.08</v>
      </c>
      <c r="U116" s="2"/>
      <c r="V116" s="19">
        <f t="shared" si="85"/>
        <v>1.1053581713291192E-3</v>
      </c>
      <c r="W116" s="2"/>
      <c r="X116" s="2">
        <f t="shared" si="86"/>
        <v>385.68000000000029</v>
      </c>
      <c r="Y116" s="2"/>
      <c r="Z116" s="19">
        <f t="shared" si="87"/>
        <v>0.10030480510158445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9" t="s">
        <v>3</v>
      </c>
      <c r="C118" s="29"/>
      <c r="D118" s="20">
        <f>+D60-D62+D113</f>
        <v>-11946.420000000024</v>
      </c>
      <c r="E118" s="14"/>
      <c r="F118" s="21">
        <f>IF(D$12=0,0,D118/D$12)</f>
        <v>-0.18903002965417118</v>
      </c>
      <c r="G118" s="14"/>
      <c r="H118" s="20">
        <f>+H60-H62+H113</f>
        <v>-21836.780000000042</v>
      </c>
      <c r="I118" s="14"/>
      <c r="J118" s="21">
        <f>IF(H$12=0,0,H118/H$12)</f>
        <v>-0.27207221642100821</v>
      </c>
      <c r="K118" s="15"/>
      <c r="L118" s="20">
        <f>+D118-H118</f>
        <v>9890.3600000000188</v>
      </c>
      <c r="M118" s="15"/>
      <c r="N118" s="21">
        <f>IF(H118=0,0,L118/H118)</f>
        <v>-0.4529220883298728</v>
      </c>
      <c r="O118" s="28"/>
      <c r="P118" s="20">
        <f>+P60-P62+P113</f>
        <v>676199.88999999897</v>
      </c>
      <c r="Q118" s="14"/>
      <c r="R118" s="21">
        <f>IF(P$12=0,0,P118/P$12)</f>
        <v>0.22998009981396406</v>
      </c>
      <c r="S118" s="14"/>
      <c r="T118" s="20">
        <f>+T60-T62+T113</f>
        <v>616846.88000000047</v>
      </c>
      <c r="U118" s="14"/>
      <c r="V118" s="21">
        <f>IF(T$12=0,0,T118/T$12)</f>
        <v>0.1773270619250765</v>
      </c>
      <c r="W118" s="15"/>
      <c r="X118" s="20">
        <f>+P118-T118</f>
        <v>59353.009999998496</v>
      </c>
      <c r="Y118" s="15"/>
      <c r="Z118" s="21">
        <f>IF(T118=0,0,X118/T118)</f>
        <v>9.6220005198045994E-2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12909.36</v>
      </c>
      <c r="E120" s="4"/>
      <c r="F120" s="12">
        <f>IF(D$12=0,0,D120/D$12)</f>
        <v>0.20426677645824995</v>
      </c>
      <c r="G120" s="4"/>
      <c r="H120" s="4">
        <v>17812.21</v>
      </c>
      <c r="I120" s="4"/>
      <c r="J120" s="12">
        <f>IF(H$12=0,0,H120/H$12)</f>
        <v>0.22192866595058597</v>
      </c>
      <c r="K120" s="4"/>
      <c r="L120" s="4">
        <f>+D120-H120</f>
        <v>-4902.8499999999985</v>
      </c>
      <c r="M120" s="4"/>
      <c r="N120" s="12">
        <f>IF(H120=0,0,L120/H120)</f>
        <v>-0.27525220059723071</v>
      </c>
      <c r="O120" s="10"/>
      <c r="P120" s="4">
        <v>317570.06</v>
      </c>
      <c r="Q120" s="4"/>
      <c r="R120" s="12">
        <f>IF(P$12=0,0,P120/P$12)</f>
        <v>0.10800769887248379</v>
      </c>
      <c r="S120" s="4"/>
      <c r="T120" s="4">
        <v>375391.76</v>
      </c>
      <c r="U120" s="4"/>
      <c r="V120" s="12">
        <f>IF(T$12=0,0,T120/T$12)</f>
        <v>0.10791514074235636</v>
      </c>
      <c r="W120" s="4"/>
      <c r="X120" s="4">
        <f>+P120-T120</f>
        <v>-57821.700000000012</v>
      </c>
      <c r="Y120" s="4"/>
      <c r="Z120" s="12">
        <f>IF(T120=0,0,X120/T120)</f>
        <v>-0.15403028558751533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9" t="s">
        <v>4</v>
      </c>
      <c r="C122" s="29"/>
      <c r="D122" s="32">
        <f>+D118-D120</f>
        <v>-24855.780000000024</v>
      </c>
      <c r="E122" s="14"/>
      <c r="F122" s="30">
        <f>IF(D$12=0,0,D122/D$12)</f>
        <v>-0.39329680611242113</v>
      </c>
      <c r="G122" s="14"/>
      <c r="H122" s="32">
        <f>+H118-H120</f>
        <v>-39648.990000000042</v>
      </c>
      <c r="I122" s="14"/>
      <c r="J122" s="30">
        <f>IF(H$12=0,0,H122/H$12)</f>
        <v>-0.49400088237159417</v>
      </c>
      <c r="K122" s="15"/>
      <c r="L122" s="32">
        <f>D122-H122</f>
        <v>14793.210000000017</v>
      </c>
      <c r="M122" s="15"/>
      <c r="N122" s="30">
        <f>IF(H122=0,0,L122/H122)</f>
        <v>-0.37310433380522434</v>
      </c>
      <c r="O122" s="28"/>
      <c r="P122" s="32">
        <f>+P118-P120</f>
        <v>358629.82999999897</v>
      </c>
      <c r="Q122" s="14"/>
      <c r="R122" s="30">
        <f>IF(P$12=0,0,P122/P$12)</f>
        <v>0.12197240094148026</v>
      </c>
      <c r="S122" s="14"/>
      <c r="T122" s="32">
        <f>+T118-T120</f>
        <v>241455.12000000046</v>
      </c>
      <c r="U122" s="14"/>
      <c r="V122" s="30">
        <f>IF(T$12=0,0,T122/T$12)</f>
        <v>6.9411921182720146E-2</v>
      </c>
      <c r="W122" s="15"/>
      <c r="X122" s="32">
        <f>P122-T122</f>
        <v>117174.70999999851</v>
      </c>
      <c r="Y122" s="15"/>
      <c r="Z122" s="30">
        <f>IF(T122=0,0,X122/T122)</f>
        <v>0.48528567130818467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9" t="s">
        <v>5</v>
      </c>
      <c r="C125" s="29"/>
      <c r="D125" s="36">
        <f>SUM(D122:D124)</f>
        <v>-24855.780000000024</v>
      </c>
      <c r="E125" s="14"/>
      <c r="F125" s="31">
        <f>IF(D$12=0,0,D125/D$12)</f>
        <v>-0.39329680611242113</v>
      </c>
      <c r="G125" s="14"/>
      <c r="H125" s="36">
        <f>SUM(H122:H124)</f>
        <v>-39648.990000000042</v>
      </c>
      <c r="I125" s="14"/>
      <c r="J125" s="31">
        <f>IF(H$12=0,0,H125/H$12)</f>
        <v>-0.49400088237159417</v>
      </c>
      <c r="K125" s="15"/>
      <c r="L125" s="36">
        <f>+D125-H125</f>
        <v>14793.210000000017</v>
      </c>
      <c r="M125" s="15"/>
      <c r="N125" s="31">
        <f>IF(H125=0,0,L125/H125)</f>
        <v>-0.37310433380522434</v>
      </c>
      <c r="O125" s="28"/>
      <c r="P125" s="36">
        <f>SUM(P122:P124)</f>
        <v>358629.82999999897</v>
      </c>
      <c r="Q125" s="14"/>
      <c r="R125" s="31">
        <f>IF(P$12=0,0,P125/P$12)</f>
        <v>0.12197240094148026</v>
      </c>
      <c r="S125" s="14"/>
      <c r="T125" s="36">
        <f>SUM(T122:T124)</f>
        <v>241455.12000000046</v>
      </c>
      <c r="U125" s="14"/>
      <c r="V125" s="31">
        <f>IF(T$12=0,0,T125/T$12)</f>
        <v>6.9411921182720146E-2</v>
      </c>
      <c r="W125" s="15"/>
      <c r="X125" s="36">
        <f>+P125-T125</f>
        <v>117174.70999999851</v>
      </c>
      <c r="Y125" s="15"/>
      <c r="Z125" s="31">
        <f>IF(T125=0,0,X125/T125)</f>
        <v>0.48528567130818467</v>
      </c>
    </row>
    <row r="126" spans="1:26" ht="15.75" thickTop="1" x14ac:dyDescent="0.25">
      <c r="A126" s="9"/>
      <c r="C126" s="9"/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25">
      <c r="A127" s="9"/>
      <c r="B127" s="62">
        <v>43847.453240543982</v>
      </c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25">
      <c r="A128" s="9"/>
      <c r="B128" s="56" t="s">
        <v>313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54"/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","311", " - ", "Textbooks")</f>
        <v>Department 311 - Textbooks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63043.359999999993</v>
      </c>
      <c r="E12" s="4"/>
      <c r="F12" s="12"/>
      <c r="G12" s="4"/>
      <c r="H12" s="4">
        <f>SUM(OSRRefH13x_0)</f>
        <v>81228.529999999984</v>
      </c>
      <c r="I12" s="4"/>
      <c r="J12" s="12"/>
      <c r="K12" s="4"/>
      <c r="L12" s="4">
        <f t="shared" ref="L12:L39" si="0">+D12-H12</f>
        <v>-18185.169999999991</v>
      </c>
      <c r="M12" s="4"/>
      <c r="N12" s="12">
        <f t="shared" ref="N12:N39" si="1">IF(H12=0,0,L12/H12)</f>
        <v>-0.22387663546293396</v>
      </c>
      <c r="O12" s="10"/>
      <c r="P12" s="4">
        <f>SUM(OSRRefP13x_0)</f>
        <v>2037279.6700000002</v>
      </c>
      <c r="Q12" s="4"/>
      <c r="R12" s="12"/>
      <c r="S12" s="4"/>
      <c r="T12" s="4">
        <f>SUM(OSRRefT13x_0)</f>
        <v>2401213.6700000004</v>
      </c>
      <c r="U12" s="4"/>
      <c r="V12" s="12"/>
      <c r="W12" s="4"/>
      <c r="X12" s="4">
        <f t="shared" ref="X12:X39" si="2">+P12-T12</f>
        <v>-363934.00000000023</v>
      </c>
      <c r="Y12" s="4"/>
      <c r="Z12" s="12">
        <f t="shared" ref="Z12:Z39" si="3">IF(T12=0,0,X12/T12)</f>
        <v>-0.15156252213073573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--37225.05</f>
        <v>37225.050000000003</v>
      </c>
      <c r="E13" s="2"/>
      <c r="F13" s="19"/>
      <c r="G13" s="2"/>
      <c r="H13" s="2">
        <f>--22087.12</f>
        <v>22087.119999999999</v>
      </c>
      <c r="I13" s="2"/>
      <c r="J13" s="19"/>
      <c r="K13" s="2"/>
      <c r="L13" s="2">
        <f t="shared" si="0"/>
        <v>15137.930000000004</v>
      </c>
      <c r="M13" s="2"/>
      <c r="N13" s="19">
        <f t="shared" si="1"/>
        <v>0.68537364762812014</v>
      </c>
      <c r="O13" s="11"/>
      <c r="P13" s="2">
        <f>--1283550.77</f>
        <v>1283550.77</v>
      </c>
      <c r="Q13" s="2"/>
      <c r="R13" s="19"/>
      <c r="S13" s="2"/>
      <c r="T13" s="2">
        <f>--1564483.57</f>
        <v>1564483.57</v>
      </c>
      <c r="U13" s="2"/>
      <c r="V13" s="19"/>
      <c r="W13" s="2"/>
      <c r="X13" s="2">
        <f t="shared" si="2"/>
        <v>-280932.80000000005</v>
      </c>
      <c r="Y13" s="2"/>
      <c r="Z13" s="19">
        <f t="shared" si="3"/>
        <v>-0.17956903184352396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--10013.4</f>
        <v>10013.4</v>
      </c>
      <c r="E14" s="2"/>
      <c r="F14" s="19"/>
      <c r="G14" s="2"/>
      <c r="H14" s="2">
        <f>--12642.7</f>
        <v>12642.7</v>
      </c>
      <c r="I14" s="2"/>
      <c r="J14" s="19"/>
      <c r="K14" s="2"/>
      <c r="L14" s="2">
        <f t="shared" si="0"/>
        <v>-2629.3000000000011</v>
      </c>
      <c r="M14" s="2"/>
      <c r="N14" s="19">
        <f t="shared" si="1"/>
        <v>-0.20796981657399138</v>
      </c>
      <c r="O14" s="11"/>
      <c r="P14" s="2">
        <f>--370532.88</f>
        <v>370532.88</v>
      </c>
      <c r="Q14" s="2"/>
      <c r="R14" s="19"/>
      <c r="S14" s="2"/>
      <c r="T14" s="2">
        <f>--374301.85</f>
        <v>374301.85</v>
      </c>
      <c r="U14" s="2"/>
      <c r="V14" s="19"/>
      <c r="W14" s="2"/>
      <c r="X14" s="2">
        <f t="shared" si="2"/>
        <v>-3768.9699999999721</v>
      </c>
      <c r="Y14" s="2"/>
      <c r="Z14" s="19">
        <f t="shared" si="3"/>
        <v>-1.0069333079705516E-2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--586.01</f>
        <v>586.01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586.01</v>
      </c>
      <c r="M15" s="2"/>
      <c r="N15" s="19">
        <f t="shared" si="1"/>
        <v>0</v>
      </c>
      <c r="O15" s="11"/>
      <c r="P15" s="2">
        <f>--16430.67</f>
        <v>16430.669999999998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6486.4199999999983</v>
      </c>
      <c r="Y15" s="2"/>
      <c r="Z15" s="19">
        <f t="shared" si="3"/>
        <v>0.65227845237197357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0</f>
        <v>0</v>
      </c>
      <c r="E16" s="2"/>
      <c r="F16" s="19"/>
      <c r="G16" s="2"/>
      <c r="H16" s="2">
        <f>--56.78</f>
        <v>56.78</v>
      </c>
      <c r="I16" s="2"/>
      <c r="J16" s="19"/>
      <c r="K16" s="2"/>
      <c r="L16" s="2">
        <f t="shared" si="0"/>
        <v>-56.78</v>
      </c>
      <c r="M16" s="2"/>
      <c r="N16" s="19">
        <f t="shared" si="1"/>
        <v>-1</v>
      </c>
      <c r="O16" s="11"/>
      <c r="P16" s="2">
        <f>--30279.88</f>
        <v>30279.88</v>
      </c>
      <c r="Q16" s="2"/>
      <c r="R16" s="19"/>
      <c r="S16" s="2"/>
      <c r="T16" s="2">
        <f>--42682.1</f>
        <v>42682.1</v>
      </c>
      <c r="U16" s="2"/>
      <c r="V16" s="19"/>
      <c r="W16" s="2"/>
      <c r="X16" s="2">
        <f t="shared" si="2"/>
        <v>-12402.219999999998</v>
      </c>
      <c r="Y16" s="2"/>
      <c r="Z16" s="19">
        <f t="shared" si="3"/>
        <v>-0.29057192593616521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--3.62</f>
        <v>3.62</v>
      </c>
      <c r="E17" s="2"/>
      <c r="F17" s="19"/>
      <c r="G17" s="2"/>
      <c r="H17" s="2">
        <f>--0.52</f>
        <v>0.52</v>
      </c>
      <c r="I17" s="2"/>
      <c r="J17" s="19"/>
      <c r="K17" s="2"/>
      <c r="L17" s="2">
        <f t="shared" si="0"/>
        <v>3.1</v>
      </c>
      <c r="M17" s="2"/>
      <c r="N17" s="19">
        <f t="shared" si="1"/>
        <v>5.9615384615384617</v>
      </c>
      <c r="O17" s="11"/>
      <c r="P17" s="2">
        <f>--13.22</f>
        <v>13.22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7.3900000000000006</v>
      </c>
      <c r="Y17" s="2"/>
      <c r="Z17" s="19">
        <f t="shared" si="3"/>
        <v>1.2675814751286449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--167.6</f>
        <v>167.6</v>
      </c>
      <c r="E18" s="2"/>
      <c r="F18" s="19"/>
      <c r="G18" s="2"/>
      <c r="H18" s="2">
        <f>--192.11</f>
        <v>192.11</v>
      </c>
      <c r="I18" s="2"/>
      <c r="J18" s="19"/>
      <c r="K18" s="2"/>
      <c r="L18" s="2">
        <f t="shared" si="0"/>
        <v>-24.510000000000019</v>
      </c>
      <c r="M18" s="2"/>
      <c r="N18" s="19">
        <f t="shared" si="1"/>
        <v>-0.12758315548383747</v>
      </c>
      <c r="O18" s="11"/>
      <c r="P18" s="2">
        <f>--1280.32</f>
        <v>1280.32</v>
      </c>
      <c r="Q18" s="2"/>
      <c r="R18" s="19"/>
      <c r="S18" s="2"/>
      <c r="T18" s="2">
        <f>--2779.19</f>
        <v>2779.19</v>
      </c>
      <c r="U18" s="2"/>
      <c r="V18" s="19"/>
      <c r="W18" s="2"/>
      <c r="X18" s="2">
        <f t="shared" si="2"/>
        <v>-1498.8700000000001</v>
      </c>
      <c r="Y18" s="2"/>
      <c r="Z18" s="19">
        <f t="shared" si="3"/>
        <v>-0.53931901021520667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--109.34</f>
        <v>109.34</v>
      </c>
      <c r="E19" s="2"/>
      <c r="F19" s="19"/>
      <c r="G19" s="2"/>
      <c r="H19" s="2">
        <f>--66.52</f>
        <v>66.52</v>
      </c>
      <c r="I19" s="2"/>
      <c r="J19" s="19"/>
      <c r="K19" s="2"/>
      <c r="L19" s="2">
        <f t="shared" si="0"/>
        <v>42.820000000000007</v>
      </c>
      <c r="M19" s="2"/>
      <c r="N19" s="19">
        <f t="shared" si="1"/>
        <v>0.64371617558629002</v>
      </c>
      <c r="O19" s="11"/>
      <c r="P19" s="2">
        <f>--992.69</f>
        <v>992.69</v>
      </c>
      <c r="Q19" s="2"/>
      <c r="R19" s="19"/>
      <c r="S19" s="2"/>
      <c r="T19" s="2">
        <f>--1210.44</f>
        <v>1210.44</v>
      </c>
      <c r="U19" s="2"/>
      <c r="V19" s="19"/>
      <c r="W19" s="2"/>
      <c r="X19" s="2">
        <f t="shared" si="2"/>
        <v>-217.75</v>
      </c>
      <c r="Y19" s="2"/>
      <c r="Z19" s="19">
        <f t="shared" si="3"/>
        <v>-0.17989326195433064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--157.74</f>
        <v>157.74</v>
      </c>
      <c r="E20" s="2"/>
      <c r="F20" s="19"/>
      <c r="G20" s="2"/>
      <c r="H20" s="2">
        <f>--447.93</f>
        <v>447.93</v>
      </c>
      <c r="I20" s="2"/>
      <c r="J20" s="19"/>
      <c r="K20" s="2"/>
      <c r="L20" s="2">
        <f t="shared" si="0"/>
        <v>-290.19</v>
      </c>
      <c r="M20" s="2"/>
      <c r="N20" s="19">
        <f t="shared" si="1"/>
        <v>-0.64784676177081235</v>
      </c>
      <c r="O20" s="11"/>
      <c r="P20" s="2">
        <f>--2890.39</f>
        <v>2890.39</v>
      </c>
      <c r="Q20" s="2"/>
      <c r="R20" s="19"/>
      <c r="S20" s="2"/>
      <c r="T20" s="2">
        <f>--4167.48</f>
        <v>4167.4799999999996</v>
      </c>
      <c r="U20" s="2"/>
      <c r="V20" s="19"/>
      <c r="W20" s="2"/>
      <c r="X20" s="2">
        <f t="shared" si="2"/>
        <v>-1277.0899999999997</v>
      </c>
      <c r="Y20" s="2"/>
      <c r="Z20" s="19">
        <f t="shared" si="3"/>
        <v>-0.30644178256404347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--2606.82</f>
        <v>2606.8200000000002</v>
      </c>
      <c r="E21" s="2"/>
      <c r="F21" s="19"/>
      <c r="G21" s="2"/>
      <c r="H21" s="2">
        <f>--45608.9</f>
        <v>45608.9</v>
      </c>
      <c r="I21" s="2"/>
      <c r="J21" s="19"/>
      <c r="K21" s="2"/>
      <c r="L21" s="2">
        <f t="shared" si="0"/>
        <v>-43002.080000000002</v>
      </c>
      <c r="M21" s="2"/>
      <c r="N21" s="19">
        <f t="shared" si="1"/>
        <v>-0.94284405017441775</v>
      </c>
      <c r="O21" s="11"/>
      <c r="P21" s="2">
        <f>--95287.57</f>
        <v>95287.57</v>
      </c>
      <c r="Q21" s="2"/>
      <c r="R21" s="19"/>
      <c r="S21" s="2"/>
      <c r="T21" s="2">
        <f>--194261.23</f>
        <v>194261.23</v>
      </c>
      <c r="U21" s="2"/>
      <c r="V21" s="19"/>
      <c r="W21" s="2"/>
      <c r="X21" s="2">
        <f t="shared" si="2"/>
        <v>-98973.66</v>
      </c>
      <c r="Y21" s="2"/>
      <c r="Z21" s="19">
        <f t="shared" si="3"/>
        <v>-0.50948745665823281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--595.75</f>
        <v>595.75</v>
      </c>
      <c r="E22" s="2"/>
      <c r="F22" s="19"/>
      <c r="G22" s="2"/>
      <c r="H22" s="2">
        <f>--3095.04</f>
        <v>3095.04</v>
      </c>
      <c r="I22" s="2"/>
      <c r="J22" s="19"/>
      <c r="K22" s="2"/>
      <c r="L22" s="2">
        <f t="shared" si="0"/>
        <v>-2499.29</v>
      </c>
      <c r="M22" s="2"/>
      <c r="N22" s="19">
        <f t="shared" si="1"/>
        <v>-0.80751460401157982</v>
      </c>
      <c r="O22" s="11"/>
      <c r="P22" s="2">
        <f>--38202.59</f>
        <v>38202.589999999997</v>
      </c>
      <c r="Q22" s="2"/>
      <c r="R22" s="19"/>
      <c r="S22" s="2"/>
      <c r="T22" s="2">
        <f>--53955.66</f>
        <v>53955.66</v>
      </c>
      <c r="U22" s="2"/>
      <c r="V22" s="19"/>
      <c r="W22" s="2"/>
      <c r="X22" s="2">
        <f t="shared" si="2"/>
        <v>-15753.070000000007</v>
      </c>
      <c r="Y22" s="2"/>
      <c r="Z22" s="19">
        <f t="shared" si="3"/>
        <v>-0.29196325278942015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--329.98</f>
        <v>329.98</v>
      </c>
      <c r="Q23" s="2"/>
      <c r="R23" s="19"/>
      <c r="S23" s="2"/>
      <c r="T23" s="2">
        <f>--509.85</f>
        <v>509.85</v>
      </c>
      <c r="U23" s="2"/>
      <c r="V23" s="19"/>
      <c r="W23" s="2"/>
      <c r="X23" s="2">
        <f t="shared" si="2"/>
        <v>-179.87</v>
      </c>
      <c r="Y23" s="2"/>
      <c r="Z23" s="19">
        <f t="shared" si="3"/>
        <v>-0.35279003628518191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--12189.74</f>
        <v>12189.74</v>
      </c>
      <c r="E24" s="2"/>
      <c r="F24" s="19"/>
      <c r="G24" s="2"/>
      <c r="H24" s="2">
        <f>--3241.51</f>
        <v>3241.51</v>
      </c>
      <c r="I24" s="2"/>
      <c r="J24" s="19"/>
      <c r="K24" s="2"/>
      <c r="L24" s="2">
        <f t="shared" si="0"/>
        <v>8948.23</v>
      </c>
      <c r="M24" s="2"/>
      <c r="N24" s="19">
        <f t="shared" si="1"/>
        <v>2.7605128474075351</v>
      </c>
      <c r="O24" s="11"/>
      <c r="P24" s="2">
        <f>--332888.83</f>
        <v>332888.83</v>
      </c>
      <c r="Q24" s="2"/>
      <c r="R24" s="19"/>
      <c r="S24" s="2"/>
      <c r="T24" s="2">
        <f>--340965.12</f>
        <v>340965.12</v>
      </c>
      <c r="U24" s="2"/>
      <c r="V24" s="19"/>
      <c r="W24" s="2"/>
      <c r="X24" s="2">
        <f t="shared" si="2"/>
        <v>-8076.289999999979</v>
      </c>
      <c r="Y24" s="2"/>
      <c r="Z24" s="19">
        <f t="shared" si="3"/>
        <v>-2.3686557733529984E-2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--431.78</f>
        <v>431.78</v>
      </c>
      <c r="E25" s="2"/>
      <c r="F25" s="19"/>
      <c r="G25" s="2"/>
      <c r="H25" s="2">
        <f>--1236.5</f>
        <v>1236.5</v>
      </c>
      <c r="I25" s="2"/>
      <c r="J25" s="19"/>
      <c r="K25" s="2"/>
      <c r="L25" s="2">
        <f t="shared" si="0"/>
        <v>-804.72</v>
      </c>
      <c r="M25" s="2"/>
      <c r="N25" s="19">
        <f t="shared" si="1"/>
        <v>-0.6508046906591185</v>
      </c>
      <c r="O25" s="11"/>
      <c r="P25" s="2">
        <f>--8023.97</f>
        <v>8023.97</v>
      </c>
      <c r="Q25" s="2"/>
      <c r="R25" s="19"/>
      <c r="S25" s="2"/>
      <c r="T25" s="2">
        <f>--11154.48</f>
        <v>11154.48</v>
      </c>
      <c r="U25" s="2"/>
      <c r="V25" s="19"/>
      <c r="W25" s="2"/>
      <c r="X25" s="2">
        <f t="shared" si="2"/>
        <v>-3130.5099999999993</v>
      </c>
      <c r="Y25" s="2"/>
      <c r="Z25" s="19">
        <f t="shared" si="3"/>
        <v>-0.28065046510460367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--1146.72</f>
        <v>1146.72</v>
      </c>
      <c r="Q26" s="2"/>
      <c r="R26" s="19"/>
      <c r="S26" s="2"/>
      <c r="T26" s="2">
        <f>--38.23</f>
        <v>38.229999999999997</v>
      </c>
      <c r="U26" s="2"/>
      <c r="V26" s="19"/>
      <c r="W26" s="2"/>
      <c r="X26" s="2">
        <f t="shared" si="2"/>
        <v>1108.49</v>
      </c>
      <c r="Y26" s="2"/>
      <c r="Z26" s="19">
        <f t="shared" si="3"/>
        <v>28.995291655767723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--6.95</f>
        <v>6.95</v>
      </c>
      <c r="E27" s="2"/>
      <c r="F27" s="19"/>
      <c r="G27" s="2"/>
      <c r="H27" s="2">
        <f>--10.89</f>
        <v>10.89</v>
      </c>
      <c r="I27" s="2"/>
      <c r="J27" s="19"/>
      <c r="K27" s="2"/>
      <c r="L27" s="2">
        <f t="shared" si="0"/>
        <v>-3.9400000000000004</v>
      </c>
      <c r="M27" s="2"/>
      <c r="N27" s="19">
        <f t="shared" si="1"/>
        <v>-0.36179981634527092</v>
      </c>
      <c r="O27" s="11"/>
      <c r="P27" s="2">
        <f>--41.91</f>
        <v>41.91</v>
      </c>
      <c r="Q27" s="2"/>
      <c r="R27" s="19"/>
      <c r="S27" s="2"/>
      <c r="T27" s="2">
        <f>--132.64</f>
        <v>132.63999999999999</v>
      </c>
      <c r="U27" s="2"/>
      <c r="V27" s="19"/>
      <c r="W27" s="2"/>
      <c r="X27" s="2">
        <f t="shared" si="2"/>
        <v>-90.72999999999999</v>
      </c>
      <c r="Y27" s="2"/>
      <c r="Z27" s="19">
        <f t="shared" si="3"/>
        <v>-0.68403196622436668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-631.8</f>
        <v>-631.79999999999995</v>
      </c>
      <c r="E28" s="2"/>
      <c r="F28" s="19"/>
      <c r="G28" s="2"/>
      <c r="H28" s="2">
        <f>-1458.3</f>
        <v>-1458.3</v>
      </c>
      <c r="I28" s="2"/>
      <c r="J28" s="19"/>
      <c r="K28" s="2"/>
      <c r="L28" s="2">
        <f t="shared" si="0"/>
        <v>826.5</v>
      </c>
      <c r="M28" s="2"/>
      <c r="N28" s="19">
        <f t="shared" si="1"/>
        <v>-0.56675581156140709</v>
      </c>
      <c r="O28" s="11"/>
      <c r="P28" s="2">
        <f>-78730.37</f>
        <v>-78730.37</v>
      </c>
      <c r="Q28" s="2"/>
      <c r="R28" s="19"/>
      <c r="S28" s="2"/>
      <c r="T28" s="2">
        <f>-114020.87</f>
        <v>-114020.87</v>
      </c>
      <c r="U28" s="2"/>
      <c r="V28" s="19"/>
      <c r="W28" s="2"/>
      <c r="X28" s="2">
        <f t="shared" si="2"/>
        <v>35290.5</v>
      </c>
      <c r="Y28" s="2"/>
      <c r="Z28" s="19">
        <f t="shared" si="3"/>
        <v>-0.30950912758339766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-166.15</f>
        <v>-166.15</v>
      </c>
      <c r="E29" s="2"/>
      <c r="F29" s="19"/>
      <c r="G29" s="2"/>
      <c r="H29" s="2">
        <f>-493.55</f>
        <v>-493.55</v>
      </c>
      <c r="I29" s="2"/>
      <c r="J29" s="19"/>
      <c r="K29" s="2"/>
      <c r="L29" s="2">
        <f t="shared" si="0"/>
        <v>327.39999999999998</v>
      </c>
      <c r="M29" s="2"/>
      <c r="N29" s="19">
        <f t="shared" si="1"/>
        <v>-0.66335730928983883</v>
      </c>
      <c r="O29" s="11"/>
      <c r="P29" s="2">
        <f>-27208.35</f>
        <v>-27208.35</v>
      </c>
      <c r="Q29" s="2"/>
      <c r="R29" s="19"/>
      <c r="S29" s="2"/>
      <c r="T29" s="2">
        <f>-29961.95</f>
        <v>-29961.95</v>
      </c>
      <c r="U29" s="2"/>
      <c r="V29" s="19"/>
      <c r="W29" s="2"/>
      <c r="X29" s="2">
        <f t="shared" si="2"/>
        <v>2753.6000000000022</v>
      </c>
      <c r="Y29" s="2"/>
      <c r="Z29" s="19">
        <f t="shared" si="3"/>
        <v>-9.1903230597474531E-2</v>
      </c>
    </row>
    <row r="30" spans="1:26" s="24" customFormat="1" hidden="1" outlineLevel="1" x14ac:dyDescent="0.25">
      <c r="A30" s="44"/>
      <c r="B30" s="11" t="str">
        <f>CONCATENATE("          ", "4203", " - ", "SALES RETURN TAXABLE-RENTAL TE")</f>
        <v xml:space="preserve">          4203 - SALES RETURN TAXABLE-RENTAL TE</v>
      </c>
      <c r="C30" s="11"/>
      <c r="D30" s="2">
        <f t="shared" ref="D30:D32" si="4"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-144.99</f>
        <v>-144.99</v>
      </c>
      <c r="Q30" s="2"/>
      <c r="R30" s="19"/>
      <c r="S30" s="2"/>
      <c r="T30" s="2">
        <f>-1699.5</f>
        <v>-1699.5</v>
      </c>
      <c r="U30" s="2"/>
      <c r="V30" s="19"/>
      <c r="W30" s="2"/>
      <c r="X30" s="2">
        <f t="shared" si="2"/>
        <v>1554.51</v>
      </c>
      <c r="Y30" s="2"/>
      <c r="Z30" s="19">
        <f t="shared" si="3"/>
        <v>-0.9146866725507502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4"/>
        <v>0</v>
      </c>
      <c r="E31" s="2"/>
      <c r="F31" s="19"/>
      <c r="G31" s="2"/>
      <c r="H31" s="2">
        <f>-56.78</f>
        <v>-56.78</v>
      </c>
      <c r="I31" s="2"/>
      <c r="J31" s="19"/>
      <c r="K31" s="2"/>
      <c r="L31" s="2">
        <f t="shared" si="0"/>
        <v>56.78</v>
      </c>
      <c r="M31" s="2"/>
      <c r="N31" s="19">
        <f t="shared" si="1"/>
        <v>-1</v>
      </c>
      <c r="O31" s="11"/>
      <c r="P31" s="2">
        <f>-11369.46</f>
        <v>-11369.46</v>
      </c>
      <c r="Q31" s="2"/>
      <c r="R31" s="19"/>
      <c r="S31" s="2"/>
      <c r="T31" s="2">
        <f>-16043.85</f>
        <v>-16043.85</v>
      </c>
      <c r="U31" s="2"/>
      <c r="V31" s="19"/>
      <c r="W31" s="2"/>
      <c r="X31" s="2">
        <f t="shared" si="2"/>
        <v>4674.3900000000012</v>
      </c>
      <c r="Y31" s="2"/>
      <c r="Z31" s="19">
        <f t="shared" si="3"/>
        <v>-0.29135089146308407</v>
      </c>
    </row>
    <row r="32" spans="1:26" s="24" customFormat="1" hidden="1" outlineLevel="1" x14ac:dyDescent="0.25">
      <c r="A32" s="44"/>
      <c r="B32" s="11" t="str">
        <f>CONCATENATE("          ", "4213", " - ", "NON-TAXABLE SALES-TRADE BOOKS")</f>
        <v xml:space="preserve">          4213 - NON-TAXABLE SALES-TRADE BOOKS</v>
      </c>
      <c r="C32" s="11"/>
      <c r="D32" s="2">
        <f t="shared" si="4"/>
        <v>0</v>
      </c>
      <c r="E32" s="2"/>
      <c r="F32" s="19"/>
      <c r="G32" s="2"/>
      <c r="H32" s="2">
        <f t="shared" ref="H32:H33" si="5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-102.71</f>
        <v>-102.71</v>
      </c>
      <c r="Q32" s="2"/>
      <c r="R32" s="19"/>
      <c r="S32" s="2"/>
      <c r="T32" s="2">
        <f>-96.96</f>
        <v>-96.96</v>
      </c>
      <c r="U32" s="2"/>
      <c r="V32" s="19"/>
      <c r="W32" s="2"/>
      <c r="X32" s="2">
        <f t="shared" si="2"/>
        <v>-5.75</v>
      </c>
      <c r="Y32" s="2"/>
      <c r="Z32" s="19">
        <f t="shared" si="3"/>
        <v>5.9302805280528059E-2</v>
      </c>
    </row>
    <row r="33" spans="1:26" s="24" customFormat="1" hidden="1" outlineLevel="1" x14ac:dyDescent="0.25">
      <c r="A33" s="44"/>
      <c r="B33" s="11" t="str">
        <f>CONCATENATE("          ", "4214", " - ", "SALES RETURN TAXABLE-REMAINDER")</f>
        <v xml:space="preserve">          4214 - SALES RETURN TAXABLE-REMAINDER</v>
      </c>
      <c r="C33" s="11"/>
      <c r="D33" s="2">
        <f>-11.94</f>
        <v>-11.94</v>
      </c>
      <c r="E33" s="2"/>
      <c r="F33" s="19"/>
      <c r="G33" s="2"/>
      <c r="H33" s="2">
        <f t="shared" si="5"/>
        <v>0</v>
      </c>
      <c r="I33" s="2"/>
      <c r="J33" s="19"/>
      <c r="K33" s="2"/>
      <c r="L33" s="2">
        <f t="shared" si="0"/>
        <v>-11.94</v>
      </c>
      <c r="M33" s="2"/>
      <c r="N33" s="19">
        <f t="shared" si="1"/>
        <v>0</v>
      </c>
      <c r="O33" s="11"/>
      <c r="P33" s="2">
        <f>-11.94</f>
        <v>-11.94</v>
      </c>
      <c r="Q33" s="2"/>
      <c r="R33" s="19"/>
      <c r="S33" s="2"/>
      <c r="T33" s="2">
        <f>-3.95</f>
        <v>-3.95</v>
      </c>
      <c r="U33" s="2"/>
      <c r="V33" s="19"/>
      <c r="W33" s="2"/>
      <c r="X33" s="2">
        <f t="shared" si="2"/>
        <v>-7.9899999999999993</v>
      </c>
      <c r="Y33" s="2"/>
      <c r="Z33" s="19">
        <f t="shared" si="3"/>
        <v>2.022784810126582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 t="shared" ref="D34:D35" si="6">0</f>
        <v>0</v>
      </c>
      <c r="E34" s="2"/>
      <c r="F34" s="19"/>
      <c r="G34" s="2"/>
      <c r="H34" s="2">
        <f>-16.9</f>
        <v>-16.899999999999999</v>
      </c>
      <c r="I34" s="2"/>
      <c r="J34" s="19"/>
      <c r="K34" s="2"/>
      <c r="L34" s="2">
        <f t="shared" si="0"/>
        <v>16.899999999999999</v>
      </c>
      <c r="M34" s="2"/>
      <c r="N34" s="19">
        <f t="shared" si="1"/>
        <v>-1</v>
      </c>
      <c r="O34" s="11"/>
      <c r="P34" s="2">
        <f>-32.75</f>
        <v>-32.75</v>
      </c>
      <c r="Q34" s="2"/>
      <c r="R34" s="19"/>
      <c r="S34" s="2"/>
      <c r="T34" s="2">
        <f>-39.8</f>
        <v>-39.799999999999997</v>
      </c>
      <c r="U34" s="2"/>
      <c r="V34" s="19"/>
      <c r="W34" s="2"/>
      <c r="X34" s="2">
        <f t="shared" si="2"/>
        <v>7.0499999999999972</v>
      </c>
      <c r="Y34" s="2"/>
      <c r="Z34" s="19">
        <f t="shared" si="3"/>
        <v>-0.17713567839195973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 t="shared" si="6"/>
        <v>0</v>
      </c>
      <c r="E35" s="2"/>
      <c r="F35" s="19"/>
      <c r="G35" s="2"/>
      <c r="H35" s="2">
        <f>-5102.08</f>
        <v>-5102.08</v>
      </c>
      <c r="I35" s="2"/>
      <c r="J35" s="19"/>
      <c r="K35" s="2"/>
      <c r="L35" s="2">
        <f t="shared" si="0"/>
        <v>5102.08</v>
      </c>
      <c r="M35" s="2"/>
      <c r="N35" s="19">
        <f t="shared" si="1"/>
        <v>-1</v>
      </c>
      <c r="O35" s="11"/>
      <c r="P35" s="2">
        <f>-12310.98</f>
        <v>-12310.98</v>
      </c>
      <c r="Q35" s="2"/>
      <c r="R35" s="19"/>
      <c r="S35" s="2"/>
      <c r="T35" s="2">
        <f>-30135.07</f>
        <v>-30135.07</v>
      </c>
      <c r="U35" s="2"/>
      <c r="V35" s="19"/>
      <c r="W35" s="2"/>
      <c r="X35" s="2">
        <f t="shared" si="2"/>
        <v>17824.09</v>
      </c>
      <c r="Y35" s="2"/>
      <c r="Z35" s="19">
        <f t="shared" si="3"/>
        <v>-0.59147332327417856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>-14.1</f>
        <v>-14.1</v>
      </c>
      <c r="E36" s="2"/>
      <c r="F36" s="19"/>
      <c r="G36" s="2"/>
      <c r="H36" s="2">
        <f>-307.4</f>
        <v>-307.39999999999998</v>
      </c>
      <c r="I36" s="2"/>
      <c r="J36" s="19"/>
      <c r="K36" s="2"/>
      <c r="L36" s="2">
        <f t="shared" si="0"/>
        <v>293.29999999999995</v>
      </c>
      <c r="M36" s="2"/>
      <c r="N36" s="19">
        <f t="shared" si="1"/>
        <v>-0.9541314248536108</v>
      </c>
      <c r="O36" s="11"/>
      <c r="P36" s="2">
        <f>-697.9</f>
        <v>-697.9</v>
      </c>
      <c r="Q36" s="2"/>
      <c r="R36" s="19"/>
      <c r="S36" s="2"/>
      <c r="T36" s="2">
        <f>-2513.44</f>
        <v>-2513.44</v>
      </c>
      <c r="U36" s="2"/>
      <c r="V36" s="19"/>
      <c r="W36" s="2"/>
      <c r="X36" s="2">
        <f t="shared" si="2"/>
        <v>1815.54</v>
      </c>
      <c r="Y36" s="2"/>
      <c r="Z36" s="19">
        <f t="shared" si="3"/>
        <v>-0.72233273919409258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>0</f>
        <v>0</v>
      </c>
      <c r="E37" s="2"/>
      <c r="F37" s="19"/>
      <c r="G37" s="2"/>
      <c r="H37" s="2">
        <f t="shared" ref="H37:H38" si="7"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>
        <f>-509.85</f>
        <v>-509.85</v>
      </c>
      <c r="U37" s="2"/>
      <c r="V37" s="19"/>
      <c r="W37" s="2"/>
      <c r="X37" s="2">
        <f t="shared" si="2"/>
        <v>324.86</v>
      </c>
      <c r="Y37" s="2"/>
      <c r="Z37" s="19">
        <f t="shared" si="3"/>
        <v>-0.63716779444934779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-226.45</f>
        <v>-226.45</v>
      </c>
      <c r="E38" s="2"/>
      <c r="F38" s="19"/>
      <c r="G38" s="2"/>
      <c r="H38" s="2">
        <f t="shared" si="7"/>
        <v>0</v>
      </c>
      <c r="I38" s="2"/>
      <c r="J38" s="19"/>
      <c r="K38" s="2"/>
      <c r="L38" s="2">
        <f t="shared" si="0"/>
        <v>-226.45</v>
      </c>
      <c r="M38" s="2"/>
      <c r="N38" s="19">
        <f t="shared" si="1"/>
        <v>0</v>
      </c>
      <c r="O38" s="11"/>
      <c r="P38" s="2">
        <f>-13430.32</f>
        <v>-13430.32</v>
      </c>
      <c r="Q38" s="2"/>
      <c r="R38" s="19"/>
      <c r="S38" s="2"/>
      <c r="T38" s="2">
        <f>-3743.75</f>
        <v>-3743.75</v>
      </c>
      <c r="U38" s="2"/>
      <c r="V38" s="19"/>
      <c r="W38" s="2"/>
      <c r="X38" s="2">
        <f t="shared" si="2"/>
        <v>-9686.57</v>
      </c>
      <c r="Y38" s="2"/>
      <c r="Z38" s="19">
        <f t="shared" si="3"/>
        <v>2.5873976627712856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0</f>
        <v>0</v>
      </c>
      <c r="E39" s="2"/>
      <c r="F39" s="19"/>
      <c r="G39" s="2"/>
      <c r="H39" s="2">
        <f>-22.98</f>
        <v>-22.98</v>
      </c>
      <c r="I39" s="2"/>
      <c r="J39" s="19"/>
      <c r="K39" s="2"/>
      <c r="L39" s="2">
        <f t="shared" si="0"/>
        <v>22.98</v>
      </c>
      <c r="M39" s="2"/>
      <c r="N39" s="19">
        <f t="shared" si="1"/>
        <v>-1</v>
      </c>
      <c r="O39" s="11"/>
      <c r="P39" s="2">
        <f>-387.96</f>
        <v>-387.96</v>
      </c>
      <c r="Q39" s="2"/>
      <c r="R39" s="19"/>
      <c r="S39" s="2"/>
      <c r="T39" s="2">
        <f>-609.26</f>
        <v>-609.26</v>
      </c>
      <c r="U39" s="2"/>
      <c r="V39" s="19"/>
      <c r="W39" s="2"/>
      <c r="X39" s="2">
        <f t="shared" si="2"/>
        <v>221.3</v>
      </c>
      <c r="Y39" s="2"/>
      <c r="Z39" s="19">
        <f t="shared" si="3"/>
        <v>-0.3632275219118275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8" t="s">
        <v>8</v>
      </c>
      <c r="C41" s="10"/>
      <c r="D41" s="4">
        <f>SUM(OSRRefD16x_0)</f>
        <v>46642.580000000038</v>
      </c>
      <c r="E41" s="4"/>
      <c r="F41" s="12">
        <f t="shared" ref="F41:F57" si="8">IF(D$12=0,0,D41/D$12)</f>
        <v>0.73984920854472291</v>
      </c>
      <c r="G41" s="4"/>
      <c r="H41" s="4">
        <f>SUM(OSRRefH16x_0)</f>
        <v>60809.760000000002</v>
      </c>
      <c r="I41" s="4"/>
      <c r="J41" s="12">
        <f t="shared" ref="J41:J57" si="9">IF(H$12=0,0,H41/H$12)</f>
        <v>0.74862563682981842</v>
      </c>
      <c r="K41" s="4"/>
      <c r="L41" s="4">
        <f t="shared" ref="L41:L57" si="10">+D41-H41</f>
        <v>-14167.179999999964</v>
      </c>
      <c r="M41" s="4"/>
      <c r="N41" s="12">
        <f t="shared" ref="N41:N57" si="11">IF(H41=0,0,L41/H41)</f>
        <v>-0.23297543025987874</v>
      </c>
      <c r="O41" s="10"/>
      <c r="P41" s="4">
        <f>SUM(OSRRefP16x_0)</f>
        <v>1485404.19</v>
      </c>
      <c r="Q41" s="4"/>
      <c r="R41" s="12">
        <f t="shared" ref="R41:R57" si="12">IF(P$12=0,0,P41/P$12)</f>
        <v>0.72911157553542949</v>
      </c>
      <c r="S41" s="4"/>
      <c r="T41" s="4">
        <f>SUM(OSRRefT16x_0)</f>
        <v>1771553.0599999998</v>
      </c>
      <c r="U41" s="4"/>
      <c r="V41" s="12">
        <f t="shared" ref="V41:V57" si="13">IF(T$12=0,0,T41/T$12)</f>
        <v>0.73777401908593976</v>
      </c>
      <c r="W41" s="4"/>
      <c r="X41" s="4">
        <f t="shared" ref="X41:X57" si="14">+P41-T41</f>
        <v>-286148.86999999988</v>
      </c>
      <c r="Y41" s="4"/>
      <c r="Z41" s="12">
        <f t="shared" ref="Z41:Z57" si="15">IF(T41=0,0,X41/T41)</f>
        <v>-0.16152430116882863</v>
      </c>
    </row>
    <row r="42" spans="1:26" s="24" customFormat="1" hidden="1" outlineLevel="1" x14ac:dyDescent="0.25">
      <c r="A42" s="44"/>
      <c r="B42" s="11" t="str">
        <f>CONCATENATE("          ", "5001", " - ", "PURCHASES @ COST-NEW TEXT")</f>
        <v xml:space="preserve">          5001 - PURCHASES @ COST-NEW TEXT</v>
      </c>
      <c r="C42" s="11"/>
      <c r="D42" s="2">
        <v>162207.46000000002</v>
      </c>
      <c r="E42" s="2"/>
      <c r="F42" s="19">
        <f t="shared" si="8"/>
        <v>2.5729507437420853</v>
      </c>
      <c r="G42" s="2"/>
      <c r="H42" s="2">
        <v>439389.38</v>
      </c>
      <c r="I42" s="2"/>
      <c r="J42" s="19">
        <f t="shared" si="9"/>
        <v>5.4092986786785389</v>
      </c>
      <c r="K42" s="2"/>
      <c r="L42" s="2">
        <f t="shared" si="10"/>
        <v>-277181.92</v>
      </c>
      <c r="M42" s="2"/>
      <c r="N42" s="19">
        <f t="shared" si="11"/>
        <v>-0.63083436381643998</v>
      </c>
      <c r="O42" s="11"/>
      <c r="P42" s="2">
        <v>1434989.29</v>
      </c>
      <c r="Q42" s="2"/>
      <c r="R42" s="19">
        <f t="shared" si="12"/>
        <v>0.70436539034427215</v>
      </c>
      <c r="S42" s="2"/>
      <c r="T42" s="2">
        <v>1800454.86</v>
      </c>
      <c r="U42" s="2"/>
      <c r="V42" s="19">
        <f t="shared" si="13"/>
        <v>0.74981034903070487</v>
      </c>
      <c r="W42" s="2"/>
      <c r="X42" s="2">
        <f t="shared" si="14"/>
        <v>-365465.57000000007</v>
      </c>
      <c r="Y42" s="2"/>
      <c r="Z42" s="19">
        <f t="shared" si="15"/>
        <v>-0.2029851334345589</v>
      </c>
    </row>
    <row r="43" spans="1:26" s="24" customFormat="1" hidden="1" outlineLevel="1" x14ac:dyDescent="0.25">
      <c r="A43" s="44"/>
      <c r="B43" s="11" t="str">
        <f>CONCATENATE("          ", "5002", " - ", "PURCHASES @ COST-USED TEXT")</f>
        <v xml:space="preserve">          5002 - PURCHASES @ COST-USED TEXT</v>
      </c>
      <c r="C43" s="11"/>
      <c r="D43" s="2">
        <v>47515.25</v>
      </c>
      <c r="E43" s="2"/>
      <c r="F43" s="19">
        <f t="shared" si="8"/>
        <v>0.75369158623525145</v>
      </c>
      <c r="G43" s="2"/>
      <c r="H43" s="2">
        <v>-54216.32</v>
      </c>
      <c r="I43" s="2"/>
      <c r="J43" s="19">
        <f t="shared" si="9"/>
        <v>-0.66745415680919018</v>
      </c>
      <c r="K43" s="2"/>
      <c r="L43" s="2">
        <f t="shared" si="10"/>
        <v>101731.57</v>
      </c>
      <c r="M43" s="2"/>
      <c r="N43" s="19">
        <f t="shared" si="11"/>
        <v>-1.8764012385938404</v>
      </c>
      <c r="O43" s="11"/>
      <c r="P43" s="2">
        <v>-114508.34999999999</v>
      </c>
      <c r="Q43" s="2"/>
      <c r="R43" s="19">
        <f t="shared" si="12"/>
        <v>-5.6206495203478854E-2</v>
      </c>
      <c r="S43" s="2"/>
      <c r="T43" s="2">
        <v>-182219.31</v>
      </c>
      <c r="U43" s="2"/>
      <c r="V43" s="19">
        <f t="shared" si="13"/>
        <v>-7.5886337095523851E-2</v>
      </c>
      <c r="W43" s="2"/>
      <c r="X43" s="2">
        <f t="shared" si="14"/>
        <v>67710.960000000006</v>
      </c>
      <c r="Y43" s="2"/>
      <c r="Z43" s="19">
        <f t="shared" si="15"/>
        <v>-0.37159047523558292</v>
      </c>
    </row>
    <row r="44" spans="1:26" s="24" customFormat="1" hidden="1" outlineLevel="1" x14ac:dyDescent="0.25">
      <c r="A44" s="44"/>
      <c r="B44" s="11" t="str">
        <f>CONCATENATE("          ", "5003", " - ", "PURCHASES @ COST-RENTAL TEXT")</f>
        <v xml:space="preserve">          5003 - PURCHASES @ COST-RENTAL TEXT</v>
      </c>
      <c r="C44" s="11"/>
      <c r="D44" s="2"/>
      <c r="E44" s="2"/>
      <c r="F44" s="19">
        <f t="shared" si="8"/>
        <v>0</v>
      </c>
      <c r="G44" s="2"/>
      <c r="H44" s="2">
        <v>9907.4500000000007</v>
      </c>
      <c r="I44" s="2"/>
      <c r="J44" s="19">
        <f t="shared" si="9"/>
        <v>0.1219700762773868</v>
      </c>
      <c r="K44" s="2"/>
      <c r="L44" s="2">
        <f t="shared" si="10"/>
        <v>-9907.4500000000007</v>
      </c>
      <c r="M44" s="2"/>
      <c r="N44" s="19">
        <f t="shared" si="11"/>
        <v>-1</v>
      </c>
      <c r="O44" s="11"/>
      <c r="P44" s="2">
        <v>-78.400000000000006</v>
      </c>
      <c r="Q44" s="2"/>
      <c r="R44" s="19">
        <f t="shared" si="12"/>
        <v>-3.8482689026195409E-5</v>
      </c>
      <c r="S44" s="2"/>
      <c r="T44" s="2">
        <v>8143.75</v>
      </c>
      <c r="U44" s="2"/>
      <c r="V44" s="19">
        <f t="shared" si="13"/>
        <v>3.391514092121589E-3</v>
      </c>
      <c r="W44" s="2"/>
      <c r="X44" s="2">
        <f t="shared" si="14"/>
        <v>-8222.15</v>
      </c>
      <c r="Y44" s="2"/>
      <c r="Z44" s="19">
        <f t="shared" si="15"/>
        <v>-1.0096270145817343</v>
      </c>
    </row>
    <row r="45" spans="1:26" s="24" customFormat="1" hidden="1" outlineLevel="1" x14ac:dyDescent="0.25">
      <c r="A45" s="44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31572.300000000003</v>
      </c>
      <c r="E45" s="2"/>
      <c r="F45" s="19">
        <f t="shared" si="8"/>
        <v>0.50080293943723819</v>
      </c>
      <c r="G45" s="2"/>
      <c r="H45" s="2">
        <v>25639.57</v>
      </c>
      <c r="I45" s="2"/>
      <c r="J45" s="19">
        <f t="shared" si="9"/>
        <v>0.31564734705897057</v>
      </c>
      <c r="K45" s="2"/>
      <c r="L45" s="2">
        <f t="shared" si="10"/>
        <v>5932.7300000000032</v>
      </c>
      <c r="M45" s="2"/>
      <c r="N45" s="19">
        <f t="shared" si="11"/>
        <v>0.23138960598793207</v>
      </c>
      <c r="O45" s="11"/>
      <c r="P45" s="2">
        <v>354352.27</v>
      </c>
      <c r="Q45" s="2"/>
      <c r="R45" s="19">
        <f t="shared" si="12"/>
        <v>0.17393403331806673</v>
      </c>
      <c r="S45" s="2"/>
      <c r="T45" s="2">
        <v>332594.94</v>
      </c>
      <c r="U45" s="2"/>
      <c r="V45" s="19">
        <f t="shared" si="13"/>
        <v>0.13851118047316463</v>
      </c>
      <c r="W45" s="2"/>
      <c r="X45" s="2">
        <f t="shared" si="14"/>
        <v>21757.330000000016</v>
      </c>
      <c r="Y45" s="2"/>
      <c r="Z45" s="19">
        <f t="shared" si="15"/>
        <v>6.5416900209005036E-2</v>
      </c>
    </row>
    <row r="46" spans="1:26" s="24" customFormat="1" hidden="1" outlineLevel="1" x14ac:dyDescent="0.25">
      <c r="A46" s="44"/>
      <c r="B46" s="11" t="str">
        <f>CONCATENATE("          ", "5011", " - ", "PURCHASES @ COST-NO VALUE TEXT")</f>
        <v xml:space="preserve">          5011 - PURCHASES @ COST-NO VALUE TEXT</v>
      </c>
      <c r="C46" s="11"/>
      <c r="D46" s="2">
        <v>1161</v>
      </c>
      <c r="E46" s="2"/>
      <c r="F46" s="19">
        <f t="shared" si="8"/>
        <v>1.8415896614647445E-2</v>
      </c>
      <c r="G46" s="2"/>
      <c r="H46" s="2">
        <v>-264</v>
      </c>
      <c r="I46" s="2"/>
      <c r="J46" s="19">
        <f t="shared" si="9"/>
        <v>-3.2500895929053505E-3</v>
      </c>
      <c r="K46" s="2"/>
      <c r="L46" s="2">
        <f t="shared" si="10"/>
        <v>1425</v>
      </c>
      <c r="M46" s="2"/>
      <c r="N46" s="19">
        <f t="shared" si="11"/>
        <v>-5.3977272727272725</v>
      </c>
      <c r="O46" s="11"/>
      <c r="P46" s="2">
        <v>4902</v>
      </c>
      <c r="Q46" s="2"/>
      <c r="R46" s="19">
        <f t="shared" si="12"/>
        <v>2.4061497653878809E-3</v>
      </c>
      <c r="S46" s="2"/>
      <c r="T46" s="2">
        <v>2574</v>
      </c>
      <c r="U46" s="2"/>
      <c r="V46" s="19">
        <f t="shared" si="13"/>
        <v>1.0719579153486993E-3</v>
      </c>
      <c r="W46" s="2"/>
      <c r="X46" s="2">
        <f t="shared" si="14"/>
        <v>2328</v>
      </c>
      <c r="Y46" s="2"/>
      <c r="Z46" s="19">
        <f t="shared" si="15"/>
        <v>0.90442890442890445</v>
      </c>
    </row>
    <row r="47" spans="1:26" s="24" customFormat="1" hidden="1" outlineLevel="1" x14ac:dyDescent="0.25">
      <c r="A47" s="44"/>
      <c r="B47" s="11" t="str">
        <f>CONCATENATE("          ", "5013", " - ", "PURCHASES @ COST-TRADE BOOKS")</f>
        <v xml:space="preserve">          5013 - PURCHASES @ COST-TRADE BOOKS</v>
      </c>
      <c r="C47" s="11"/>
      <c r="D47" s="2">
        <v>37.17</v>
      </c>
      <c r="E47" s="2"/>
      <c r="F47" s="19">
        <f t="shared" si="8"/>
        <v>5.8959420944568956E-4</v>
      </c>
      <c r="G47" s="2"/>
      <c r="H47" s="2"/>
      <c r="I47" s="2"/>
      <c r="J47" s="19">
        <f t="shared" si="9"/>
        <v>0</v>
      </c>
      <c r="K47" s="2"/>
      <c r="L47" s="2">
        <f t="shared" si="10"/>
        <v>37.17</v>
      </c>
      <c r="M47" s="2"/>
      <c r="N47" s="19">
        <f t="shared" si="11"/>
        <v>0</v>
      </c>
      <c r="O47" s="11"/>
      <c r="P47" s="2">
        <v>735.31</v>
      </c>
      <c r="Q47" s="2"/>
      <c r="R47" s="19">
        <f t="shared" si="12"/>
        <v>3.6092737331443544E-4</v>
      </c>
      <c r="S47" s="2"/>
      <c r="T47" s="2">
        <v>1406.94</v>
      </c>
      <c r="U47" s="2"/>
      <c r="V47" s="19">
        <f t="shared" si="13"/>
        <v>5.8592869829863993E-4</v>
      </c>
      <c r="W47" s="2"/>
      <c r="X47" s="2">
        <f t="shared" si="14"/>
        <v>-671.63000000000011</v>
      </c>
      <c r="Y47" s="2"/>
      <c r="Z47" s="19">
        <f t="shared" si="15"/>
        <v>-0.47736932633943174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>
        <v>56.98</v>
      </c>
      <c r="E48" s="2"/>
      <c r="F48" s="19">
        <f t="shared" si="8"/>
        <v>9.0382238510130174E-4</v>
      </c>
      <c r="G48" s="2"/>
      <c r="H48" s="2">
        <v>52.76</v>
      </c>
      <c r="I48" s="2"/>
      <c r="J48" s="19">
        <f t="shared" si="9"/>
        <v>6.4952548076396323E-4</v>
      </c>
      <c r="K48" s="2"/>
      <c r="L48" s="2">
        <f t="shared" si="10"/>
        <v>4.2199999999999989</v>
      </c>
      <c r="M48" s="2"/>
      <c r="N48" s="19">
        <f t="shared" si="11"/>
        <v>7.9984836997725531E-2</v>
      </c>
      <c r="O48" s="11"/>
      <c r="P48" s="2">
        <v>499.33</v>
      </c>
      <c r="Q48" s="2"/>
      <c r="R48" s="19">
        <f t="shared" si="12"/>
        <v>2.4509644274808867E-4</v>
      </c>
      <c r="S48" s="2"/>
      <c r="T48" s="2">
        <v>787.96</v>
      </c>
      <c r="U48" s="2"/>
      <c r="V48" s="19">
        <f t="shared" si="13"/>
        <v>3.281507222137378E-4</v>
      </c>
      <c r="W48" s="2"/>
      <c r="X48" s="2">
        <f t="shared" si="14"/>
        <v>-288.63000000000005</v>
      </c>
      <c r="Y48" s="2"/>
      <c r="Z48" s="19">
        <f t="shared" si="15"/>
        <v>-0.36630031981318856</v>
      </c>
    </row>
    <row r="49" spans="1:26" s="24" customFormat="1" hidden="1" outlineLevel="1" x14ac:dyDescent="0.25">
      <c r="A49" s="44"/>
      <c r="B49" s="11" t="str">
        <f>CONCATENATE("          ", "5018", " - ", "PURCHASES @ COST-STUDY GUIDES")</f>
        <v xml:space="preserve">          5018 - PURCHASES @ COST-STUDY GUIDES</v>
      </c>
      <c r="C49" s="11"/>
      <c r="D49" s="2">
        <v>196.31</v>
      </c>
      <c r="E49" s="2"/>
      <c r="F49" s="19">
        <f t="shared" si="8"/>
        <v>3.1138885998462013E-3</v>
      </c>
      <c r="G49" s="2"/>
      <c r="H49" s="2">
        <v>1051.22</v>
      </c>
      <c r="I49" s="2"/>
      <c r="J49" s="19">
        <f t="shared" si="9"/>
        <v>1.2941512052477131E-2</v>
      </c>
      <c r="K49" s="2"/>
      <c r="L49" s="2">
        <f t="shared" si="10"/>
        <v>-854.91000000000008</v>
      </c>
      <c r="M49" s="2"/>
      <c r="N49" s="19">
        <f t="shared" si="11"/>
        <v>-0.81325507505564965</v>
      </c>
      <c r="O49" s="11"/>
      <c r="P49" s="2">
        <v>998.4</v>
      </c>
      <c r="Q49" s="2"/>
      <c r="R49" s="19">
        <f t="shared" si="12"/>
        <v>4.9006526433359042E-4</v>
      </c>
      <c r="S49" s="2"/>
      <c r="T49" s="2">
        <v>2085.77</v>
      </c>
      <c r="U49" s="2"/>
      <c r="V49" s="19">
        <f t="shared" si="13"/>
        <v>8.6863156996769871E-4</v>
      </c>
      <c r="W49" s="2"/>
      <c r="X49" s="2">
        <f t="shared" si="14"/>
        <v>-1087.3699999999999</v>
      </c>
      <c r="Y49" s="2"/>
      <c r="Z49" s="19">
        <f t="shared" si="15"/>
        <v>-0.52132785494086109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-247490</v>
      </c>
      <c r="E50" s="2"/>
      <c r="F50" s="19">
        <f t="shared" si="8"/>
        <v>-3.925710812367869</v>
      </c>
      <c r="G50" s="2"/>
      <c r="H50" s="2">
        <v>-423776</v>
      </c>
      <c r="I50" s="2"/>
      <c r="J50" s="19">
        <f t="shared" si="9"/>
        <v>-5.2170832095570372</v>
      </c>
      <c r="K50" s="2"/>
      <c r="L50" s="2">
        <f t="shared" si="10"/>
        <v>176286</v>
      </c>
      <c r="M50" s="2"/>
      <c r="N50" s="19">
        <f t="shared" si="11"/>
        <v>-0.4159886355055501</v>
      </c>
      <c r="O50" s="11"/>
      <c r="P50" s="2">
        <v>-1728365</v>
      </c>
      <c r="Q50" s="2"/>
      <c r="R50" s="19">
        <f t="shared" si="12"/>
        <v>-0.84836904105561506</v>
      </c>
      <c r="S50" s="2"/>
      <c r="T50" s="2">
        <v>-2012774.0000000002</v>
      </c>
      <c r="U50" s="2"/>
      <c r="V50" s="19">
        <f t="shared" si="13"/>
        <v>-0.83823194293242542</v>
      </c>
      <c r="W50" s="2"/>
      <c r="X50" s="2">
        <f t="shared" si="14"/>
        <v>284409.00000000023</v>
      </c>
      <c r="Y50" s="2"/>
      <c r="Z50" s="19">
        <f t="shared" si="15"/>
        <v>-0.14130200409981458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46642.47</v>
      </c>
      <c r="E51" s="2"/>
      <c r="F51" s="19">
        <f t="shared" si="8"/>
        <v>0.73984746371386312</v>
      </c>
      <c r="G51" s="2"/>
      <c r="H51" s="2">
        <v>60800</v>
      </c>
      <c r="I51" s="2"/>
      <c r="J51" s="19">
        <f t="shared" si="9"/>
        <v>0.74850548200244438</v>
      </c>
      <c r="K51" s="2"/>
      <c r="L51" s="2">
        <f t="shared" si="10"/>
        <v>-14157.529999999999</v>
      </c>
      <c r="M51" s="2"/>
      <c r="N51" s="19">
        <f t="shared" si="11"/>
        <v>-0.23285411184210525</v>
      </c>
      <c r="O51" s="11"/>
      <c r="P51" s="2">
        <v>1485407.4700000002</v>
      </c>
      <c r="Q51" s="2"/>
      <c r="R51" s="19">
        <f t="shared" si="12"/>
        <v>0.72911318552548066</v>
      </c>
      <c r="S51" s="2"/>
      <c r="T51" s="2">
        <v>1771544</v>
      </c>
      <c r="U51" s="2"/>
      <c r="V51" s="19">
        <f t="shared" si="13"/>
        <v>0.73777024599397678</v>
      </c>
      <c r="W51" s="2"/>
      <c r="X51" s="2">
        <f t="shared" si="14"/>
        <v>-286136.5299999998</v>
      </c>
      <c r="Y51" s="2"/>
      <c r="Z51" s="19">
        <f t="shared" si="15"/>
        <v>-0.16151816155850479</v>
      </c>
    </row>
    <row r="52" spans="1:26" s="24" customFormat="1" hidden="1" outlineLevel="1" x14ac:dyDescent="0.25">
      <c r="A52" s="44"/>
      <c r="B52" s="11" t="str">
        <f>CONCATENATE("          ", "5500", " - ", "FREIGHT-IN")</f>
        <v xml:space="preserve">          5500 - FREIGHT-IN</v>
      </c>
      <c r="C52" s="11"/>
      <c r="D52" s="2"/>
      <c r="E52" s="2"/>
      <c r="F52" s="19">
        <f t="shared" si="8"/>
        <v>0</v>
      </c>
      <c r="G52" s="2"/>
      <c r="H52" s="2">
        <v>10.5</v>
      </c>
      <c r="I52" s="2"/>
      <c r="J52" s="19">
        <f t="shared" si="9"/>
        <v>1.2926492699055371E-4</v>
      </c>
      <c r="K52" s="2"/>
      <c r="L52" s="2">
        <f t="shared" si="10"/>
        <v>-10.5</v>
      </c>
      <c r="M52" s="2"/>
      <c r="N52" s="19">
        <f t="shared" si="11"/>
        <v>-1</v>
      </c>
      <c r="O52" s="11"/>
      <c r="P52" s="2"/>
      <c r="Q52" s="2"/>
      <c r="R52" s="19">
        <f t="shared" si="12"/>
        <v>0</v>
      </c>
      <c r="S52" s="2"/>
      <c r="T52" s="2">
        <v>10.5</v>
      </c>
      <c r="U52" s="2"/>
      <c r="V52" s="19">
        <f t="shared" si="13"/>
        <v>4.3727886989748809E-6</v>
      </c>
      <c r="W52" s="2"/>
      <c r="X52" s="2">
        <f t="shared" si="14"/>
        <v>-10.5</v>
      </c>
      <c r="Y52" s="2"/>
      <c r="Z52" s="19">
        <f t="shared" si="15"/>
        <v>-1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4162.3900000000003</v>
      </c>
      <c r="E53" s="2"/>
      <c r="F53" s="19">
        <f t="shared" si="8"/>
        <v>6.6024241093748826E-2</v>
      </c>
      <c r="G53" s="2"/>
      <c r="H53" s="2">
        <v>2096.16</v>
      </c>
      <c r="I53" s="2"/>
      <c r="J53" s="19">
        <f t="shared" si="9"/>
        <v>2.5805711367668481E-2</v>
      </c>
      <c r="K53" s="2"/>
      <c r="L53" s="2">
        <f t="shared" si="10"/>
        <v>2066.2300000000005</v>
      </c>
      <c r="M53" s="2"/>
      <c r="N53" s="19">
        <f t="shared" si="11"/>
        <v>0.98572150980841189</v>
      </c>
      <c r="O53" s="11"/>
      <c r="P53" s="2">
        <v>38669.939999999995</v>
      </c>
      <c r="Q53" s="2"/>
      <c r="R53" s="19">
        <f t="shared" si="12"/>
        <v>1.8981164230633094E-2</v>
      </c>
      <c r="S53" s="2"/>
      <c r="T53" s="2">
        <v>38895.120000000003</v>
      </c>
      <c r="U53" s="2"/>
      <c r="V53" s="19">
        <f t="shared" si="13"/>
        <v>1.6198108683930654E-2</v>
      </c>
      <c r="W53" s="2"/>
      <c r="X53" s="2">
        <f t="shared" si="14"/>
        <v>-225.18000000000757</v>
      </c>
      <c r="Y53" s="2"/>
      <c r="Z53" s="19">
        <f t="shared" si="15"/>
        <v>-5.7894152274117561E-3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563.29999999999995</v>
      </c>
      <c r="E54" s="2"/>
      <c r="F54" s="19">
        <f t="shared" si="8"/>
        <v>8.9351202093289443E-3</v>
      </c>
      <c r="G54" s="2"/>
      <c r="H54" s="2">
        <v>119.04</v>
      </c>
      <c r="I54" s="2"/>
      <c r="J54" s="19">
        <f t="shared" si="9"/>
        <v>1.465494943710049E-3</v>
      </c>
      <c r="K54" s="2"/>
      <c r="L54" s="2">
        <f t="shared" si="10"/>
        <v>444.25999999999993</v>
      </c>
      <c r="M54" s="2"/>
      <c r="N54" s="19">
        <f t="shared" si="11"/>
        <v>3.7320228494623646</v>
      </c>
      <c r="O54" s="11"/>
      <c r="P54" s="2">
        <v>7653.42</v>
      </c>
      <c r="Q54" s="2"/>
      <c r="R54" s="19">
        <f t="shared" si="12"/>
        <v>3.7566859929446992E-3</v>
      </c>
      <c r="S54" s="2"/>
      <c r="T54" s="2">
        <v>7870.09</v>
      </c>
      <c r="U54" s="2"/>
      <c r="V54" s="19">
        <f t="shared" si="13"/>
        <v>3.2775467249443065E-3</v>
      </c>
      <c r="W54" s="2"/>
      <c r="X54" s="2">
        <f t="shared" si="14"/>
        <v>-216.67000000000007</v>
      </c>
      <c r="Y54" s="2"/>
      <c r="Z54" s="19">
        <f t="shared" si="15"/>
        <v>-2.7530816038952549E-2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1"/>
      <c r="P55" s="2">
        <v>105.97</v>
      </c>
      <c r="Q55" s="2"/>
      <c r="R55" s="19">
        <f t="shared" si="12"/>
        <v>5.2015440766657231E-5</v>
      </c>
      <c r="S55" s="2"/>
      <c r="T55" s="2">
        <v>166.22</v>
      </c>
      <c r="U55" s="2"/>
      <c r="V55" s="19">
        <f t="shared" si="13"/>
        <v>6.9223327385105202E-5</v>
      </c>
      <c r="W55" s="2"/>
      <c r="X55" s="2">
        <f t="shared" si="14"/>
        <v>-60.25</v>
      </c>
      <c r="Y55" s="2"/>
      <c r="Z55" s="19">
        <f t="shared" si="15"/>
        <v>-0.36247142341475153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>
        <v>9.08</v>
      </c>
      <c r="E56" s="2"/>
      <c r="F56" s="19">
        <f t="shared" si="8"/>
        <v>1.4402785638328923E-4</v>
      </c>
      <c r="G56" s="2"/>
      <c r="H56" s="2"/>
      <c r="I56" s="2"/>
      <c r="J56" s="19">
        <f t="shared" si="9"/>
        <v>0</v>
      </c>
      <c r="K56" s="2"/>
      <c r="L56" s="2">
        <f t="shared" si="10"/>
        <v>9.08</v>
      </c>
      <c r="M56" s="2"/>
      <c r="N56" s="19">
        <f t="shared" si="11"/>
        <v>0</v>
      </c>
      <c r="O56" s="11"/>
      <c r="P56" s="2">
        <v>21.41</v>
      </c>
      <c r="Q56" s="2"/>
      <c r="R56" s="19">
        <f t="shared" si="12"/>
        <v>1.0509111888403618E-5</v>
      </c>
      <c r="S56" s="2"/>
      <c r="T56" s="2">
        <v>12.22</v>
      </c>
      <c r="U56" s="2"/>
      <c r="V56" s="19">
        <f t="shared" si="13"/>
        <v>5.0890931334736232E-6</v>
      </c>
      <c r="W56" s="2"/>
      <c r="X56" s="2">
        <f t="shared" si="14"/>
        <v>9.19</v>
      </c>
      <c r="Y56" s="2"/>
      <c r="Z56" s="19">
        <f t="shared" si="15"/>
        <v>0.7520458265139115</v>
      </c>
    </row>
    <row r="57" spans="1:26" s="24" customFormat="1" hidden="1" outlineLevel="1" x14ac:dyDescent="0.25">
      <c r="A57" s="44"/>
      <c r="B57" s="11" t="str">
        <f>CONCATENATE("          ", "5518", " - ", "FREIGHT-IN-STUDY GUIDES")</f>
        <v xml:space="preserve">          5518 - FREIGHT-IN-STUDY GUIDES</v>
      </c>
      <c r="C57" s="11"/>
      <c r="D57" s="2">
        <v>8.8699999999999992</v>
      </c>
      <c r="E57" s="2"/>
      <c r="F57" s="19">
        <f t="shared" si="8"/>
        <v>1.4069681565195765E-4</v>
      </c>
      <c r="G57" s="2"/>
      <c r="H57" s="2"/>
      <c r="I57" s="2"/>
      <c r="J57" s="19">
        <f t="shared" si="9"/>
        <v>0</v>
      </c>
      <c r="K57" s="2"/>
      <c r="L57" s="2">
        <f t="shared" si="10"/>
        <v>8.8699999999999992</v>
      </c>
      <c r="M57" s="2"/>
      <c r="N57" s="19">
        <f t="shared" si="11"/>
        <v>0</v>
      </c>
      <c r="O57" s="11"/>
      <c r="P57" s="2">
        <v>21.13</v>
      </c>
      <c r="Q57" s="2"/>
      <c r="R57" s="19">
        <f t="shared" si="12"/>
        <v>1.0371673713310062E-5</v>
      </c>
      <c r="S57" s="2"/>
      <c r="T57" s="2"/>
      <c r="U57" s="2"/>
      <c r="V57" s="19">
        <f t="shared" si="13"/>
        <v>0</v>
      </c>
      <c r="W57" s="2"/>
      <c r="X57" s="2">
        <f t="shared" si="14"/>
        <v>21.13</v>
      </c>
      <c r="Y57" s="2"/>
      <c r="Z57" s="19">
        <f t="shared" si="15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9" t="s">
        <v>6</v>
      </c>
      <c r="C59" s="29"/>
      <c r="D59" s="20">
        <f>D12-D41</f>
        <v>16400.779999999955</v>
      </c>
      <c r="E59" s="14"/>
      <c r="F59" s="21">
        <f>IF(D$12=0,0,D59/D$12)</f>
        <v>0.26015079145527709</v>
      </c>
      <c r="G59" s="14"/>
      <c r="H59" s="20">
        <f>H12-H41</f>
        <v>20418.769999999982</v>
      </c>
      <c r="I59" s="14"/>
      <c r="J59" s="21">
        <f>IF(H$12=0,0,H59/H$12)</f>
        <v>0.25137436317018153</v>
      </c>
      <c r="K59" s="15"/>
      <c r="L59" s="20">
        <f>+D59-H59</f>
        <v>-4017.9900000000271</v>
      </c>
      <c r="M59" s="15"/>
      <c r="N59" s="21">
        <f>IF(H59=0,0,L59/H59)</f>
        <v>-0.19677923792667387</v>
      </c>
      <c r="O59" s="28"/>
      <c r="P59" s="20">
        <f>P12-P41</f>
        <v>551875.48000000021</v>
      </c>
      <c r="Q59" s="14"/>
      <c r="R59" s="21">
        <f>IF(P$12=0,0,P59/P$12)</f>
        <v>0.27088842446457051</v>
      </c>
      <c r="S59" s="14"/>
      <c r="T59" s="20">
        <f>T12-T41</f>
        <v>629660.61000000057</v>
      </c>
      <c r="U59" s="14"/>
      <c r="V59" s="21">
        <f>IF(T$12=0,0,T59/T$12)</f>
        <v>0.26222598091406019</v>
      </c>
      <c r="W59" s="15"/>
      <c r="X59" s="20">
        <f>+P59-T59</f>
        <v>-77785.130000000354</v>
      </c>
      <c r="Y59" s="15"/>
      <c r="Z59" s="21">
        <f>IF(T59=0,0,X59/T59)</f>
        <v>-0.12353501039234499</v>
      </c>
    </row>
    <row r="60" spans="1:26" x14ac:dyDescent="0.25">
      <c r="A60" s="9"/>
      <c r="B60" s="10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8" t="s">
        <v>9</v>
      </c>
      <c r="C61" s="10"/>
      <c r="D61" s="22">
        <f>SUM(OSRRefD22x_0)</f>
        <v>46337.939999999988</v>
      </c>
      <c r="E61" s="22"/>
      <c r="F61" s="33">
        <f t="shared" ref="F61:F71" si="16">IF(D$12=0,0,D61/D$12)</f>
        <v>0.73501697879047045</v>
      </c>
      <c r="G61" s="22"/>
      <c r="H61" s="22">
        <f>SUM(OSRRefH22x_0)</f>
        <v>53273.570000000007</v>
      </c>
      <c r="I61" s="22"/>
      <c r="J61" s="33">
        <f t="shared" ref="J61:J71" si="17">IF(H$12=0,0,H61/H$12)</f>
        <v>0.65584801300725271</v>
      </c>
      <c r="K61" s="4"/>
      <c r="L61" s="22">
        <f t="shared" ref="L61:L71" si="18">+D61-H61</f>
        <v>-6935.6300000000192</v>
      </c>
      <c r="M61" s="4"/>
      <c r="N61" s="33">
        <f t="shared" ref="N61:N71" si="19">IF(H61=0,0,L61/H61)</f>
        <v>-0.13018894735231781</v>
      </c>
      <c r="O61" s="10"/>
      <c r="P61" s="22">
        <f>SUM(OSRRefP22x_0)</f>
        <v>255586.98999999993</v>
      </c>
      <c r="Q61" s="22"/>
      <c r="R61" s="33">
        <f t="shared" ref="R61:R71" si="20">IF(P$12=0,0,P61/P$12)</f>
        <v>0.12545503386876675</v>
      </c>
      <c r="S61" s="22"/>
      <c r="T61" s="22">
        <f>SUM(OSRRefT22x_0)</f>
        <v>352405.75999999995</v>
      </c>
      <c r="U61" s="22"/>
      <c r="V61" s="33">
        <f t="shared" ref="V61:V71" si="21">IF(T$12=0,0,T61/T$12)</f>
        <v>0.14676151664587178</v>
      </c>
      <c r="W61" s="4"/>
      <c r="X61" s="22">
        <f t="shared" ref="X61:X71" si="22">+P61-T61</f>
        <v>-96818.770000000019</v>
      </c>
      <c r="Y61" s="4"/>
      <c r="Z61" s="33">
        <f t="shared" ref="Z61:Z71" si="23">IF(T61=0,0,X61/T61)</f>
        <v>-0.27473662746034583</v>
      </c>
    </row>
    <row r="62" spans="1:26" s="27" customFormat="1" outlineLevel="1" collapsed="1" x14ac:dyDescent="0.25">
      <c r="A62" s="25"/>
      <c r="B62" s="13" t="str">
        <f>CONCATENATE("     ","*Benefits                                         ")</f>
        <v xml:space="preserve">     *Benefits                                         </v>
      </c>
      <c r="C62" s="13"/>
      <c r="D62" s="1">
        <f>SUM(OSRRefD22_0x_0)</f>
        <v>9543.23</v>
      </c>
      <c r="E62" s="1"/>
      <c r="F62" s="5">
        <f t="shared" si="16"/>
        <v>0.15137565637364506</v>
      </c>
      <c r="G62" s="1"/>
      <c r="H62" s="1">
        <f>SUM(OSRRefH22_0x_0)</f>
        <v>11923.92</v>
      </c>
      <c r="I62" s="1"/>
      <c r="J62" s="5">
        <f t="shared" si="17"/>
        <v>0.14679472840392413</v>
      </c>
      <c r="K62" s="1"/>
      <c r="L62" s="1">
        <f t="shared" si="18"/>
        <v>-2380.6900000000005</v>
      </c>
      <c r="M62" s="1"/>
      <c r="N62" s="5">
        <f t="shared" si="19"/>
        <v>-0.19965665653577017</v>
      </c>
      <c r="O62" s="13"/>
      <c r="P62" s="1">
        <f>SUM(OSRRefP22_0x_0)</f>
        <v>60890.789999999994</v>
      </c>
      <c r="Q62" s="1"/>
      <c r="R62" s="5">
        <f t="shared" si="20"/>
        <v>2.9888282348588886E-2</v>
      </c>
      <c r="S62" s="1"/>
      <c r="T62" s="1">
        <f>SUM(OSRRefT22_0x_0)</f>
        <v>76473.03</v>
      </c>
      <c r="U62" s="1"/>
      <c r="V62" s="5">
        <f t="shared" si="21"/>
        <v>3.1847657272415904E-2</v>
      </c>
      <c r="W62" s="1"/>
      <c r="X62" s="1">
        <f t="shared" si="22"/>
        <v>-15582.240000000005</v>
      </c>
      <c r="Y62" s="1"/>
      <c r="Z62" s="5">
        <f t="shared" si="23"/>
        <v>-0.20376124759277886</v>
      </c>
    </row>
    <row r="63" spans="1:26" s="24" customFormat="1" hidden="1" outlineLevel="2" x14ac:dyDescent="0.25">
      <c r="A63" s="26"/>
      <c r="B63" s="11" t="str">
        <f>CONCATENATE("          ", "6111", " - ", "F.I.C.A.")</f>
        <v xml:space="preserve">          6111 - F.I.C.A.</v>
      </c>
      <c r="C63" s="11"/>
      <c r="D63" s="6">
        <v>1559.53</v>
      </c>
      <c r="E63" s="2"/>
      <c r="F63" s="7">
        <f t="shared" si="16"/>
        <v>2.4737418817778752E-2</v>
      </c>
      <c r="G63" s="2"/>
      <c r="H63" s="6">
        <v>1837.64</v>
      </c>
      <c r="I63" s="2"/>
      <c r="J63" s="7">
        <f t="shared" si="17"/>
        <v>2.2623085755706776E-2</v>
      </c>
      <c r="K63" s="2"/>
      <c r="L63" s="6">
        <f t="shared" si="18"/>
        <v>-278.11000000000013</v>
      </c>
      <c r="M63" s="2"/>
      <c r="N63" s="7">
        <f t="shared" si="19"/>
        <v>-0.1513408502209356</v>
      </c>
      <c r="O63" s="11"/>
      <c r="P63" s="6">
        <v>10634.91</v>
      </c>
      <c r="Q63" s="2"/>
      <c r="R63" s="7">
        <f t="shared" si="20"/>
        <v>5.22015222387214E-3</v>
      </c>
      <c r="S63" s="2"/>
      <c r="T63" s="6">
        <v>12551.79</v>
      </c>
      <c r="U63" s="2"/>
      <c r="V63" s="7">
        <f t="shared" si="21"/>
        <v>5.2272690918005642E-3</v>
      </c>
      <c r="W63" s="2"/>
      <c r="X63" s="6">
        <f t="shared" si="22"/>
        <v>-1916.880000000001</v>
      </c>
      <c r="Y63" s="2"/>
      <c r="Z63" s="7">
        <f t="shared" si="23"/>
        <v>-0.15271766019029961</v>
      </c>
    </row>
    <row r="64" spans="1:26" s="24" customFormat="1" hidden="1" outlineLevel="2" x14ac:dyDescent="0.25">
      <c r="A64" s="26"/>
      <c r="B64" s="11" t="str">
        <f>CONCATENATE("          ", "6112", " - ", "COMPENSATION INSURANCE")</f>
        <v xml:space="preserve">          6112 - COMPENSATION INSURANCE</v>
      </c>
      <c r="C64" s="11"/>
      <c r="D64" s="6">
        <v>115.27</v>
      </c>
      <c r="E64" s="2"/>
      <c r="F64" s="7">
        <f t="shared" si="16"/>
        <v>1.8284241195266244E-3</v>
      </c>
      <c r="G64" s="2"/>
      <c r="H64" s="6">
        <v>120.08</v>
      </c>
      <c r="I64" s="2"/>
      <c r="J64" s="7">
        <f t="shared" si="17"/>
        <v>1.4782983269548276E-3</v>
      </c>
      <c r="K64" s="2"/>
      <c r="L64" s="6">
        <f t="shared" si="18"/>
        <v>-4.8100000000000023</v>
      </c>
      <c r="M64" s="2"/>
      <c r="N64" s="7">
        <f t="shared" si="19"/>
        <v>-4.0056628914057313E-2</v>
      </c>
      <c r="O64" s="11"/>
      <c r="P64" s="6">
        <v>383.33</v>
      </c>
      <c r="Q64" s="2"/>
      <c r="R64" s="7">
        <f t="shared" si="20"/>
        <v>1.8815777020933015E-4</v>
      </c>
      <c r="S64" s="2"/>
      <c r="T64" s="6">
        <v>654.23</v>
      </c>
      <c r="U64" s="2"/>
      <c r="V64" s="7">
        <f t="shared" si="21"/>
        <v>2.7245805243146059E-4</v>
      </c>
      <c r="W64" s="2"/>
      <c r="X64" s="6">
        <f t="shared" si="22"/>
        <v>-270.90000000000003</v>
      </c>
      <c r="Y64" s="2"/>
      <c r="Z64" s="7">
        <f t="shared" si="23"/>
        <v>-0.41407456093422806</v>
      </c>
    </row>
    <row r="65" spans="1:26" s="24" customFormat="1" hidden="1" outlineLevel="2" x14ac:dyDescent="0.25">
      <c r="A65" s="26"/>
      <c r="B65" s="11" t="str">
        <f>CONCATENATE("          ", "6113", " - ", "GROUP INSURANCE")</f>
        <v xml:space="preserve">          6113 - GROUP INSURANCE</v>
      </c>
      <c r="C65" s="11"/>
      <c r="D65" s="6">
        <v>4168.57</v>
      </c>
      <c r="E65" s="2"/>
      <c r="F65" s="7">
        <f t="shared" si="16"/>
        <v>6.6122268863842287E-2</v>
      </c>
      <c r="G65" s="2"/>
      <c r="H65" s="6">
        <v>5625.91</v>
      </c>
      <c r="I65" s="2"/>
      <c r="J65" s="7">
        <f t="shared" si="17"/>
        <v>6.9260270990992953E-2</v>
      </c>
      <c r="K65" s="2"/>
      <c r="L65" s="6">
        <f t="shared" si="18"/>
        <v>-1457.3400000000001</v>
      </c>
      <c r="M65" s="2"/>
      <c r="N65" s="7">
        <f t="shared" si="19"/>
        <v>-0.25904075962822015</v>
      </c>
      <c r="O65" s="11"/>
      <c r="P65" s="6">
        <v>25011.42</v>
      </c>
      <c r="Q65" s="2"/>
      <c r="R65" s="7">
        <f t="shared" si="20"/>
        <v>1.2276871147494442E-2</v>
      </c>
      <c r="S65" s="2"/>
      <c r="T65" s="6">
        <v>30236.2</v>
      </c>
      <c r="U65" s="2"/>
      <c r="V65" s="7">
        <f t="shared" si="21"/>
        <v>1.2592048919994695E-2</v>
      </c>
      <c r="W65" s="2"/>
      <c r="X65" s="6">
        <f t="shared" si="22"/>
        <v>-5224.7800000000025</v>
      </c>
      <c r="Y65" s="2"/>
      <c r="Z65" s="7">
        <f t="shared" si="23"/>
        <v>-0.17279883054087491</v>
      </c>
    </row>
    <row r="66" spans="1:26" s="24" customFormat="1" hidden="1" outlineLevel="2" x14ac:dyDescent="0.25">
      <c r="A66" s="26"/>
      <c r="B66" s="11" t="str">
        <f>CONCATENATE("          ", "6114", " - ", "STATE UNEMPLOYMENT INSURANCE")</f>
        <v xml:space="preserve">          6114 - STATE UNEMPLOYMENT INSURANCE</v>
      </c>
      <c r="C66" s="11"/>
      <c r="D66" s="6">
        <v>88.15</v>
      </c>
      <c r="E66" s="2"/>
      <c r="F66" s="7">
        <f t="shared" si="16"/>
        <v>1.3982440022232319E-3</v>
      </c>
      <c r="G66" s="2"/>
      <c r="H66" s="6">
        <v>100.71</v>
      </c>
      <c r="I66" s="2"/>
      <c r="J66" s="7">
        <f t="shared" si="17"/>
        <v>1.2398353140208251E-3</v>
      </c>
      <c r="K66" s="2"/>
      <c r="L66" s="6">
        <f t="shared" si="18"/>
        <v>-12.559999999999988</v>
      </c>
      <c r="M66" s="2"/>
      <c r="N66" s="7">
        <f t="shared" si="19"/>
        <v>-0.12471452685929886</v>
      </c>
      <c r="O66" s="11"/>
      <c r="P66" s="6">
        <v>391.59</v>
      </c>
      <c r="Q66" s="2"/>
      <c r="R66" s="7">
        <f t="shared" si="20"/>
        <v>1.9221219637459002E-4</v>
      </c>
      <c r="S66" s="2"/>
      <c r="T66" s="6">
        <v>543.13</v>
      </c>
      <c r="U66" s="2"/>
      <c r="V66" s="7">
        <f t="shared" si="21"/>
        <v>2.2618978343564065E-4</v>
      </c>
      <c r="W66" s="2"/>
      <c r="X66" s="6">
        <f t="shared" si="22"/>
        <v>-151.54000000000002</v>
      </c>
      <c r="Y66" s="2"/>
      <c r="Z66" s="7">
        <f t="shared" si="23"/>
        <v>-0.27901239114024273</v>
      </c>
    </row>
    <row r="67" spans="1:26" s="24" customFormat="1" hidden="1" outlineLevel="2" x14ac:dyDescent="0.25">
      <c r="A67" s="26"/>
      <c r="B67" s="11" t="str">
        <f>CONCATENATE("          ", "6115", " - ", "P.E.R.S.")</f>
        <v xml:space="preserve">          6115 - P.E.R.S.</v>
      </c>
      <c r="C67" s="11"/>
      <c r="D67" s="6">
        <v>1325.86</v>
      </c>
      <c r="E67" s="2"/>
      <c r="F67" s="7">
        <f t="shared" si="16"/>
        <v>2.1030922209729939E-2</v>
      </c>
      <c r="G67" s="2"/>
      <c r="H67" s="6">
        <v>1199.44</v>
      </c>
      <c r="I67" s="2"/>
      <c r="J67" s="7">
        <f t="shared" si="17"/>
        <v>1.4766240383766643E-2</v>
      </c>
      <c r="K67" s="2"/>
      <c r="L67" s="6">
        <f t="shared" si="18"/>
        <v>126.41999999999985</v>
      </c>
      <c r="M67" s="2"/>
      <c r="N67" s="7">
        <f t="shared" si="19"/>
        <v>0.10539918628693377</v>
      </c>
      <c r="O67" s="11"/>
      <c r="P67" s="6">
        <v>8432.4</v>
      </c>
      <c r="Q67" s="2"/>
      <c r="R67" s="7">
        <f t="shared" si="20"/>
        <v>4.1390488130674755E-3</v>
      </c>
      <c r="S67" s="2"/>
      <c r="T67" s="6">
        <v>8374.36</v>
      </c>
      <c r="U67" s="2"/>
      <c r="V67" s="7">
        <f t="shared" si="21"/>
        <v>3.4875530256330747E-3</v>
      </c>
      <c r="W67" s="2"/>
      <c r="X67" s="6">
        <f t="shared" si="22"/>
        <v>58.039999999999054</v>
      </c>
      <c r="Y67" s="2"/>
      <c r="Z67" s="7">
        <f t="shared" si="23"/>
        <v>6.9306788817293562E-3</v>
      </c>
    </row>
    <row r="68" spans="1:26" s="24" customFormat="1" hidden="1" outlineLevel="2" x14ac:dyDescent="0.25">
      <c r="A68" s="26"/>
      <c r="B68" s="11" t="str">
        <f>CONCATENATE("          ", "6117", " - ", "RETIREMENT STAFF HOURLY")</f>
        <v xml:space="preserve">          6117 - RETIREMENT STAFF HOURLY</v>
      </c>
      <c r="C68" s="11"/>
      <c r="D68" s="6">
        <v>92.54</v>
      </c>
      <c r="E68" s="2"/>
      <c r="F68" s="7">
        <f t="shared" si="16"/>
        <v>1.4678786156067827E-3</v>
      </c>
      <c r="G68" s="2"/>
      <c r="H68" s="6">
        <v>86.61</v>
      </c>
      <c r="I68" s="2"/>
      <c r="J68" s="7">
        <f t="shared" si="17"/>
        <v>1.066250983490653E-3</v>
      </c>
      <c r="K68" s="2"/>
      <c r="L68" s="6">
        <f t="shared" si="18"/>
        <v>5.9300000000000068</v>
      </c>
      <c r="M68" s="2"/>
      <c r="N68" s="7">
        <f t="shared" si="19"/>
        <v>6.846784435977378E-2</v>
      </c>
      <c r="O68" s="11"/>
      <c r="P68" s="6">
        <v>738.74</v>
      </c>
      <c r="Q68" s="2"/>
      <c r="R68" s="7">
        <f t="shared" si="20"/>
        <v>3.6261099095933155E-4</v>
      </c>
      <c r="S68" s="2"/>
      <c r="T68" s="6">
        <v>1440.55</v>
      </c>
      <c r="U68" s="2"/>
      <c r="V68" s="7">
        <f t="shared" si="21"/>
        <v>5.9992578669602512E-4</v>
      </c>
      <c r="W68" s="2"/>
      <c r="X68" s="6">
        <f t="shared" si="22"/>
        <v>-701.81</v>
      </c>
      <c r="Y68" s="2"/>
      <c r="Z68" s="7">
        <f t="shared" si="23"/>
        <v>-0.48718197910520283</v>
      </c>
    </row>
    <row r="69" spans="1:26" s="24" customFormat="1" hidden="1" outlineLevel="2" x14ac:dyDescent="0.25">
      <c r="A69" s="26"/>
      <c r="B69" s="11" t="str">
        <f>CONCATENATE("          ", "6118", " - ", "VACATION")</f>
        <v xml:space="preserve">          6118 - VACATION</v>
      </c>
      <c r="C69" s="11"/>
      <c r="D69" s="6">
        <v>794.54</v>
      </c>
      <c r="E69" s="2"/>
      <c r="F69" s="7">
        <f t="shared" si="16"/>
        <v>1.2603071917486632E-2</v>
      </c>
      <c r="G69" s="2"/>
      <c r="H69" s="6">
        <v>1323.9</v>
      </c>
      <c r="I69" s="2"/>
      <c r="J69" s="7">
        <f t="shared" si="17"/>
        <v>1.6298460651694675E-2</v>
      </c>
      <c r="K69" s="2"/>
      <c r="L69" s="6">
        <f t="shared" si="18"/>
        <v>-529.36000000000013</v>
      </c>
      <c r="M69" s="2"/>
      <c r="N69" s="7">
        <f t="shared" si="19"/>
        <v>-0.39984893118815629</v>
      </c>
      <c r="O69" s="11"/>
      <c r="P69" s="6">
        <v>5636.46</v>
      </c>
      <c r="Q69" s="2"/>
      <c r="R69" s="7">
        <f t="shared" si="20"/>
        <v>2.7666599156707826E-3</v>
      </c>
      <c r="S69" s="2"/>
      <c r="T69" s="6">
        <v>9979.31</v>
      </c>
      <c r="U69" s="2"/>
      <c r="V69" s="7">
        <f t="shared" si="21"/>
        <v>4.1559441896730489E-3</v>
      </c>
      <c r="W69" s="2"/>
      <c r="X69" s="6">
        <f t="shared" si="22"/>
        <v>-4342.8499999999995</v>
      </c>
      <c r="Y69" s="2"/>
      <c r="Z69" s="7">
        <f t="shared" si="23"/>
        <v>-0.43518539858968203</v>
      </c>
    </row>
    <row r="70" spans="1:26" s="24" customFormat="1" hidden="1" outlineLevel="2" x14ac:dyDescent="0.25">
      <c r="A70" s="26"/>
      <c r="B70" s="11" t="str">
        <f>CONCATENATE("          ", "6119", " - ", "SICK LEAVE")</f>
        <v xml:space="preserve">          6119 - SICK LEAVE</v>
      </c>
      <c r="C70" s="11"/>
      <c r="D70" s="6">
        <v>801.74</v>
      </c>
      <c r="E70" s="2"/>
      <c r="F70" s="7">
        <f t="shared" si="16"/>
        <v>1.2717279028275144E-2</v>
      </c>
      <c r="G70" s="2"/>
      <c r="H70" s="6">
        <v>926.46</v>
      </c>
      <c r="I70" s="2"/>
      <c r="J70" s="7">
        <f t="shared" si="17"/>
        <v>1.1405598500920799E-2</v>
      </c>
      <c r="K70" s="2"/>
      <c r="L70" s="6">
        <f t="shared" si="18"/>
        <v>-124.72000000000003</v>
      </c>
      <c r="M70" s="2"/>
      <c r="N70" s="7">
        <f t="shared" si="19"/>
        <v>-0.13461995121214085</v>
      </c>
      <c r="O70" s="11"/>
      <c r="P70" s="6">
        <v>6120.11</v>
      </c>
      <c r="Q70" s="2"/>
      <c r="R70" s="7">
        <f t="shared" si="20"/>
        <v>3.0040598206136321E-3</v>
      </c>
      <c r="S70" s="2"/>
      <c r="T70" s="6">
        <v>8450.94</v>
      </c>
      <c r="U70" s="2"/>
      <c r="V70" s="7">
        <f t="shared" si="21"/>
        <v>3.5194452312109314E-3</v>
      </c>
      <c r="W70" s="2"/>
      <c r="X70" s="6">
        <f t="shared" si="22"/>
        <v>-2330.8300000000008</v>
      </c>
      <c r="Y70" s="2"/>
      <c r="Z70" s="7">
        <f t="shared" si="23"/>
        <v>-0.27580718831277951</v>
      </c>
    </row>
    <row r="71" spans="1:26" s="24" customFormat="1" hidden="1" outlineLevel="2" x14ac:dyDescent="0.25">
      <c r="A71" s="26"/>
      <c r="B71" s="11" t="str">
        <f>CONCATENATE("          ", "6156", " - ", "EMPLOYEE MEALS")</f>
        <v xml:space="preserve">          6156 - EMPLOYEE MEALS</v>
      </c>
      <c r="C71" s="11"/>
      <c r="D71" s="6">
        <v>597.03</v>
      </c>
      <c r="E71" s="2"/>
      <c r="F71" s="7">
        <f t="shared" si="16"/>
        <v>9.4701487991756782E-3</v>
      </c>
      <c r="G71" s="2"/>
      <c r="H71" s="6">
        <v>703.17</v>
      </c>
      <c r="I71" s="2"/>
      <c r="J71" s="7">
        <f t="shared" si="17"/>
        <v>8.6566874963759661E-3</v>
      </c>
      <c r="K71" s="2"/>
      <c r="L71" s="6">
        <f t="shared" si="18"/>
        <v>-106.13999999999999</v>
      </c>
      <c r="M71" s="2"/>
      <c r="N71" s="7">
        <f t="shared" si="19"/>
        <v>-0.15094500618627074</v>
      </c>
      <c r="O71" s="11"/>
      <c r="P71" s="6">
        <v>3541.83</v>
      </c>
      <c r="Q71" s="2"/>
      <c r="R71" s="7">
        <f t="shared" si="20"/>
        <v>1.738509470327164E-3</v>
      </c>
      <c r="S71" s="2"/>
      <c r="T71" s="6">
        <v>4242.5200000000004</v>
      </c>
      <c r="U71" s="2"/>
      <c r="V71" s="7">
        <f t="shared" si="21"/>
        <v>1.7668231915404678E-3</v>
      </c>
      <c r="W71" s="2"/>
      <c r="X71" s="6">
        <f t="shared" si="22"/>
        <v>-700.69000000000051</v>
      </c>
      <c r="Y71" s="2"/>
      <c r="Z71" s="7">
        <f t="shared" si="23"/>
        <v>-0.16515891498449045</v>
      </c>
    </row>
    <row r="72" spans="1:26" s="27" customFormat="1" outlineLevel="1" collapsed="1" x14ac:dyDescent="0.25">
      <c r="A72" s="25"/>
      <c r="B72" s="13" t="str">
        <f>CONCATENATE("     ","*Payroll                                          ")</f>
        <v xml:space="preserve">     *Payroll                                          </v>
      </c>
      <c r="C72" s="13"/>
      <c r="D72" s="1">
        <f>SUM(OSRRefD22_1x_0)</f>
        <v>24062.180000000004</v>
      </c>
      <c r="E72" s="1"/>
      <c r="F72" s="5">
        <f t="shared" ref="F72:F77" si="24">IF(D$12=0,0,D72/D$12)</f>
        <v>0.38167667459348625</v>
      </c>
      <c r="G72" s="1"/>
      <c r="H72" s="1">
        <f>SUM(OSRRefH22_1x_0)</f>
        <v>26287</v>
      </c>
      <c r="I72" s="1"/>
      <c r="J72" s="5">
        <f t="shared" ref="J72:J77" si="25">IF(H$12=0,0,H72/H$12)</f>
        <v>0.32361782245720816</v>
      </c>
      <c r="K72" s="1"/>
      <c r="L72" s="1">
        <f t="shared" ref="L72:L77" si="26">+D72-H72</f>
        <v>-2224.8199999999961</v>
      </c>
      <c r="M72" s="1"/>
      <c r="N72" s="5">
        <f t="shared" ref="N72:N77" si="27">IF(H72=0,0,L72/H72)</f>
        <v>-8.4635751512154148E-2</v>
      </c>
      <c r="O72" s="13"/>
      <c r="P72" s="1">
        <f>SUM(OSRRefP22_1x_0)</f>
        <v>143018.14000000001</v>
      </c>
      <c r="Q72" s="1"/>
      <c r="R72" s="5">
        <f t="shared" ref="R72:R77" si="28">IF(P$12=0,0,P72/P$12)</f>
        <v>7.0200543453123446E-2</v>
      </c>
      <c r="S72" s="1"/>
      <c r="T72" s="1">
        <f>SUM(OSRRefT22_1x_0)</f>
        <v>168681.80999999997</v>
      </c>
      <c r="U72" s="1"/>
      <c r="V72" s="5">
        <f t="shared" ref="V72:V77" si="29">IF(T$12=0,0,T72/T$12)</f>
        <v>7.0248563094345517E-2</v>
      </c>
      <c r="W72" s="1"/>
      <c r="X72" s="1">
        <f t="shared" ref="X72:X77" si="30">+P72-T72</f>
        <v>-25663.669999999955</v>
      </c>
      <c r="Y72" s="1"/>
      <c r="Z72" s="5">
        <f t="shared" ref="Z72:Z77" si="31">IF(T72=0,0,X72/T72)</f>
        <v>-0.15214248649572801</v>
      </c>
    </row>
    <row r="73" spans="1:26" s="24" customFormat="1" hidden="1" outlineLevel="2" x14ac:dyDescent="0.25">
      <c r="A73" s="26"/>
      <c r="B73" s="11" t="str">
        <f>CONCATENATE("          ", "6002", " - ", "STAFF SALARIES")</f>
        <v xml:space="preserve">          6002 - STAFF SALARIES</v>
      </c>
      <c r="C73" s="11"/>
      <c r="D73" s="6">
        <v>14382.75</v>
      </c>
      <c r="E73" s="2"/>
      <c r="F73" s="7">
        <f t="shared" si="24"/>
        <v>0.22814060037409176</v>
      </c>
      <c r="G73" s="2"/>
      <c r="H73" s="6">
        <v>13475.63</v>
      </c>
      <c r="I73" s="2"/>
      <c r="J73" s="7">
        <f t="shared" si="25"/>
        <v>0.16589774553349668</v>
      </c>
      <c r="K73" s="2"/>
      <c r="L73" s="6">
        <f t="shared" si="26"/>
        <v>907.1200000000008</v>
      </c>
      <c r="M73" s="2"/>
      <c r="N73" s="7">
        <f t="shared" si="27"/>
        <v>6.7315591182007875E-2</v>
      </c>
      <c r="O73" s="11"/>
      <c r="P73" s="6">
        <v>89028.58</v>
      </c>
      <c r="Q73" s="2"/>
      <c r="R73" s="7">
        <f t="shared" si="28"/>
        <v>4.3699734165609176E-2</v>
      </c>
      <c r="S73" s="2"/>
      <c r="T73" s="6">
        <v>81078.989999999991</v>
      </c>
      <c r="U73" s="2"/>
      <c r="V73" s="7">
        <f t="shared" si="29"/>
        <v>3.3765837256790221E-2</v>
      </c>
      <c r="W73" s="2"/>
      <c r="X73" s="6">
        <f t="shared" si="30"/>
        <v>7949.5900000000111</v>
      </c>
      <c r="Y73" s="2"/>
      <c r="Z73" s="7">
        <f t="shared" si="31"/>
        <v>9.8047471977635789E-2</v>
      </c>
    </row>
    <row r="74" spans="1:26" s="24" customFormat="1" hidden="1" outlineLevel="2" x14ac:dyDescent="0.25">
      <c r="A74" s="26"/>
      <c r="B74" s="11" t="str">
        <f>CONCATENATE("          ", "6004", " - ", "STAFF HOURLY")</f>
        <v xml:space="preserve">          6004 - STAFF HOURLY</v>
      </c>
      <c r="C74" s="11"/>
      <c r="D74" s="6">
        <v>3238.83</v>
      </c>
      <c r="E74" s="2"/>
      <c r="F74" s="7">
        <f t="shared" si="24"/>
        <v>5.1374641199326943E-2</v>
      </c>
      <c r="G74" s="2"/>
      <c r="H74" s="6">
        <v>5471.48</v>
      </c>
      <c r="I74" s="2"/>
      <c r="J74" s="7">
        <f t="shared" si="25"/>
        <v>6.7359091688597592E-2</v>
      </c>
      <c r="K74" s="2"/>
      <c r="L74" s="6">
        <f t="shared" si="26"/>
        <v>-2232.6499999999996</v>
      </c>
      <c r="M74" s="2"/>
      <c r="N74" s="7">
        <f t="shared" si="27"/>
        <v>-0.40805230029169437</v>
      </c>
      <c r="O74" s="11"/>
      <c r="P74" s="6">
        <v>18551.86</v>
      </c>
      <c r="Q74" s="2"/>
      <c r="R74" s="7">
        <f t="shared" si="28"/>
        <v>9.1061920821111416E-3</v>
      </c>
      <c r="S74" s="2"/>
      <c r="T74" s="6">
        <v>36568.800000000003</v>
      </c>
      <c r="U74" s="2"/>
      <c r="V74" s="7">
        <f t="shared" si="29"/>
        <v>1.5229298607149774E-2</v>
      </c>
      <c r="W74" s="2"/>
      <c r="X74" s="6">
        <f t="shared" si="30"/>
        <v>-18016.940000000002</v>
      </c>
      <c r="Y74" s="2"/>
      <c r="Z74" s="7">
        <f t="shared" si="31"/>
        <v>-0.49268611493951131</v>
      </c>
    </row>
    <row r="75" spans="1:26" s="24" customFormat="1" hidden="1" outlineLevel="2" x14ac:dyDescent="0.25">
      <c r="A75" s="26"/>
      <c r="B75" s="11" t="str">
        <f>CONCATENATE("          ", "6005", " - ", "TEMPORARY WAGES-HOURLY")</f>
        <v xml:space="preserve">          6005 - TEMPORARY WAGES-HOURLY</v>
      </c>
      <c r="C75" s="11"/>
      <c r="D75" s="6">
        <v>3282.15</v>
      </c>
      <c r="E75" s="2"/>
      <c r="F75" s="7">
        <f t="shared" si="24"/>
        <v>5.2061787315904488E-2</v>
      </c>
      <c r="G75" s="2"/>
      <c r="H75" s="6">
        <v>4575.13</v>
      </c>
      <c r="I75" s="2"/>
      <c r="J75" s="7">
        <f t="shared" si="25"/>
        <v>5.6324175754504005E-2</v>
      </c>
      <c r="K75" s="2"/>
      <c r="L75" s="6">
        <f t="shared" si="26"/>
        <v>-1292.98</v>
      </c>
      <c r="M75" s="2"/>
      <c r="N75" s="7">
        <f t="shared" si="27"/>
        <v>-0.28261054877129177</v>
      </c>
      <c r="O75" s="11"/>
      <c r="P75" s="6">
        <v>13553.27</v>
      </c>
      <c r="Q75" s="2"/>
      <c r="R75" s="7">
        <f t="shared" si="28"/>
        <v>6.652631054822237E-3</v>
      </c>
      <c r="S75" s="2"/>
      <c r="T75" s="6">
        <v>21430.66</v>
      </c>
      <c r="U75" s="2"/>
      <c r="V75" s="7">
        <f t="shared" si="29"/>
        <v>8.924928367578383E-3</v>
      </c>
      <c r="W75" s="2"/>
      <c r="X75" s="6">
        <f t="shared" si="30"/>
        <v>-7877.3899999999994</v>
      </c>
      <c r="Y75" s="2"/>
      <c r="Z75" s="7">
        <f t="shared" si="31"/>
        <v>-0.36757570695442882</v>
      </c>
    </row>
    <row r="76" spans="1:26" s="24" customFormat="1" hidden="1" outlineLevel="2" x14ac:dyDescent="0.25">
      <c r="A76" s="26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4"/>
        <v>0</v>
      </c>
      <c r="G76" s="2"/>
      <c r="H76" s="6"/>
      <c r="I76" s="2"/>
      <c r="J76" s="7">
        <f t="shared" si="25"/>
        <v>0</v>
      </c>
      <c r="K76" s="2"/>
      <c r="L76" s="6">
        <f t="shared" si="26"/>
        <v>0</v>
      </c>
      <c r="M76" s="2"/>
      <c r="N76" s="7">
        <f t="shared" si="27"/>
        <v>0</v>
      </c>
      <c r="O76" s="11"/>
      <c r="P76" s="6"/>
      <c r="Q76" s="2"/>
      <c r="R76" s="7">
        <f t="shared" si="28"/>
        <v>0</v>
      </c>
      <c r="S76" s="2"/>
      <c r="T76" s="6">
        <v>3834.31</v>
      </c>
      <c r="U76" s="2"/>
      <c r="V76" s="7">
        <f t="shared" si="29"/>
        <v>1.5968216606063214E-3</v>
      </c>
      <c r="W76" s="2"/>
      <c r="X76" s="6">
        <f t="shared" si="30"/>
        <v>-3834.31</v>
      </c>
      <c r="Y76" s="2"/>
      <c r="Z76" s="7">
        <f t="shared" si="31"/>
        <v>-1</v>
      </c>
    </row>
    <row r="77" spans="1:26" s="24" customFormat="1" hidden="1" outlineLevel="2" x14ac:dyDescent="0.25">
      <c r="A77" s="26"/>
      <c r="B77" s="11" t="str">
        <f>CONCATENATE("          ", "6007", " - ", "STUDENT HOURLY")</f>
        <v xml:space="preserve">          6007 - STUDENT HOURLY</v>
      </c>
      <c r="C77" s="11"/>
      <c r="D77" s="6">
        <v>3158.45</v>
      </c>
      <c r="E77" s="2"/>
      <c r="F77" s="7">
        <f t="shared" si="24"/>
        <v>5.0099645704162976E-2</v>
      </c>
      <c r="G77" s="2"/>
      <c r="H77" s="6">
        <v>2764.76</v>
      </c>
      <c r="I77" s="2"/>
      <c r="J77" s="7">
        <f t="shared" si="25"/>
        <v>3.4036809480609838E-2</v>
      </c>
      <c r="K77" s="2"/>
      <c r="L77" s="6">
        <f t="shared" si="26"/>
        <v>393.6899999999996</v>
      </c>
      <c r="M77" s="2"/>
      <c r="N77" s="7">
        <f t="shared" si="27"/>
        <v>0.14239572331775618</v>
      </c>
      <c r="O77" s="11"/>
      <c r="P77" s="6">
        <v>21884.43</v>
      </c>
      <c r="Q77" s="2"/>
      <c r="R77" s="7">
        <f t="shared" si="28"/>
        <v>1.0741986150580887E-2</v>
      </c>
      <c r="S77" s="2"/>
      <c r="T77" s="6">
        <v>25769.05</v>
      </c>
      <c r="U77" s="2"/>
      <c r="V77" s="7">
        <f t="shared" si="29"/>
        <v>1.0731677202220824E-2</v>
      </c>
      <c r="W77" s="2"/>
      <c r="X77" s="6">
        <f t="shared" si="30"/>
        <v>-3884.619999999999</v>
      </c>
      <c r="Y77" s="2"/>
      <c r="Z77" s="7">
        <f t="shared" si="31"/>
        <v>-0.15074750524369346</v>
      </c>
    </row>
    <row r="78" spans="1:26" s="27" customFormat="1" outlineLevel="1" collapsed="1" x14ac:dyDescent="0.25">
      <c r="A78" s="25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1138.8499999999999</v>
      </c>
      <c r="E78" s="1"/>
      <c r="F78" s="5">
        <f t="shared" ref="F78:F82" si="32">IF(D$12=0,0,D78/D$12)</f>
        <v>1.8064551127985565E-2</v>
      </c>
      <c r="G78" s="1"/>
      <c r="H78" s="1">
        <f>SUM(OSRRefH22_2x_0)</f>
        <v>2062.4299999999998</v>
      </c>
      <c r="I78" s="1"/>
      <c r="J78" s="5">
        <f t="shared" ref="J78:J82" si="33">IF(H$12=0,0,H78/H$12)</f>
        <v>2.5390463178393111E-2</v>
      </c>
      <c r="K78" s="1"/>
      <c r="L78" s="1">
        <f t="shared" ref="L78:L82" si="34">+D78-H78</f>
        <v>-923.57999999999993</v>
      </c>
      <c r="M78" s="1"/>
      <c r="N78" s="5">
        <f t="shared" ref="N78:N82" si="35">IF(H78=0,0,L78/H78)</f>
        <v>-0.44781156208938</v>
      </c>
      <c r="O78" s="13"/>
      <c r="P78" s="1">
        <f>SUM(OSRRefP22_2x_0)</f>
        <v>4346.9399999999996</v>
      </c>
      <c r="Q78" s="1"/>
      <c r="R78" s="5">
        <f t="shared" ref="R78:R82" si="36">IF(P$12=0,0,P78/P$12)</f>
        <v>2.1336982172899211E-3</v>
      </c>
      <c r="S78" s="1"/>
      <c r="T78" s="1">
        <f>SUM(OSRRefT22_2x_0)</f>
        <v>4307.32</v>
      </c>
      <c r="U78" s="1"/>
      <c r="V78" s="5">
        <f t="shared" ref="V78:V82" si="37">IF(T$12=0,0,T78/T$12)</f>
        <v>1.7938095446541412E-3</v>
      </c>
      <c r="W78" s="1"/>
      <c r="X78" s="1">
        <f t="shared" ref="X78:X82" si="38">+P78-T78</f>
        <v>39.619999999999891</v>
      </c>
      <c r="Y78" s="1"/>
      <c r="Z78" s="5">
        <f t="shared" ref="Z78:Z82" si="39">IF(T78=0,0,X78/T78)</f>
        <v>9.1982949954960147E-3</v>
      </c>
    </row>
    <row r="79" spans="1:26" s="24" customFormat="1" hidden="1" outlineLevel="2" x14ac:dyDescent="0.25">
      <c r="A79" s="26"/>
      <c r="B79" s="11" t="str">
        <f>CONCATENATE("          ", "6362", " - ", "ADVERTISING EXPENSE")</f>
        <v xml:space="preserve">          6362 - ADVERTISING EXPENSE</v>
      </c>
      <c r="C79" s="11"/>
      <c r="D79" s="6">
        <v>1138.8499999999999</v>
      </c>
      <c r="E79" s="2"/>
      <c r="F79" s="7">
        <f t="shared" si="32"/>
        <v>1.8064551127985565E-2</v>
      </c>
      <c r="G79" s="2"/>
      <c r="H79" s="6">
        <v>2062.4299999999998</v>
      </c>
      <c r="I79" s="2"/>
      <c r="J79" s="7">
        <f t="shared" si="33"/>
        <v>2.5390463178393111E-2</v>
      </c>
      <c r="K79" s="2"/>
      <c r="L79" s="6">
        <f t="shared" si="34"/>
        <v>-923.57999999999993</v>
      </c>
      <c r="M79" s="2"/>
      <c r="N79" s="7">
        <f t="shared" si="35"/>
        <v>-0.44781156208938</v>
      </c>
      <c r="O79" s="11"/>
      <c r="P79" s="6">
        <v>4346.9399999999996</v>
      </c>
      <c r="Q79" s="2"/>
      <c r="R79" s="7">
        <f t="shared" si="36"/>
        <v>2.1336982172899211E-3</v>
      </c>
      <c r="S79" s="2"/>
      <c r="T79" s="6">
        <v>4307.32</v>
      </c>
      <c r="U79" s="2"/>
      <c r="V79" s="7">
        <f t="shared" si="37"/>
        <v>1.7938095446541412E-3</v>
      </c>
      <c r="W79" s="2"/>
      <c r="X79" s="6">
        <f t="shared" si="38"/>
        <v>39.619999999999891</v>
      </c>
      <c r="Y79" s="2"/>
      <c r="Z79" s="7">
        <f t="shared" si="39"/>
        <v>9.1982949954960147E-3</v>
      </c>
    </row>
    <row r="80" spans="1:26" s="27" customFormat="1" outlineLevel="1" collapsed="1" x14ac:dyDescent="0.25">
      <c r="A80" s="25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675.06</v>
      </c>
      <c r="E80" s="1"/>
      <c r="F80" s="5">
        <f t="shared" si="32"/>
        <v>1.0707868362346169E-2</v>
      </c>
      <c r="G80" s="1"/>
      <c r="H80" s="1">
        <f>SUM(OSRRefH22_3x_0)</f>
        <v>-253.42</v>
      </c>
      <c r="I80" s="1"/>
      <c r="J80" s="5">
        <f t="shared" si="33"/>
        <v>-3.1198397902805828E-3</v>
      </c>
      <c r="K80" s="1"/>
      <c r="L80" s="1">
        <f t="shared" si="34"/>
        <v>928.4799999999999</v>
      </c>
      <c r="M80" s="1"/>
      <c r="N80" s="5">
        <f t="shared" si="35"/>
        <v>-3.6637992265803803</v>
      </c>
      <c r="O80" s="13"/>
      <c r="P80" s="1">
        <f>SUM(OSRRefP22_3x_0)</f>
        <v>-1838.17</v>
      </c>
      <c r="Q80" s="1"/>
      <c r="R80" s="5">
        <f t="shared" si="36"/>
        <v>-9.022668939704287E-4</v>
      </c>
      <c r="S80" s="1"/>
      <c r="T80" s="1">
        <f>SUM(OSRRefT22_3x_0)</f>
        <v>14448.359999999999</v>
      </c>
      <c r="U80" s="1"/>
      <c r="V80" s="5">
        <f t="shared" si="37"/>
        <v>6.0171071739733998E-3</v>
      </c>
      <c r="W80" s="1"/>
      <c r="X80" s="1">
        <f t="shared" si="38"/>
        <v>-16286.529999999999</v>
      </c>
      <c r="Y80" s="1"/>
      <c r="Z80" s="5">
        <f t="shared" si="39"/>
        <v>-1.1272234357394195</v>
      </c>
    </row>
    <row r="81" spans="1:26" s="24" customFormat="1" hidden="1" outlineLevel="2" x14ac:dyDescent="0.25">
      <c r="A81" s="26"/>
      <c r="B81" s="11" t="str">
        <f>CONCATENATE("          ", "6382", " - ", "DISCOUNTS/MARK DOWNS")</f>
        <v xml:space="preserve">          6382 - DISCOUNTS/MARK DOWNS</v>
      </c>
      <c r="C81" s="11"/>
      <c r="D81" s="6">
        <v>675.06</v>
      </c>
      <c r="E81" s="2"/>
      <c r="F81" s="7">
        <f t="shared" si="32"/>
        <v>1.0707868362346169E-2</v>
      </c>
      <c r="G81" s="2"/>
      <c r="H81" s="6">
        <v>-251.79</v>
      </c>
      <c r="I81" s="2"/>
      <c r="J81" s="7">
        <f t="shared" si="33"/>
        <v>-3.099772949233478E-3</v>
      </c>
      <c r="K81" s="2"/>
      <c r="L81" s="6">
        <f t="shared" si="34"/>
        <v>926.84999999999991</v>
      </c>
      <c r="M81" s="2"/>
      <c r="N81" s="7">
        <f t="shared" si="35"/>
        <v>-3.6810437269152865</v>
      </c>
      <c r="O81" s="11"/>
      <c r="P81" s="6">
        <v>-1404.54</v>
      </c>
      <c r="Q81" s="2"/>
      <c r="R81" s="7">
        <f t="shared" si="36"/>
        <v>-6.8941933730679202E-4</v>
      </c>
      <c r="S81" s="2"/>
      <c r="T81" s="6">
        <v>14527.56</v>
      </c>
      <c r="U81" s="2"/>
      <c r="V81" s="7">
        <f t="shared" si="37"/>
        <v>6.0500904944456677E-3</v>
      </c>
      <c r="W81" s="2"/>
      <c r="X81" s="6">
        <f t="shared" si="38"/>
        <v>-15932.099999999999</v>
      </c>
      <c r="Y81" s="2"/>
      <c r="Z81" s="7">
        <f t="shared" si="39"/>
        <v>-1.0966810668825322</v>
      </c>
    </row>
    <row r="82" spans="1:26" s="24" customFormat="1" hidden="1" outlineLevel="2" x14ac:dyDescent="0.25">
      <c r="A82" s="26"/>
      <c r="B82" s="11" t="str">
        <f>CONCATENATE("          ", "9175", " - ", "EARNED DISCOUNTS")</f>
        <v xml:space="preserve">          9175 - EARNED DISCOUNTS</v>
      </c>
      <c r="C82" s="11"/>
      <c r="D82" s="6"/>
      <c r="E82" s="2"/>
      <c r="F82" s="7">
        <f t="shared" si="32"/>
        <v>0</v>
      </c>
      <c r="G82" s="2"/>
      <c r="H82" s="6">
        <v>-1.63</v>
      </c>
      <c r="I82" s="2"/>
      <c r="J82" s="7">
        <f t="shared" si="33"/>
        <v>-2.0066841047105004E-5</v>
      </c>
      <c r="K82" s="2"/>
      <c r="L82" s="6">
        <f t="shared" si="34"/>
        <v>1.63</v>
      </c>
      <c r="M82" s="2"/>
      <c r="N82" s="7">
        <f t="shared" si="35"/>
        <v>-1</v>
      </c>
      <c r="O82" s="11"/>
      <c r="P82" s="6">
        <v>-433.63</v>
      </c>
      <c r="Q82" s="2"/>
      <c r="R82" s="7">
        <f t="shared" si="36"/>
        <v>-2.1284755666363663E-4</v>
      </c>
      <c r="S82" s="2"/>
      <c r="T82" s="6">
        <v>-79.2</v>
      </c>
      <c r="U82" s="2"/>
      <c r="V82" s="7">
        <f t="shared" si="37"/>
        <v>-3.2983320472267673E-5</v>
      </c>
      <c r="W82" s="2"/>
      <c r="X82" s="6">
        <f t="shared" si="38"/>
        <v>-354.43</v>
      </c>
      <c r="Y82" s="2"/>
      <c r="Z82" s="7">
        <f t="shared" si="39"/>
        <v>4.4751262626262625</v>
      </c>
    </row>
    <row r="83" spans="1:26" s="27" customFormat="1" outlineLevel="1" collapsed="1" x14ac:dyDescent="0.25">
      <c r="A83" s="25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89" si="40">IF(D$12=0,0,D83/D$12)</f>
        <v>0</v>
      </c>
      <c r="G83" s="1"/>
      <c r="H83" s="1">
        <f>SUM(OSRRefH22_4x_0)</f>
        <v>0</v>
      </c>
      <c r="I83" s="1"/>
      <c r="J83" s="5">
        <f t="shared" ref="J83:J89" si="41">IF(H$12=0,0,H83/H$12)</f>
        <v>0</v>
      </c>
      <c r="K83" s="1"/>
      <c r="L83" s="1">
        <f t="shared" ref="L83:L89" si="42">+D83-H83</f>
        <v>0</v>
      </c>
      <c r="M83" s="1"/>
      <c r="N83" s="5">
        <f t="shared" ref="N83:N89" si="43">IF(H83=0,0,L83/H83)</f>
        <v>0</v>
      </c>
      <c r="O83" s="13"/>
      <c r="P83" s="1">
        <f>SUM(OSRRefP22_4x_0)</f>
        <v>37.880000000000003</v>
      </c>
      <c r="Q83" s="1"/>
      <c r="R83" s="5">
        <f t="shared" ref="R83:R89" si="44">IF(P$12=0,0,P83/P$12)</f>
        <v>1.8593421687656659E-5</v>
      </c>
      <c r="S83" s="1"/>
      <c r="T83" s="1">
        <f>SUM(OSRRefT22_4x_0)</f>
        <v>372.67</v>
      </c>
      <c r="U83" s="1"/>
      <c r="V83" s="5">
        <f t="shared" ref="V83:V89" si="45">IF(T$12=0,0,T83/T$12)</f>
        <v>1.5520068232828275E-4</v>
      </c>
      <c r="W83" s="1"/>
      <c r="X83" s="1">
        <f t="shared" ref="X83:X89" si="46">+P83-T83</f>
        <v>-334.79</v>
      </c>
      <c r="Y83" s="1"/>
      <c r="Z83" s="5">
        <f t="shared" ref="Z83:Z89" si="47">IF(T83=0,0,X83/T83)</f>
        <v>-0.89835511310274507</v>
      </c>
    </row>
    <row r="84" spans="1:26" s="24" customFormat="1" hidden="1" outlineLevel="2" x14ac:dyDescent="0.25">
      <c r="A84" s="26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40"/>
        <v>0</v>
      </c>
      <c r="G84" s="2"/>
      <c r="H84" s="6"/>
      <c r="I84" s="2"/>
      <c r="J84" s="7">
        <f t="shared" si="41"/>
        <v>0</v>
      </c>
      <c r="K84" s="2"/>
      <c r="L84" s="6">
        <f t="shared" si="42"/>
        <v>0</v>
      </c>
      <c r="M84" s="2"/>
      <c r="N84" s="7">
        <f t="shared" si="43"/>
        <v>0</v>
      </c>
      <c r="O84" s="11"/>
      <c r="P84" s="6">
        <v>37.880000000000003</v>
      </c>
      <c r="Q84" s="2"/>
      <c r="R84" s="7">
        <f t="shared" si="44"/>
        <v>1.8593421687656659E-5</v>
      </c>
      <c r="S84" s="2"/>
      <c r="T84" s="6">
        <v>372.67</v>
      </c>
      <c r="U84" s="2"/>
      <c r="V84" s="7">
        <f t="shared" si="45"/>
        <v>1.5520068232828275E-4</v>
      </c>
      <c r="W84" s="2"/>
      <c r="X84" s="6">
        <f t="shared" si="46"/>
        <v>-334.79</v>
      </c>
      <c r="Y84" s="2"/>
      <c r="Z84" s="7">
        <f t="shared" si="47"/>
        <v>-0.89835511310274507</v>
      </c>
    </row>
    <row r="85" spans="1:26" s="27" customFormat="1" outlineLevel="1" collapsed="1" x14ac:dyDescent="0.25">
      <c r="A85" s="25"/>
      <c r="B85" s="13" t="str">
        <f>CONCATENATE("     ","Equipment Rental                                  ")</f>
        <v xml:space="preserve">     Equipment Rental                                  </v>
      </c>
      <c r="C85" s="13"/>
      <c r="D85" s="1">
        <f>SUM(OSRRefD22_5x_0)</f>
        <v>0</v>
      </c>
      <c r="E85" s="1"/>
      <c r="F85" s="5">
        <f t="shared" si="40"/>
        <v>0</v>
      </c>
      <c r="G85" s="1"/>
      <c r="H85" s="1">
        <f>SUM(OSRRefH22_5x_0)</f>
        <v>91.26</v>
      </c>
      <c r="I85" s="1"/>
      <c r="J85" s="5">
        <f t="shared" si="41"/>
        <v>1.123496879729327E-3</v>
      </c>
      <c r="K85" s="1"/>
      <c r="L85" s="1">
        <f t="shared" si="42"/>
        <v>-91.26</v>
      </c>
      <c r="M85" s="1"/>
      <c r="N85" s="5">
        <f t="shared" si="43"/>
        <v>-1</v>
      </c>
      <c r="O85" s="13"/>
      <c r="P85" s="1">
        <f>SUM(OSRRefP22_5x_0)</f>
        <v>547.55999999999995</v>
      </c>
      <c r="Q85" s="1"/>
      <c r="R85" s="5">
        <f t="shared" si="44"/>
        <v>2.6877016840795348E-4</v>
      </c>
      <c r="S85" s="1"/>
      <c r="T85" s="1">
        <f>SUM(OSRRefT22_5x_0)</f>
        <v>547.55999999999995</v>
      </c>
      <c r="U85" s="1"/>
      <c r="V85" s="5">
        <f t="shared" si="45"/>
        <v>2.2803468381054145E-4</v>
      </c>
      <c r="W85" s="1"/>
      <c r="X85" s="1">
        <f t="shared" si="46"/>
        <v>0</v>
      </c>
      <c r="Y85" s="1"/>
      <c r="Z85" s="5">
        <f t="shared" si="47"/>
        <v>0</v>
      </c>
    </row>
    <row r="86" spans="1:26" s="24" customFormat="1" hidden="1" outlineLevel="2" x14ac:dyDescent="0.25">
      <c r="A86" s="26"/>
      <c r="B86" s="11" t="str">
        <f>CONCATENATE("          ", "6351", " - ", "EQUIPMENT RENTAL")</f>
        <v xml:space="preserve">          6351 - EQUIPMENT RENTAL</v>
      </c>
      <c r="C86" s="11"/>
      <c r="D86" s="6"/>
      <c r="E86" s="2"/>
      <c r="F86" s="7">
        <f t="shared" si="40"/>
        <v>0</v>
      </c>
      <c r="G86" s="2"/>
      <c r="H86" s="6">
        <v>91.26</v>
      </c>
      <c r="I86" s="2"/>
      <c r="J86" s="7">
        <f t="shared" si="41"/>
        <v>1.123496879729327E-3</v>
      </c>
      <c r="K86" s="2"/>
      <c r="L86" s="6">
        <f t="shared" si="42"/>
        <v>-91.26</v>
      </c>
      <c r="M86" s="2"/>
      <c r="N86" s="7">
        <f t="shared" si="43"/>
        <v>-1</v>
      </c>
      <c r="O86" s="11"/>
      <c r="P86" s="6">
        <v>547.55999999999995</v>
      </c>
      <c r="Q86" s="2"/>
      <c r="R86" s="7">
        <f t="shared" si="44"/>
        <v>2.6877016840795348E-4</v>
      </c>
      <c r="S86" s="2"/>
      <c r="T86" s="6">
        <v>547.55999999999995</v>
      </c>
      <c r="U86" s="2"/>
      <c r="V86" s="7">
        <f t="shared" si="45"/>
        <v>2.2803468381054145E-4</v>
      </c>
      <c r="W86" s="2"/>
      <c r="X86" s="6">
        <f t="shared" si="46"/>
        <v>0</v>
      </c>
      <c r="Y86" s="2"/>
      <c r="Z86" s="7">
        <f t="shared" si="47"/>
        <v>0</v>
      </c>
    </row>
    <row r="87" spans="1:26" s="27" customFormat="1" outlineLevel="1" collapsed="1" x14ac:dyDescent="0.25">
      <c r="A87" s="25"/>
      <c r="B87" s="13" t="str">
        <f>CONCATENATE("     ","Freight out/Postage                               ")</f>
        <v xml:space="preserve">     Freight out/Postage                               </v>
      </c>
      <c r="C87" s="13"/>
      <c r="D87" s="1">
        <f>SUM(OSRRefD22_6x_0)</f>
        <v>2571.11</v>
      </c>
      <c r="E87" s="1"/>
      <c r="F87" s="5">
        <f t="shared" si="40"/>
        <v>4.0783200641590175E-2</v>
      </c>
      <c r="G87" s="1"/>
      <c r="H87" s="1">
        <f>SUM(OSRRefH22_6x_0)</f>
        <v>1223.3899999999999</v>
      </c>
      <c r="I87" s="1"/>
      <c r="J87" s="5">
        <f t="shared" si="41"/>
        <v>1.506108752675938E-2</v>
      </c>
      <c r="K87" s="1"/>
      <c r="L87" s="1">
        <f t="shared" si="42"/>
        <v>1347.7200000000003</v>
      </c>
      <c r="M87" s="1"/>
      <c r="N87" s="5">
        <f t="shared" si="43"/>
        <v>1.1016274450502297</v>
      </c>
      <c r="O87" s="13"/>
      <c r="P87" s="1">
        <f>SUM(OSRRefP22_6x_0)</f>
        <v>11941.9</v>
      </c>
      <c r="Q87" s="1"/>
      <c r="R87" s="5">
        <f t="shared" si="44"/>
        <v>5.8616890826775877E-3</v>
      </c>
      <c r="S87" s="1"/>
      <c r="T87" s="1">
        <f>SUM(OSRRefT22_6x_0)</f>
        <v>13751.050000000001</v>
      </c>
      <c r="U87" s="1"/>
      <c r="V87" s="5">
        <f t="shared" si="45"/>
        <v>5.7267081941941465E-3</v>
      </c>
      <c r="W87" s="1"/>
      <c r="X87" s="1">
        <f t="shared" si="46"/>
        <v>-1809.1500000000015</v>
      </c>
      <c r="Y87" s="1"/>
      <c r="Z87" s="5">
        <f t="shared" si="47"/>
        <v>-0.13156449871100762</v>
      </c>
    </row>
    <row r="88" spans="1:26" s="24" customFormat="1" hidden="1" outlineLevel="2" x14ac:dyDescent="0.25">
      <c r="A88" s="26"/>
      <c r="B88" s="11" t="str">
        <f>CONCATENATE("          ", "6305", " - ", "FREIGHT OUT")</f>
        <v xml:space="preserve">          6305 - FREIGHT OUT</v>
      </c>
      <c r="C88" s="11"/>
      <c r="D88" s="6">
        <v>2571.11</v>
      </c>
      <c r="E88" s="2"/>
      <c r="F88" s="7">
        <f t="shared" si="40"/>
        <v>4.0783200641590175E-2</v>
      </c>
      <c r="G88" s="2"/>
      <c r="H88" s="6">
        <v>1221.04</v>
      </c>
      <c r="I88" s="2"/>
      <c r="J88" s="7">
        <f t="shared" si="41"/>
        <v>1.5032156805004353E-2</v>
      </c>
      <c r="K88" s="2"/>
      <c r="L88" s="6">
        <f t="shared" si="42"/>
        <v>1350.0700000000002</v>
      </c>
      <c r="M88" s="2"/>
      <c r="N88" s="7">
        <f t="shared" si="43"/>
        <v>1.1056722138504882</v>
      </c>
      <c r="O88" s="11"/>
      <c r="P88" s="6">
        <v>11941.4</v>
      </c>
      <c r="Q88" s="2"/>
      <c r="R88" s="7">
        <f t="shared" si="44"/>
        <v>5.8614436573649203E-3</v>
      </c>
      <c r="S88" s="2"/>
      <c r="T88" s="6">
        <v>13747.76</v>
      </c>
      <c r="U88" s="2"/>
      <c r="V88" s="7">
        <f t="shared" si="45"/>
        <v>5.7253380537351335E-3</v>
      </c>
      <c r="W88" s="2"/>
      <c r="X88" s="6">
        <f t="shared" si="46"/>
        <v>-1806.3600000000006</v>
      </c>
      <c r="Y88" s="2"/>
      <c r="Z88" s="7">
        <f t="shared" si="47"/>
        <v>-0.13139304148457645</v>
      </c>
    </row>
    <row r="89" spans="1:26" s="24" customFormat="1" hidden="1" outlineLevel="2" x14ac:dyDescent="0.25">
      <c r="A89" s="26"/>
      <c r="B89" s="11" t="str">
        <f>CONCATENATE("          ", "6307", " - ", "POSTAGE")</f>
        <v xml:space="preserve">          6307 - POSTAGE</v>
      </c>
      <c r="C89" s="11"/>
      <c r="D89" s="6"/>
      <c r="E89" s="2"/>
      <c r="F89" s="7">
        <f t="shared" si="40"/>
        <v>0</v>
      </c>
      <c r="G89" s="2"/>
      <c r="H89" s="6">
        <v>2.35</v>
      </c>
      <c r="I89" s="2"/>
      <c r="J89" s="7">
        <f t="shared" si="41"/>
        <v>2.8930721755028691E-5</v>
      </c>
      <c r="K89" s="2"/>
      <c r="L89" s="6">
        <f t="shared" si="42"/>
        <v>-2.35</v>
      </c>
      <c r="M89" s="2"/>
      <c r="N89" s="7">
        <f t="shared" si="43"/>
        <v>-1</v>
      </c>
      <c r="O89" s="11"/>
      <c r="P89" s="6">
        <v>0.5</v>
      </c>
      <c r="Q89" s="2"/>
      <c r="R89" s="7">
        <f t="shared" si="44"/>
        <v>2.4542531266706252E-7</v>
      </c>
      <c r="S89" s="2"/>
      <c r="T89" s="6">
        <v>3.29</v>
      </c>
      <c r="U89" s="2"/>
      <c r="V89" s="7">
        <f t="shared" si="45"/>
        <v>1.3701404590121292E-6</v>
      </c>
      <c r="W89" s="2"/>
      <c r="X89" s="6">
        <f t="shared" si="46"/>
        <v>-2.79</v>
      </c>
      <c r="Y89" s="2"/>
      <c r="Z89" s="7">
        <f t="shared" si="47"/>
        <v>-0.84802431610942253</v>
      </c>
    </row>
    <row r="90" spans="1:26" s="27" customFormat="1" outlineLevel="1" collapsed="1" x14ac:dyDescent="0.25">
      <c r="A90" s="25"/>
      <c r="B90" s="13" t="str">
        <f>CONCATENATE("     ","General                                           ")</f>
        <v xml:space="preserve">     General                                           </v>
      </c>
      <c r="C90" s="13"/>
      <c r="D90" s="1">
        <f>SUM(OSRRefD22_7x_0)</f>
        <v>0</v>
      </c>
      <c r="E90" s="1"/>
      <c r="F90" s="5">
        <f t="shared" ref="F90:F96" si="48">IF(D$12=0,0,D90/D$12)</f>
        <v>0</v>
      </c>
      <c r="G90" s="1"/>
      <c r="H90" s="1">
        <f>SUM(OSRRefH22_7x_0)</f>
        <v>-1263.53</v>
      </c>
      <c r="I90" s="1"/>
      <c r="J90" s="5">
        <f t="shared" ref="J90:J96" si="49">IF(H$12=0,0,H90/H$12)</f>
        <v>-1.5555248876226127E-2</v>
      </c>
      <c r="K90" s="1"/>
      <c r="L90" s="1">
        <f t="shared" ref="L90:L96" si="50">+D90-H90</f>
        <v>1263.53</v>
      </c>
      <c r="M90" s="1"/>
      <c r="N90" s="5">
        <f t="shared" ref="N90:N96" si="51">IF(H90=0,0,L90/H90)</f>
        <v>-1</v>
      </c>
      <c r="O90" s="13"/>
      <c r="P90" s="1">
        <f>SUM(OSRRefP22_7x_0)</f>
        <v>8152.9</v>
      </c>
      <c r="Q90" s="1"/>
      <c r="R90" s="5">
        <f t="shared" ref="R90:R96" si="52">IF(P$12=0,0,P90/P$12)</f>
        <v>4.0018560632865876E-3</v>
      </c>
      <c r="S90" s="1"/>
      <c r="T90" s="1">
        <f>SUM(OSRRefT22_7x_0)</f>
        <v>10865.1</v>
      </c>
      <c r="U90" s="1"/>
      <c r="V90" s="5">
        <f t="shared" ref="V90:V96" si="53">IF(T$12=0,0,T90/T$12)</f>
        <v>4.5248368088792361E-3</v>
      </c>
      <c r="W90" s="1"/>
      <c r="X90" s="1">
        <f t="shared" ref="X90:X96" si="54">+P90-T90</f>
        <v>-2712.2000000000007</v>
      </c>
      <c r="Y90" s="1"/>
      <c r="Z90" s="5">
        <f t="shared" ref="Z90:Z96" si="55">IF(T90=0,0,X90/T90)</f>
        <v>-0.2496249459277872</v>
      </c>
    </row>
    <row r="91" spans="1:26" s="24" customFormat="1" hidden="1" outlineLevel="2" x14ac:dyDescent="0.25">
      <c r="A91" s="26"/>
      <c r="B91" s="11" t="str">
        <f>CONCATENATE("          ", "6279", " - ", "GENERAL EXPENSE")</f>
        <v xml:space="preserve">          6279 - GENERAL EXPENSE</v>
      </c>
      <c r="C91" s="11"/>
      <c r="D91" s="6"/>
      <c r="E91" s="2"/>
      <c r="F91" s="7">
        <f t="shared" si="48"/>
        <v>0</v>
      </c>
      <c r="G91" s="2"/>
      <c r="H91" s="6">
        <v>-1263.53</v>
      </c>
      <c r="I91" s="2"/>
      <c r="J91" s="7">
        <f t="shared" si="49"/>
        <v>-1.5555248876226127E-2</v>
      </c>
      <c r="K91" s="2"/>
      <c r="L91" s="6">
        <f t="shared" si="50"/>
        <v>1263.53</v>
      </c>
      <c r="M91" s="2"/>
      <c r="N91" s="7">
        <f t="shared" si="51"/>
        <v>-1</v>
      </c>
      <c r="O91" s="11"/>
      <c r="P91" s="6">
        <v>8152.9</v>
      </c>
      <c r="Q91" s="2"/>
      <c r="R91" s="7">
        <f t="shared" si="52"/>
        <v>4.0018560632865876E-3</v>
      </c>
      <c r="S91" s="2"/>
      <c r="T91" s="6">
        <v>10865.1</v>
      </c>
      <c r="U91" s="2"/>
      <c r="V91" s="7">
        <f t="shared" si="53"/>
        <v>4.5248368088792361E-3</v>
      </c>
      <c r="W91" s="2"/>
      <c r="X91" s="6">
        <f t="shared" si="54"/>
        <v>-2712.2000000000007</v>
      </c>
      <c r="Y91" s="2"/>
      <c r="Z91" s="7">
        <f t="shared" si="55"/>
        <v>-0.2496249459277872</v>
      </c>
    </row>
    <row r="92" spans="1:26" s="27" customFormat="1" outlineLevel="1" collapsed="1" x14ac:dyDescent="0.25">
      <c r="A92" s="25"/>
      <c r="B92" s="13" t="str">
        <f>CONCATENATE("     ","Inventory Adjustment                              ")</f>
        <v xml:space="preserve">     Inventory Adjustment                              </v>
      </c>
      <c r="C92" s="13"/>
      <c r="D92" s="1">
        <f>SUM(OSRRefD22_8x_0)</f>
        <v>6800</v>
      </c>
      <c r="E92" s="1"/>
      <c r="F92" s="5">
        <f t="shared" si="48"/>
        <v>0.10786227130026066</v>
      </c>
      <c r="G92" s="1"/>
      <c r="H92" s="1">
        <f>SUM(OSRRefH22_8x_0)</f>
        <v>6950</v>
      </c>
      <c r="I92" s="1"/>
      <c r="J92" s="5">
        <f t="shared" si="49"/>
        <v>8.5561070722318888E-2</v>
      </c>
      <c r="K92" s="1"/>
      <c r="L92" s="1">
        <f t="shared" si="50"/>
        <v>-150</v>
      </c>
      <c r="M92" s="1"/>
      <c r="N92" s="5">
        <f t="shared" si="51"/>
        <v>-2.1582733812949641E-2</v>
      </c>
      <c r="O92" s="13"/>
      <c r="P92" s="1">
        <f>SUM(OSRRefP22_8x_0)</f>
        <v>11800</v>
      </c>
      <c r="Q92" s="1"/>
      <c r="R92" s="5">
        <f t="shared" si="52"/>
        <v>5.7920373789426757E-3</v>
      </c>
      <c r="S92" s="1"/>
      <c r="T92" s="1">
        <f>SUM(OSRRefT22_8x_0)</f>
        <v>41700</v>
      </c>
      <c r="U92" s="1"/>
      <c r="V92" s="5">
        <f t="shared" si="53"/>
        <v>1.7366217975928813E-2</v>
      </c>
      <c r="W92" s="1"/>
      <c r="X92" s="1">
        <f t="shared" si="54"/>
        <v>-29900</v>
      </c>
      <c r="Y92" s="1"/>
      <c r="Z92" s="5">
        <f t="shared" si="55"/>
        <v>-0.71702637889688248</v>
      </c>
    </row>
    <row r="93" spans="1:26" s="24" customFormat="1" hidden="1" outlineLevel="2" x14ac:dyDescent="0.25">
      <c r="A93" s="26"/>
      <c r="B93" s="11" t="str">
        <f>CONCATENATE("          ", "6408", " - ", "INVENTORY ADJUSTMENT")</f>
        <v xml:space="preserve">          6408 - INVENTORY ADJUSTMENT</v>
      </c>
      <c r="C93" s="11"/>
      <c r="D93" s="6">
        <v>6800</v>
      </c>
      <c r="E93" s="2"/>
      <c r="F93" s="7">
        <f t="shared" si="48"/>
        <v>0.10786227130026066</v>
      </c>
      <c r="G93" s="2"/>
      <c r="H93" s="6">
        <v>6950</v>
      </c>
      <c r="I93" s="2"/>
      <c r="J93" s="7">
        <f t="shared" si="49"/>
        <v>8.5561070722318888E-2</v>
      </c>
      <c r="K93" s="2"/>
      <c r="L93" s="6">
        <f t="shared" si="50"/>
        <v>-150</v>
      </c>
      <c r="M93" s="2"/>
      <c r="N93" s="7">
        <f t="shared" si="51"/>
        <v>-2.1582733812949641E-2</v>
      </c>
      <c r="O93" s="11"/>
      <c r="P93" s="6">
        <v>11800</v>
      </c>
      <c r="Q93" s="2"/>
      <c r="R93" s="7">
        <f t="shared" si="52"/>
        <v>5.7920373789426757E-3</v>
      </c>
      <c r="S93" s="2"/>
      <c r="T93" s="6">
        <v>41700</v>
      </c>
      <c r="U93" s="2"/>
      <c r="V93" s="7">
        <f t="shared" si="53"/>
        <v>1.7366217975928813E-2</v>
      </c>
      <c r="W93" s="2"/>
      <c r="X93" s="6">
        <f t="shared" si="54"/>
        <v>-29900</v>
      </c>
      <c r="Y93" s="2"/>
      <c r="Z93" s="7">
        <f t="shared" si="55"/>
        <v>-0.71702637889688248</v>
      </c>
    </row>
    <row r="94" spans="1:26" s="27" customFormat="1" outlineLevel="1" collapsed="1" x14ac:dyDescent="0.25">
      <c r="A94" s="25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SUM(OSRRefD22_9x_0)</f>
        <v>23.6</v>
      </c>
      <c r="E94" s="1"/>
      <c r="F94" s="5">
        <f t="shared" si="48"/>
        <v>3.7434552980678703E-4</v>
      </c>
      <c r="G94" s="1"/>
      <c r="H94" s="1">
        <f>SUM(OSRRefH22_9x_0)</f>
        <v>78</v>
      </c>
      <c r="I94" s="1"/>
      <c r="J94" s="5">
        <f t="shared" si="49"/>
        <v>9.6025374335839903E-4</v>
      </c>
      <c r="K94" s="1"/>
      <c r="L94" s="1">
        <f t="shared" si="50"/>
        <v>-54.4</v>
      </c>
      <c r="M94" s="1"/>
      <c r="N94" s="5">
        <f t="shared" si="51"/>
        <v>-0.6974358974358974</v>
      </c>
      <c r="O94" s="13"/>
      <c r="P94" s="1">
        <f>SUM(OSRRefP22_9x_0)</f>
        <v>143.16</v>
      </c>
      <c r="Q94" s="1"/>
      <c r="R94" s="5">
        <f t="shared" si="52"/>
        <v>7.0270175522833345E-5</v>
      </c>
      <c r="S94" s="1"/>
      <c r="T94" s="1">
        <f>SUM(OSRRefT22_9x_0)</f>
        <v>542.18000000000006</v>
      </c>
      <c r="U94" s="1"/>
      <c r="V94" s="5">
        <f t="shared" si="53"/>
        <v>2.257941501724001E-4</v>
      </c>
      <c r="W94" s="1"/>
      <c r="X94" s="1">
        <f t="shared" si="54"/>
        <v>-399.0200000000001</v>
      </c>
      <c r="Y94" s="1"/>
      <c r="Z94" s="5">
        <f t="shared" si="55"/>
        <v>-0.73595484894315555</v>
      </c>
    </row>
    <row r="95" spans="1:26" s="24" customFormat="1" hidden="1" outlineLevel="2" x14ac:dyDescent="0.25">
      <c r="A95" s="26"/>
      <c r="B95" s="11" t="str">
        <f>CONCATENATE("          ", "6373", " - ", "MAINTENANCE CONTRACTS")</f>
        <v xml:space="preserve">          6373 - MAINTENANCE CONTRACTS</v>
      </c>
      <c r="C95" s="11"/>
      <c r="D95" s="6">
        <v>23.6</v>
      </c>
      <c r="E95" s="2"/>
      <c r="F95" s="7">
        <f t="shared" si="48"/>
        <v>3.7434552980678703E-4</v>
      </c>
      <c r="G95" s="2"/>
      <c r="H95" s="6"/>
      <c r="I95" s="2"/>
      <c r="J95" s="7">
        <f t="shared" si="49"/>
        <v>0</v>
      </c>
      <c r="K95" s="2"/>
      <c r="L95" s="6">
        <f t="shared" si="50"/>
        <v>23.6</v>
      </c>
      <c r="M95" s="2"/>
      <c r="N95" s="7">
        <f t="shared" si="51"/>
        <v>0</v>
      </c>
      <c r="O95" s="11"/>
      <c r="P95" s="6">
        <v>143.16</v>
      </c>
      <c r="Q95" s="2"/>
      <c r="R95" s="7">
        <f t="shared" si="52"/>
        <v>7.0270175522833345E-5</v>
      </c>
      <c r="S95" s="2"/>
      <c r="T95" s="6">
        <v>152.18</v>
      </c>
      <c r="U95" s="2"/>
      <c r="V95" s="7">
        <f t="shared" si="53"/>
        <v>6.3376284210475939E-5</v>
      </c>
      <c r="W95" s="2"/>
      <c r="X95" s="6">
        <f t="shared" si="54"/>
        <v>-9.0200000000000102</v>
      </c>
      <c r="Y95" s="2"/>
      <c r="Z95" s="7">
        <f t="shared" si="55"/>
        <v>-5.9271914837692272E-2</v>
      </c>
    </row>
    <row r="96" spans="1:26" s="24" customFormat="1" hidden="1" outlineLevel="2" x14ac:dyDescent="0.25">
      <c r="A96" s="26"/>
      <c r="B96" s="11" t="str">
        <f>CONCATENATE("          ", "6375", " - ", "OUTSIDE REPAIRS &amp; MAINTENANCE")</f>
        <v xml:space="preserve">          6375 - OUTSIDE REPAIRS &amp; MAINTENANCE</v>
      </c>
      <c r="C96" s="11"/>
      <c r="D96" s="6"/>
      <c r="E96" s="2"/>
      <c r="F96" s="7">
        <f t="shared" si="48"/>
        <v>0</v>
      </c>
      <c r="G96" s="2"/>
      <c r="H96" s="6">
        <v>78</v>
      </c>
      <c r="I96" s="2"/>
      <c r="J96" s="7">
        <f t="shared" si="49"/>
        <v>9.6025374335839903E-4</v>
      </c>
      <c r="K96" s="2"/>
      <c r="L96" s="6">
        <f t="shared" si="50"/>
        <v>-78</v>
      </c>
      <c r="M96" s="2"/>
      <c r="N96" s="7">
        <f t="shared" si="51"/>
        <v>-1</v>
      </c>
      <c r="O96" s="11"/>
      <c r="P96" s="6"/>
      <c r="Q96" s="2"/>
      <c r="R96" s="7">
        <f t="shared" si="52"/>
        <v>0</v>
      </c>
      <c r="S96" s="2"/>
      <c r="T96" s="6">
        <v>390</v>
      </c>
      <c r="U96" s="2"/>
      <c r="V96" s="7">
        <f t="shared" si="53"/>
        <v>1.6241786596192414E-4</v>
      </c>
      <c r="W96" s="2"/>
      <c r="X96" s="6">
        <f t="shared" si="54"/>
        <v>-390</v>
      </c>
      <c r="Y96" s="2"/>
      <c r="Z96" s="7">
        <f t="shared" si="55"/>
        <v>-1</v>
      </c>
    </row>
    <row r="97" spans="1:26" s="27" customFormat="1" outlineLevel="1" collapsed="1" x14ac:dyDescent="0.25">
      <c r="A97" s="25"/>
      <c r="B97" s="13" t="str">
        <f>CONCATENATE("     ","Subscriptions &amp; Dues                              ")</f>
        <v xml:space="preserve">     Subscriptions &amp; Dues                              </v>
      </c>
      <c r="C97" s="13"/>
      <c r="D97" s="1">
        <f>SUM(OSRRefD22_10x_0)</f>
        <v>250</v>
      </c>
      <c r="E97" s="1"/>
      <c r="F97" s="5">
        <f t="shared" ref="F97:F103" si="56">IF(D$12=0,0,D97/D$12)</f>
        <v>3.9655246801566417E-3</v>
      </c>
      <c r="G97" s="1"/>
      <c r="H97" s="1">
        <f>SUM(OSRRefH22_10x_0)</f>
        <v>255.71</v>
      </c>
      <c r="I97" s="1"/>
      <c r="J97" s="5">
        <f t="shared" ref="J97:J103" si="57">IF(H$12=0,0,H97/H$12)</f>
        <v>3.1480318553099517E-3</v>
      </c>
      <c r="K97" s="1"/>
      <c r="L97" s="1">
        <f t="shared" ref="L97:L103" si="58">+D97-H97</f>
        <v>-5.710000000000008</v>
      </c>
      <c r="M97" s="1"/>
      <c r="N97" s="5">
        <f t="shared" ref="N97:N103" si="59">IF(H97=0,0,L97/H97)</f>
        <v>-2.2329983184075742E-2</v>
      </c>
      <c r="O97" s="13"/>
      <c r="P97" s="1">
        <f>SUM(OSRRefP22_10x_0)</f>
        <v>1557.4</v>
      </c>
      <c r="Q97" s="1"/>
      <c r="R97" s="5">
        <f t="shared" ref="R97:R103" si="60">IF(P$12=0,0,P97/P$12)</f>
        <v>7.6445076389536641E-4</v>
      </c>
      <c r="S97" s="1"/>
      <c r="T97" s="1">
        <f>SUM(OSRRefT22_10x_0)</f>
        <v>5013.3599999999997</v>
      </c>
      <c r="U97" s="1"/>
      <c r="V97" s="5">
        <f t="shared" ref="V97:V103" si="61">IF(T$12=0,0,T97/T$12)</f>
        <v>2.0878441858945434E-3</v>
      </c>
      <c r="W97" s="1"/>
      <c r="X97" s="1">
        <f t="shared" ref="X97:X103" si="62">+P97-T97</f>
        <v>-3455.9599999999996</v>
      </c>
      <c r="Y97" s="1"/>
      <c r="Z97" s="5">
        <f t="shared" ref="Z97:Z103" si="63">IF(T97=0,0,X97/T97)</f>
        <v>-0.6893500566486348</v>
      </c>
    </row>
    <row r="98" spans="1:26" s="24" customFormat="1" hidden="1" outlineLevel="2" x14ac:dyDescent="0.25">
      <c r="A98" s="26"/>
      <c r="B98" s="11" t="str">
        <f>CONCATENATE("          ", "6258", " - ", "MEMBERSHIP DUES")</f>
        <v xml:space="preserve">          6258 - MEMBERSHIP DUES</v>
      </c>
      <c r="C98" s="11"/>
      <c r="D98" s="6">
        <v>250</v>
      </c>
      <c r="E98" s="2"/>
      <c r="F98" s="7">
        <f t="shared" si="56"/>
        <v>3.9655246801566417E-3</v>
      </c>
      <c r="G98" s="2"/>
      <c r="H98" s="6">
        <v>255.71</v>
      </c>
      <c r="I98" s="2"/>
      <c r="J98" s="7">
        <f t="shared" si="57"/>
        <v>3.1480318553099517E-3</v>
      </c>
      <c r="K98" s="2"/>
      <c r="L98" s="6">
        <f t="shared" si="58"/>
        <v>-5.710000000000008</v>
      </c>
      <c r="M98" s="2"/>
      <c r="N98" s="7">
        <f t="shared" si="59"/>
        <v>-2.2329983184075742E-2</v>
      </c>
      <c r="O98" s="11"/>
      <c r="P98" s="6">
        <v>1557.4</v>
      </c>
      <c r="Q98" s="2"/>
      <c r="R98" s="7">
        <f t="shared" si="60"/>
        <v>7.6445076389536641E-4</v>
      </c>
      <c r="S98" s="2"/>
      <c r="T98" s="6">
        <v>5013.3599999999997</v>
      </c>
      <c r="U98" s="2"/>
      <c r="V98" s="7">
        <f t="shared" si="61"/>
        <v>2.0878441858945434E-3</v>
      </c>
      <c r="W98" s="2"/>
      <c r="X98" s="6">
        <f t="shared" si="62"/>
        <v>-3455.9599999999996</v>
      </c>
      <c r="Y98" s="2"/>
      <c r="Z98" s="7">
        <f t="shared" si="63"/>
        <v>-0.6893500566486348</v>
      </c>
    </row>
    <row r="99" spans="1:26" s="27" customFormat="1" outlineLevel="1" collapsed="1" x14ac:dyDescent="0.25">
      <c r="A99" s="25"/>
      <c r="B99" s="13" t="str">
        <f>CONCATENATE("     ","Supplies                                          ")</f>
        <v xml:space="preserve">     Supplies                                          </v>
      </c>
      <c r="C99" s="13"/>
      <c r="D99" s="1">
        <f>SUM(OSRRefD22_11x_0)</f>
        <v>208.46</v>
      </c>
      <c r="E99" s="1"/>
      <c r="F99" s="5">
        <f t="shared" si="56"/>
        <v>3.3066130993018145E-3</v>
      </c>
      <c r="G99" s="1"/>
      <c r="H99" s="1">
        <f>SUM(OSRRefH22_11x_0)</f>
        <v>4978.16</v>
      </c>
      <c r="I99" s="1"/>
      <c r="J99" s="5">
        <f t="shared" si="57"/>
        <v>6.1285856090218555E-2</v>
      </c>
      <c r="K99" s="1"/>
      <c r="L99" s="1">
        <f t="shared" si="58"/>
        <v>-4769.7</v>
      </c>
      <c r="M99" s="1"/>
      <c r="N99" s="5">
        <f t="shared" si="59"/>
        <v>-0.95812509039484473</v>
      </c>
      <c r="O99" s="13"/>
      <c r="P99" s="1">
        <f>SUM(OSRRefP22_11x_0)</f>
        <v>9423.0499999999993</v>
      </c>
      <c r="Q99" s="1"/>
      <c r="R99" s="5">
        <f t="shared" si="60"/>
        <v>4.6253099850547263E-3</v>
      </c>
      <c r="S99" s="1"/>
      <c r="T99" s="1">
        <f>SUM(OSRRefT22_11x_0)</f>
        <v>12336.06</v>
      </c>
      <c r="U99" s="1"/>
      <c r="V99" s="5">
        <f t="shared" si="61"/>
        <v>5.1374270245596251E-3</v>
      </c>
      <c r="W99" s="1"/>
      <c r="X99" s="1">
        <f t="shared" si="62"/>
        <v>-2913.01</v>
      </c>
      <c r="Y99" s="1"/>
      <c r="Z99" s="5">
        <f t="shared" si="63"/>
        <v>-0.23613779440112972</v>
      </c>
    </row>
    <row r="100" spans="1:26" s="24" customFormat="1" hidden="1" outlineLevel="2" x14ac:dyDescent="0.25">
      <c r="A100" s="26"/>
      <c r="B100" s="11" t="str">
        <f>CONCATENATE("          ", "6234", " - ", "EXPENDABLE SUPPLIES &amp; EQUIPMEN")</f>
        <v xml:space="preserve">          6234 - EXPENDABLE SUPPLIES &amp; EQUIPMEN</v>
      </c>
      <c r="C100" s="11"/>
      <c r="D100" s="6"/>
      <c r="E100" s="2"/>
      <c r="F100" s="7">
        <f t="shared" si="56"/>
        <v>0</v>
      </c>
      <c r="G100" s="2"/>
      <c r="H100" s="6"/>
      <c r="I100" s="2"/>
      <c r="J100" s="7">
        <f t="shared" si="57"/>
        <v>0</v>
      </c>
      <c r="K100" s="2"/>
      <c r="L100" s="6">
        <f t="shared" si="58"/>
        <v>0</v>
      </c>
      <c r="M100" s="2"/>
      <c r="N100" s="7">
        <f t="shared" si="59"/>
        <v>0</v>
      </c>
      <c r="O100" s="11"/>
      <c r="P100" s="6"/>
      <c r="Q100" s="2"/>
      <c r="R100" s="7">
        <f t="shared" si="60"/>
        <v>0</v>
      </c>
      <c r="S100" s="2"/>
      <c r="T100" s="6">
        <v>272.45999999999998</v>
      </c>
      <c r="U100" s="2"/>
      <c r="V100" s="7">
        <f t="shared" si="61"/>
        <v>1.1346761989739961E-4</v>
      </c>
      <c r="W100" s="2"/>
      <c r="X100" s="6">
        <f t="shared" si="62"/>
        <v>-272.45999999999998</v>
      </c>
      <c r="Y100" s="2"/>
      <c r="Z100" s="7">
        <f t="shared" si="63"/>
        <v>-1</v>
      </c>
    </row>
    <row r="101" spans="1:26" s="24" customFormat="1" hidden="1" outlineLevel="2" x14ac:dyDescent="0.25">
      <c r="A101" s="26"/>
      <c r="B101" s="11" t="str">
        <f>CONCATENATE("          ", "6241", " - ", "OFFICE EXPENSE")</f>
        <v xml:space="preserve">          6241 - OFFICE EXPENSE</v>
      </c>
      <c r="C101" s="11"/>
      <c r="D101" s="6">
        <v>208.46</v>
      </c>
      <c r="E101" s="2"/>
      <c r="F101" s="7">
        <f t="shared" si="56"/>
        <v>3.3066130993018145E-3</v>
      </c>
      <c r="G101" s="2"/>
      <c r="H101" s="6">
        <v>3350.04</v>
      </c>
      <c r="I101" s="2"/>
      <c r="J101" s="7">
        <f t="shared" si="57"/>
        <v>4.1242159620517575E-2</v>
      </c>
      <c r="K101" s="2"/>
      <c r="L101" s="6">
        <f t="shared" si="58"/>
        <v>-3141.58</v>
      </c>
      <c r="M101" s="2"/>
      <c r="N101" s="7">
        <f t="shared" si="59"/>
        <v>-0.93777387732683792</v>
      </c>
      <c r="O101" s="11"/>
      <c r="P101" s="6">
        <v>3583.93</v>
      </c>
      <c r="Q101" s="2"/>
      <c r="R101" s="7">
        <f t="shared" si="60"/>
        <v>1.7591742816537308E-3</v>
      </c>
      <c r="S101" s="2"/>
      <c r="T101" s="6">
        <v>4500.32</v>
      </c>
      <c r="U101" s="2"/>
      <c r="V101" s="7">
        <f t="shared" si="61"/>
        <v>1.8741855655019651E-3</v>
      </c>
      <c r="W101" s="2"/>
      <c r="X101" s="6">
        <f t="shared" si="62"/>
        <v>-916.38999999999987</v>
      </c>
      <c r="Y101" s="2"/>
      <c r="Z101" s="7">
        <f t="shared" si="63"/>
        <v>-0.2036277420272336</v>
      </c>
    </row>
    <row r="102" spans="1:26" s="24" customFormat="1" hidden="1" outlineLevel="2" x14ac:dyDescent="0.25">
      <c r="A102" s="26"/>
      <c r="B102" s="11" t="str">
        <f>CONCATENATE("          ", "6245", " - ", "PRINTING")</f>
        <v xml:space="preserve">          6245 - PRINTING</v>
      </c>
      <c r="C102" s="11"/>
      <c r="D102" s="6"/>
      <c r="E102" s="2"/>
      <c r="F102" s="7">
        <f t="shared" si="56"/>
        <v>0</v>
      </c>
      <c r="G102" s="2"/>
      <c r="H102" s="6">
        <v>1628.12</v>
      </c>
      <c r="I102" s="2"/>
      <c r="J102" s="7">
        <f t="shared" si="57"/>
        <v>2.0043696469700979E-2</v>
      </c>
      <c r="K102" s="2"/>
      <c r="L102" s="6">
        <f t="shared" si="58"/>
        <v>-1628.12</v>
      </c>
      <c r="M102" s="2"/>
      <c r="N102" s="7">
        <f t="shared" si="59"/>
        <v>-1</v>
      </c>
      <c r="O102" s="11"/>
      <c r="P102" s="6">
        <v>4978.08</v>
      </c>
      <c r="Q102" s="2"/>
      <c r="R102" s="7">
        <f t="shared" si="60"/>
        <v>2.4434936809633011E-3</v>
      </c>
      <c r="S102" s="2"/>
      <c r="T102" s="6">
        <v>2137.92</v>
      </c>
      <c r="U102" s="2"/>
      <c r="V102" s="7">
        <f t="shared" si="61"/>
        <v>8.9034975383927401E-4</v>
      </c>
      <c r="W102" s="2"/>
      <c r="X102" s="6">
        <f t="shared" si="62"/>
        <v>2840.16</v>
      </c>
      <c r="Y102" s="2"/>
      <c r="Z102" s="7">
        <f t="shared" si="63"/>
        <v>1.3284687920969913</v>
      </c>
    </row>
    <row r="103" spans="1:26" s="24" customFormat="1" hidden="1" outlineLevel="2" x14ac:dyDescent="0.25">
      <c r="A103" s="26"/>
      <c r="B103" s="11" t="str">
        <f>CONCATENATE("          ", "6247", " - ", "STORE SUPPLIES")</f>
        <v xml:space="preserve">          6247 - STORE SUPPLIES</v>
      </c>
      <c r="C103" s="11"/>
      <c r="D103" s="6"/>
      <c r="E103" s="2"/>
      <c r="F103" s="7">
        <f t="shared" si="56"/>
        <v>0</v>
      </c>
      <c r="G103" s="2"/>
      <c r="H103" s="6"/>
      <c r="I103" s="2"/>
      <c r="J103" s="7">
        <f t="shared" si="57"/>
        <v>0</v>
      </c>
      <c r="K103" s="2"/>
      <c r="L103" s="6">
        <f t="shared" si="58"/>
        <v>0</v>
      </c>
      <c r="M103" s="2"/>
      <c r="N103" s="7">
        <f t="shared" si="59"/>
        <v>0</v>
      </c>
      <c r="O103" s="11"/>
      <c r="P103" s="6">
        <v>861.04</v>
      </c>
      <c r="Q103" s="2"/>
      <c r="R103" s="7">
        <f t="shared" si="60"/>
        <v>4.2264202243769502E-4</v>
      </c>
      <c r="S103" s="2"/>
      <c r="T103" s="6">
        <v>5425.36</v>
      </c>
      <c r="U103" s="2"/>
      <c r="V103" s="7">
        <f t="shared" si="61"/>
        <v>2.2594240853209863E-3</v>
      </c>
      <c r="W103" s="2"/>
      <c r="X103" s="6">
        <f t="shared" si="62"/>
        <v>-4564.32</v>
      </c>
      <c r="Y103" s="2"/>
      <c r="Z103" s="7">
        <f t="shared" si="63"/>
        <v>-0.84129348098559353</v>
      </c>
    </row>
    <row r="104" spans="1:26" s="27" customFormat="1" outlineLevel="1" collapsed="1" x14ac:dyDescent="0.25">
      <c r="A104" s="25"/>
      <c r="B104" s="13" t="str">
        <f>CONCATENATE("     ","Telephone/Data Lines                              ")</f>
        <v xml:space="preserve">     Telephone/Data Lines                              </v>
      </c>
      <c r="C104" s="13"/>
      <c r="D104" s="1">
        <f>SUM(OSRRefD22_12x_0)</f>
        <v>1065.45</v>
      </c>
      <c r="E104" s="1"/>
      <c r="F104" s="5">
        <f t="shared" ref="F104:F106" si="64">IF(D$12=0,0,D104/D$12)</f>
        <v>1.6900273081891577E-2</v>
      </c>
      <c r="G104" s="1"/>
      <c r="H104" s="1">
        <f>SUM(OSRRefH22_12x_0)</f>
        <v>472.35</v>
      </c>
      <c r="I104" s="1"/>
      <c r="J104" s="5">
        <f t="shared" ref="J104:J106" si="65">IF(H$12=0,0,H104/H$12)</f>
        <v>5.8150750727607664E-3</v>
      </c>
      <c r="K104" s="1"/>
      <c r="L104" s="1">
        <f t="shared" ref="L104:L106" si="66">+D104-H104</f>
        <v>593.1</v>
      </c>
      <c r="M104" s="1"/>
      <c r="N104" s="5">
        <f t="shared" ref="N104:N106" si="67">IF(H104=0,0,L104/H104)</f>
        <v>1.2556367100666879</v>
      </c>
      <c r="O104" s="13"/>
      <c r="P104" s="1">
        <f>SUM(OSRRefP22_12x_0)</f>
        <v>4934.04</v>
      </c>
      <c r="Q104" s="1"/>
      <c r="R104" s="5">
        <f t="shared" ref="R104:R106" si="68">IF(P$12=0,0,P104/P$12)</f>
        <v>2.4218766194235865E-3</v>
      </c>
      <c r="S104" s="1"/>
      <c r="T104" s="1">
        <f>SUM(OSRRefT22_12x_0)</f>
        <v>3854.95</v>
      </c>
      <c r="U104" s="1"/>
      <c r="V104" s="5">
        <f t="shared" ref="V104:V106" si="69">IF(T$12=0,0,T104/T$12)</f>
        <v>1.6054173138203062E-3</v>
      </c>
      <c r="W104" s="1"/>
      <c r="X104" s="1">
        <f t="shared" ref="X104:X106" si="70">+P104-T104</f>
        <v>1079.0900000000001</v>
      </c>
      <c r="Y104" s="1"/>
      <c r="Z104" s="5">
        <f t="shared" ref="Z104:Z106" si="71">IF(T104=0,0,X104/T104)</f>
        <v>0.27992321560590933</v>
      </c>
    </row>
    <row r="105" spans="1:26" s="24" customFormat="1" hidden="1" outlineLevel="2" x14ac:dyDescent="0.25">
      <c r="A105" s="26"/>
      <c r="B105" s="11" t="str">
        <f>CONCATENATE("          ", "6303", " - ", "DATA PHONE LINES")</f>
        <v xml:space="preserve">          6303 - DATA PHONE LINES</v>
      </c>
      <c r="C105" s="11"/>
      <c r="D105" s="6">
        <v>295</v>
      </c>
      <c r="E105" s="2"/>
      <c r="F105" s="7">
        <f t="shared" si="64"/>
        <v>4.6793191225848376E-3</v>
      </c>
      <c r="G105" s="2"/>
      <c r="H105" s="6"/>
      <c r="I105" s="2"/>
      <c r="J105" s="7">
        <f t="shared" si="65"/>
        <v>0</v>
      </c>
      <c r="K105" s="2"/>
      <c r="L105" s="6">
        <f t="shared" si="66"/>
        <v>295</v>
      </c>
      <c r="M105" s="2"/>
      <c r="N105" s="7">
        <f t="shared" si="67"/>
        <v>0</v>
      </c>
      <c r="O105" s="11"/>
      <c r="P105" s="6">
        <v>1770</v>
      </c>
      <c r="Q105" s="2"/>
      <c r="R105" s="7">
        <f t="shared" si="68"/>
        <v>8.6880560684140129E-4</v>
      </c>
      <c r="S105" s="2"/>
      <c r="T105" s="6">
        <v>885</v>
      </c>
      <c r="U105" s="2"/>
      <c r="V105" s="7">
        <f t="shared" si="69"/>
        <v>3.685636189135971E-4</v>
      </c>
      <c r="W105" s="2"/>
      <c r="X105" s="6">
        <f t="shared" si="70"/>
        <v>885</v>
      </c>
      <c r="Y105" s="2"/>
      <c r="Z105" s="7">
        <f t="shared" si="71"/>
        <v>1</v>
      </c>
    </row>
    <row r="106" spans="1:26" s="24" customFormat="1" hidden="1" outlineLevel="2" x14ac:dyDescent="0.25">
      <c r="A106" s="26"/>
      <c r="B106" s="11" t="str">
        <f>CONCATENATE("          ", "6309", " - ", "TELEPHONE")</f>
        <v xml:space="preserve">          6309 - TELEPHONE</v>
      </c>
      <c r="C106" s="11"/>
      <c r="D106" s="6">
        <v>770.45</v>
      </c>
      <c r="E106" s="2"/>
      <c r="F106" s="7">
        <f t="shared" si="64"/>
        <v>1.222095395930674E-2</v>
      </c>
      <c r="G106" s="2"/>
      <c r="H106" s="6">
        <v>472.35</v>
      </c>
      <c r="I106" s="2"/>
      <c r="J106" s="7">
        <f t="shared" si="65"/>
        <v>5.8150750727607664E-3</v>
      </c>
      <c r="K106" s="2"/>
      <c r="L106" s="6">
        <f t="shared" si="66"/>
        <v>298.10000000000002</v>
      </c>
      <c r="M106" s="2"/>
      <c r="N106" s="7">
        <f t="shared" si="67"/>
        <v>0.63109982004869269</v>
      </c>
      <c r="O106" s="11"/>
      <c r="P106" s="6">
        <v>3164.04</v>
      </c>
      <c r="Q106" s="2"/>
      <c r="R106" s="7">
        <f t="shared" si="68"/>
        <v>1.5530710125821849E-3</v>
      </c>
      <c r="S106" s="2"/>
      <c r="T106" s="6">
        <v>2969.95</v>
      </c>
      <c r="U106" s="2"/>
      <c r="V106" s="7">
        <f t="shared" si="69"/>
        <v>1.2368536949067092E-3</v>
      </c>
      <c r="W106" s="2"/>
      <c r="X106" s="6">
        <f t="shared" si="70"/>
        <v>194.09000000000015</v>
      </c>
      <c r="Y106" s="2"/>
      <c r="Z106" s="7">
        <f t="shared" si="71"/>
        <v>6.5351268539874455E-2</v>
      </c>
    </row>
    <row r="107" spans="1:26" s="27" customFormat="1" outlineLevel="1" collapsed="1" x14ac:dyDescent="0.25">
      <c r="A107" s="25"/>
      <c r="B107" s="13" t="str">
        <f>CONCATENATE("     ","Training                                          ")</f>
        <v xml:space="preserve">     Training                                          </v>
      </c>
      <c r="C107" s="13"/>
      <c r="D107" s="1">
        <f>SUM(OSRRefD22_13x_0)</f>
        <v>0</v>
      </c>
      <c r="E107" s="1"/>
      <c r="F107" s="5">
        <f t="shared" ref="F107:F110" si="72">IF(D$12=0,0,D107/D$12)</f>
        <v>0</v>
      </c>
      <c r="G107" s="1"/>
      <c r="H107" s="1">
        <f>SUM(OSRRefH22_13x_0)</f>
        <v>468.3</v>
      </c>
      <c r="I107" s="1"/>
      <c r="J107" s="5">
        <f t="shared" ref="J107:J110" si="73">IF(H$12=0,0,H107/H$12)</f>
        <v>5.7652157437786955E-3</v>
      </c>
      <c r="K107" s="1"/>
      <c r="L107" s="1">
        <f t="shared" ref="L107:L110" si="74">+D107-H107</f>
        <v>-468.3</v>
      </c>
      <c r="M107" s="1"/>
      <c r="N107" s="5">
        <f t="shared" ref="N107:N110" si="75">IF(H107=0,0,L107/H107)</f>
        <v>-1</v>
      </c>
      <c r="O107" s="13"/>
      <c r="P107" s="1">
        <f>SUM(OSRRefP22_13x_0)</f>
        <v>547.47</v>
      </c>
      <c r="Q107" s="1"/>
      <c r="R107" s="5">
        <f t="shared" ref="R107:R110" si="76">IF(P$12=0,0,P107/P$12)</f>
        <v>2.6872599185167348E-4</v>
      </c>
      <c r="S107" s="1"/>
      <c r="T107" s="1">
        <f>SUM(OSRRefT22_13x_0)</f>
        <v>-555.96</v>
      </c>
      <c r="U107" s="1"/>
      <c r="V107" s="5">
        <f t="shared" ref="V107:V110" si="77">IF(T$12=0,0,T107/T$12)</f>
        <v>-2.315329147697214E-4</v>
      </c>
      <c r="W107" s="1"/>
      <c r="X107" s="1">
        <f t="shared" ref="X107:X110" si="78">+P107-T107</f>
        <v>1103.43</v>
      </c>
      <c r="Y107" s="1"/>
      <c r="Z107" s="5">
        <f t="shared" ref="Z107:Z110" si="79">IF(T107=0,0,X107/T107)</f>
        <v>-1.9847291172026764</v>
      </c>
    </row>
    <row r="108" spans="1:26" s="24" customFormat="1" hidden="1" outlineLevel="2" x14ac:dyDescent="0.25">
      <c r="A108" s="26"/>
      <c r="B108" s="11" t="str">
        <f>CONCATENATE("          ", "6376", " - ", "TRAINING")</f>
        <v xml:space="preserve">          6376 - TRAINING</v>
      </c>
      <c r="C108" s="11"/>
      <c r="D108" s="6"/>
      <c r="E108" s="2"/>
      <c r="F108" s="7">
        <f t="shared" si="72"/>
        <v>0</v>
      </c>
      <c r="G108" s="2"/>
      <c r="H108" s="6">
        <v>468.3</v>
      </c>
      <c r="I108" s="2"/>
      <c r="J108" s="7">
        <f t="shared" si="73"/>
        <v>5.7652157437786955E-3</v>
      </c>
      <c r="K108" s="2"/>
      <c r="L108" s="6">
        <f t="shared" si="74"/>
        <v>-468.3</v>
      </c>
      <c r="M108" s="2"/>
      <c r="N108" s="7">
        <f t="shared" si="75"/>
        <v>-1</v>
      </c>
      <c r="O108" s="11"/>
      <c r="P108" s="6">
        <v>547.47</v>
      </c>
      <c r="Q108" s="2"/>
      <c r="R108" s="7">
        <f t="shared" si="76"/>
        <v>2.6872599185167348E-4</v>
      </c>
      <c r="S108" s="2"/>
      <c r="T108" s="6">
        <v>-555.96</v>
      </c>
      <c r="U108" s="2"/>
      <c r="V108" s="7">
        <f t="shared" si="77"/>
        <v>-2.315329147697214E-4</v>
      </c>
      <c r="W108" s="2"/>
      <c r="X108" s="6">
        <f t="shared" si="78"/>
        <v>1103.43</v>
      </c>
      <c r="Y108" s="2"/>
      <c r="Z108" s="7">
        <f t="shared" si="79"/>
        <v>-1.9847291172026764</v>
      </c>
    </row>
    <row r="109" spans="1:26" s="27" customFormat="1" outlineLevel="1" collapsed="1" x14ac:dyDescent="0.25">
      <c r="A109" s="25"/>
      <c r="B109" s="13" t="str">
        <f>CONCATENATE("     ","Travel                                            ")</f>
        <v xml:space="preserve">     Travel                                            </v>
      </c>
      <c r="C109" s="13"/>
      <c r="D109" s="1">
        <f>SUM(OSRRefD22_14x_0)</f>
        <v>0</v>
      </c>
      <c r="E109" s="1"/>
      <c r="F109" s="5">
        <f t="shared" si="72"/>
        <v>0</v>
      </c>
      <c r="G109" s="1"/>
      <c r="H109" s="1">
        <f>SUM(OSRRefH22_14x_0)</f>
        <v>0</v>
      </c>
      <c r="I109" s="1"/>
      <c r="J109" s="5">
        <f t="shared" si="73"/>
        <v>0</v>
      </c>
      <c r="K109" s="1"/>
      <c r="L109" s="1">
        <f t="shared" si="74"/>
        <v>0</v>
      </c>
      <c r="M109" s="1"/>
      <c r="N109" s="5">
        <f t="shared" si="75"/>
        <v>0</v>
      </c>
      <c r="O109" s="13"/>
      <c r="P109" s="1">
        <f>SUM(OSRRefP22_14x_0)</f>
        <v>83.93</v>
      </c>
      <c r="Q109" s="1"/>
      <c r="R109" s="5">
        <f t="shared" si="76"/>
        <v>4.1197092984293116E-5</v>
      </c>
      <c r="S109" s="1"/>
      <c r="T109" s="1">
        <f>SUM(OSRRefT22_14x_0)</f>
        <v>68.27</v>
      </c>
      <c r="U109" s="1"/>
      <c r="V109" s="5">
        <f t="shared" si="77"/>
        <v>2.8431455664668103E-5</v>
      </c>
      <c r="W109" s="1"/>
      <c r="X109" s="1">
        <f t="shared" si="78"/>
        <v>15.660000000000011</v>
      </c>
      <c r="Y109" s="1"/>
      <c r="Z109" s="5">
        <f t="shared" si="79"/>
        <v>0.22938333089204646</v>
      </c>
    </row>
    <row r="110" spans="1:26" s="24" customFormat="1" hidden="1" outlineLevel="2" x14ac:dyDescent="0.25">
      <c r="A110" s="26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72"/>
        <v>0</v>
      </c>
      <c r="G110" s="2"/>
      <c r="H110" s="6"/>
      <c r="I110" s="2"/>
      <c r="J110" s="7">
        <f t="shared" si="73"/>
        <v>0</v>
      </c>
      <c r="K110" s="2"/>
      <c r="L110" s="6">
        <f t="shared" si="74"/>
        <v>0</v>
      </c>
      <c r="M110" s="2"/>
      <c r="N110" s="7">
        <f t="shared" si="75"/>
        <v>0</v>
      </c>
      <c r="O110" s="11"/>
      <c r="P110" s="6">
        <v>83.93</v>
      </c>
      <c r="Q110" s="2"/>
      <c r="R110" s="7">
        <f t="shared" si="76"/>
        <v>4.1197092984293116E-5</v>
      </c>
      <c r="S110" s="2"/>
      <c r="T110" s="6">
        <v>68.27</v>
      </c>
      <c r="U110" s="2"/>
      <c r="V110" s="7">
        <f t="shared" si="77"/>
        <v>2.8431455664668103E-5</v>
      </c>
      <c r="W110" s="2"/>
      <c r="X110" s="6">
        <f t="shared" si="78"/>
        <v>15.660000000000011</v>
      </c>
      <c r="Y110" s="2"/>
      <c r="Z110" s="7">
        <f t="shared" si="79"/>
        <v>0.22938333089204646</v>
      </c>
    </row>
    <row r="111" spans="1:26" s="61" customFormat="1" x14ac:dyDescent="0.25">
      <c r="A111" s="37"/>
      <c r="B111" s="37"/>
      <c r="C111" s="37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7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25">
      <c r="A112" s="10"/>
      <c r="B112" s="28" t="s">
        <v>0</v>
      </c>
      <c r="C112" s="10"/>
      <c r="D112" s="4">
        <f>SUM(OSRRefD25x_0)</f>
        <v>3606.87</v>
      </c>
      <c r="E112" s="4"/>
      <c r="F112" s="12">
        <f t="shared" ref="F112:F115" si="80">IF(D$12=0,0,D112/D$12)</f>
        <v>5.7212528012466346E-2</v>
      </c>
      <c r="G112" s="4"/>
      <c r="H112" s="4">
        <f>SUM(OSRRefH25x_0)</f>
        <v>5932.6</v>
      </c>
      <c r="I112" s="4"/>
      <c r="J112" s="12">
        <f t="shared" ref="J112:J115" si="81">IF(H$12=0,0,H112/H$12)</f>
        <v>7.3035914844205616E-2</v>
      </c>
      <c r="K112" s="4"/>
      <c r="L112" s="4">
        <f t="shared" ref="L112:L115" si="82">+D112-H112</f>
        <v>-2325.7300000000005</v>
      </c>
      <c r="M112" s="4"/>
      <c r="N112" s="12">
        <f t="shared" ref="N112:N115" si="83">IF(H112=0,0,L112/H112)</f>
        <v>-0.39202541887199549</v>
      </c>
      <c r="O112" s="10"/>
      <c r="P112" s="4">
        <f>SUM(OSRRefP25x_0)</f>
        <v>146048.81</v>
      </c>
      <c r="Q112" s="4"/>
      <c r="R112" s="12">
        <f t="shared" ref="R112:R115" si="84">IF(P$12=0,0,P112/P$12)</f>
        <v>7.1688149717804808E-2</v>
      </c>
      <c r="S112" s="4"/>
      <c r="T112" s="4">
        <f>SUM(OSRRefT25x_0)</f>
        <v>52127.93</v>
      </c>
      <c r="U112" s="4"/>
      <c r="V112" s="12">
        <f t="shared" ref="V112:V115" si="85">IF(T$12=0,0,T112/T$12)</f>
        <v>2.1708992686186063E-2</v>
      </c>
      <c r="W112" s="4"/>
      <c r="X112" s="4">
        <f t="shared" ref="X112:X115" si="86">+P112-T112</f>
        <v>93920.88</v>
      </c>
      <c r="Y112" s="4"/>
      <c r="Z112" s="12">
        <f t="shared" ref="Z112:Z115" si="87">IF(T112=0,0,X112/T112)</f>
        <v>1.801738146901287</v>
      </c>
    </row>
    <row r="113" spans="1:26" s="24" customFormat="1" hidden="1" outlineLevel="1" x14ac:dyDescent="0.25">
      <c r="A113" s="44"/>
      <c r="B113" s="11" t="str">
        <f>CONCATENATE("          ", "9150", " - ", "MISC. INCOME")</f>
        <v xml:space="preserve">          9150 - MISC. INCOME</v>
      </c>
      <c r="C113" s="11"/>
      <c r="D113" s="2">
        <f>--224.43</f>
        <v>224.43</v>
      </c>
      <c r="E113" s="2"/>
      <c r="F113" s="19">
        <f t="shared" si="80"/>
        <v>3.5599308158702206E-3</v>
      </c>
      <c r="G113" s="2"/>
      <c r="H113" s="2">
        <f>--5342.43</f>
        <v>5342.43</v>
      </c>
      <c r="I113" s="2"/>
      <c r="J113" s="19">
        <f t="shared" si="81"/>
        <v>6.577036418115656E-2</v>
      </c>
      <c r="K113" s="2"/>
      <c r="L113" s="2">
        <f t="shared" si="82"/>
        <v>-5118</v>
      </c>
      <c r="M113" s="2"/>
      <c r="N113" s="19">
        <f t="shared" si="83"/>
        <v>-0.95799102655533153</v>
      </c>
      <c r="O113" s="11"/>
      <c r="P113" s="2">
        <f>--54141.85</f>
        <v>54141.85</v>
      </c>
      <c r="Q113" s="2"/>
      <c r="R113" s="19">
        <f t="shared" si="84"/>
        <v>2.6575560929246397E-2</v>
      </c>
      <c r="S113" s="2"/>
      <c r="T113" s="2">
        <f>--48282.85</f>
        <v>48282.85</v>
      </c>
      <c r="U113" s="2"/>
      <c r="V113" s="19">
        <f t="shared" si="85"/>
        <v>2.010768579374279E-2</v>
      </c>
      <c r="W113" s="2"/>
      <c r="X113" s="2">
        <f t="shared" si="86"/>
        <v>5859</v>
      </c>
      <c r="Y113" s="2"/>
      <c r="Z113" s="19">
        <f t="shared" si="87"/>
        <v>0.12134743495878972</v>
      </c>
    </row>
    <row r="114" spans="1:26" s="24" customFormat="1" hidden="1" outlineLevel="1" x14ac:dyDescent="0.25">
      <c r="A114" s="44"/>
      <c r="B114" s="11" t="str">
        <f>CONCATENATE("          ", "9151", " - ", "MISC. INCOME")</f>
        <v xml:space="preserve">          9151 - MISC. INCOME</v>
      </c>
      <c r="C114" s="11"/>
      <c r="D114" s="2">
        <f>0</f>
        <v>0</v>
      </c>
      <c r="E114" s="2"/>
      <c r="F114" s="19">
        <f t="shared" si="80"/>
        <v>0</v>
      </c>
      <c r="G114" s="2"/>
      <c r="H114" s="2">
        <f>0</f>
        <v>0</v>
      </c>
      <c r="I114" s="2"/>
      <c r="J114" s="19">
        <f t="shared" si="81"/>
        <v>0</v>
      </c>
      <c r="K114" s="2"/>
      <c r="L114" s="2">
        <f t="shared" si="82"/>
        <v>0</v>
      </c>
      <c r="M114" s="2"/>
      <c r="N114" s="19">
        <f t="shared" si="83"/>
        <v>0</v>
      </c>
      <c r="O114" s="11"/>
      <c r="P114" s="2">
        <f>--87676.2</f>
        <v>87676.2</v>
      </c>
      <c r="Q114" s="2"/>
      <c r="R114" s="19">
        <f t="shared" si="84"/>
        <v>4.3035917596919812E-2</v>
      </c>
      <c r="S114" s="2"/>
      <c r="T114" s="2">
        <f>0</f>
        <v>0</v>
      </c>
      <c r="U114" s="2"/>
      <c r="V114" s="19">
        <f t="shared" si="85"/>
        <v>0</v>
      </c>
      <c r="W114" s="2"/>
      <c r="X114" s="2">
        <f t="shared" si="86"/>
        <v>87676.2</v>
      </c>
      <c r="Y114" s="2"/>
      <c r="Z114" s="19">
        <f t="shared" si="87"/>
        <v>0</v>
      </c>
    </row>
    <row r="115" spans="1:26" s="24" customFormat="1" hidden="1" outlineLevel="1" x14ac:dyDescent="0.25">
      <c r="A115" s="44"/>
      <c r="B115" s="11" t="str">
        <f>CONCATENATE("          ", "9152", " - ", "MISC. INCOME")</f>
        <v xml:space="preserve">          9152 - MISC. INCOME</v>
      </c>
      <c r="C115" s="11"/>
      <c r="D115" s="2">
        <f>--3382.44</f>
        <v>3382.44</v>
      </c>
      <c r="E115" s="2"/>
      <c r="F115" s="19">
        <f t="shared" si="80"/>
        <v>5.3652597196596125E-2</v>
      </c>
      <c r="G115" s="2"/>
      <c r="H115" s="2">
        <f>--590.17</f>
        <v>590.16999999999996</v>
      </c>
      <c r="I115" s="2"/>
      <c r="J115" s="19">
        <f t="shared" si="81"/>
        <v>7.2655506630490549E-3</v>
      </c>
      <c r="K115" s="2"/>
      <c r="L115" s="2">
        <f t="shared" si="82"/>
        <v>2792.27</v>
      </c>
      <c r="M115" s="2"/>
      <c r="N115" s="19">
        <f t="shared" si="83"/>
        <v>4.7312977616618941</v>
      </c>
      <c r="O115" s="11"/>
      <c r="P115" s="2">
        <f>--4230.76</f>
        <v>4230.76</v>
      </c>
      <c r="Q115" s="2"/>
      <c r="R115" s="19">
        <f t="shared" si="84"/>
        <v>2.076671191638603E-3</v>
      </c>
      <c r="S115" s="2"/>
      <c r="T115" s="2">
        <f>--3845.08</f>
        <v>3845.08</v>
      </c>
      <c r="U115" s="2"/>
      <c r="V115" s="19">
        <f t="shared" si="85"/>
        <v>1.6013068924432699E-3</v>
      </c>
      <c r="W115" s="2"/>
      <c r="X115" s="2">
        <f t="shared" si="86"/>
        <v>385.68000000000029</v>
      </c>
      <c r="Y115" s="2"/>
      <c r="Z115" s="19">
        <f t="shared" si="87"/>
        <v>0.10030480510158445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9" t="s">
        <v>3</v>
      </c>
      <c r="C117" s="29"/>
      <c r="D117" s="20">
        <f>+D59-D61+D112</f>
        <v>-26330.290000000034</v>
      </c>
      <c r="E117" s="14"/>
      <c r="F117" s="21">
        <f>IF(D$12=0,0,D117/D$12)</f>
        <v>-0.41765365932272702</v>
      </c>
      <c r="G117" s="14"/>
      <c r="H117" s="20">
        <f>+H59-H61+H112</f>
        <v>-26922.200000000026</v>
      </c>
      <c r="I117" s="14"/>
      <c r="J117" s="21">
        <f>IF(H$12=0,0,H117/H$12)</f>
        <v>-0.33143773499286555</v>
      </c>
      <c r="K117" s="15"/>
      <c r="L117" s="20">
        <f>+D117-H117</f>
        <v>591.90999999999258</v>
      </c>
      <c r="M117" s="15"/>
      <c r="N117" s="21">
        <f>IF(H117=0,0,L117/H117)</f>
        <v>-2.1985944685055159E-2</v>
      </c>
      <c r="O117" s="28"/>
      <c r="P117" s="20">
        <f>+P59-P61+P112</f>
        <v>442337.30000000028</v>
      </c>
      <c r="Q117" s="14"/>
      <c r="R117" s="21">
        <f>IF(P$12=0,0,P117/P$12)</f>
        <v>0.21712154031360861</v>
      </c>
      <c r="S117" s="14"/>
      <c r="T117" s="20">
        <f>+T59-T61+T112</f>
        <v>329382.78000000061</v>
      </c>
      <c r="U117" s="14"/>
      <c r="V117" s="21">
        <f>IF(T$12=0,0,T117/T$12)</f>
        <v>0.13717345695437447</v>
      </c>
      <c r="W117" s="15"/>
      <c r="X117" s="20">
        <f>+P117-T117</f>
        <v>112954.51999999967</v>
      </c>
      <c r="Y117" s="15"/>
      <c r="Z117" s="21">
        <f>IF(T117=0,0,X117/T117)</f>
        <v>0.3429278239742814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1"/>
      <c r="B119" s="10" t="s">
        <v>13</v>
      </c>
      <c r="C119" s="10"/>
      <c r="D119" s="4">
        <v>10983.62</v>
      </c>
      <c r="E119" s="4"/>
      <c r="F119" s="12">
        <f>IF(D$12=0,0,D119/D$12)</f>
        <v>0.17422326474984839</v>
      </c>
      <c r="G119" s="4"/>
      <c r="H119" s="4">
        <v>15012.929999999998</v>
      </c>
      <c r="I119" s="4"/>
      <c r="J119" s="12">
        <f>IF(H$12=0,0,H119/H$12)</f>
        <v>0.1848233619394565</v>
      </c>
      <c r="K119" s="4"/>
      <c r="L119" s="4">
        <f>+D119-H119</f>
        <v>-4029.3099999999977</v>
      </c>
      <c r="M119" s="4"/>
      <c r="N119" s="12">
        <f>IF(H119=0,0,L119/H119)</f>
        <v>-0.26838931507707009</v>
      </c>
      <c r="O119" s="10"/>
      <c r="P119" s="4">
        <v>220041.88999999998</v>
      </c>
      <c r="Q119" s="4"/>
      <c r="R119" s="12">
        <f>IF(P$12=0,0,P119/P$12)</f>
        <v>0.10800769930620276</v>
      </c>
      <c r="S119" s="4"/>
      <c r="T119" s="4">
        <v>259127.31000000003</v>
      </c>
      <c r="U119" s="4"/>
      <c r="V119" s="12">
        <f>IF(T$12=0,0,T119/T$12)</f>
        <v>0.1079151402632153</v>
      </c>
      <c r="W119" s="4"/>
      <c r="X119" s="4">
        <f>+P119-T119</f>
        <v>-39085.420000000042</v>
      </c>
      <c r="Y119" s="4"/>
      <c r="Z119" s="12">
        <f>IF(T119=0,0,X119/T119)</f>
        <v>-0.15083481551983091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9" t="s">
        <v>4</v>
      </c>
      <c r="C121" s="29"/>
      <c r="D121" s="32">
        <f>+D117-D119</f>
        <v>-37313.910000000033</v>
      </c>
      <c r="E121" s="14"/>
      <c r="F121" s="30">
        <f>IF(D$12=0,0,D121/D$12)</f>
        <v>-0.59187692407257542</v>
      </c>
      <c r="G121" s="14"/>
      <c r="H121" s="32">
        <f>+H117-H119</f>
        <v>-41935.130000000026</v>
      </c>
      <c r="I121" s="14"/>
      <c r="J121" s="30">
        <f>IF(H$12=0,0,H121/H$12)</f>
        <v>-0.51626109693232214</v>
      </c>
      <c r="K121" s="15"/>
      <c r="L121" s="32">
        <f>D121-H121</f>
        <v>4621.2199999999939</v>
      </c>
      <c r="M121" s="15"/>
      <c r="N121" s="30">
        <f>IF(H121=0,0,L121/H121)</f>
        <v>-0.11019925298908077</v>
      </c>
      <c r="O121" s="28"/>
      <c r="P121" s="32">
        <f>+P117-P119</f>
        <v>222295.41000000029</v>
      </c>
      <c r="Q121" s="14"/>
      <c r="R121" s="30">
        <f>IF(P$12=0,0,P121/P$12)</f>
        <v>0.10911384100740586</v>
      </c>
      <c r="S121" s="14"/>
      <c r="T121" s="32">
        <f>+T117-T119</f>
        <v>70255.470000000583</v>
      </c>
      <c r="U121" s="14"/>
      <c r="V121" s="30">
        <f>IF(T$12=0,0,T121/T$12)</f>
        <v>2.9258316691159171E-2</v>
      </c>
      <c r="W121" s="15"/>
      <c r="X121" s="32">
        <f>P121-T121</f>
        <v>152039.93999999971</v>
      </c>
      <c r="Y121" s="15"/>
      <c r="Z121" s="30">
        <f>IF(T121=0,0,X121/T121)</f>
        <v>2.1641011013092424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5</v>
      </c>
      <c r="C124" s="29"/>
      <c r="D124" s="36">
        <f>SUM(D121:D123)</f>
        <v>-37313.910000000033</v>
      </c>
      <c r="E124" s="14"/>
      <c r="F124" s="31">
        <f>IF(D$12=0,0,D124/D$12)</f>
        <v>-0.59187692407257542</v>
      </c>
      <c r="G124" s="14"/>
      <c r="H124" s="36">
        <f>SUM(H121:H123)</f>
        <v>-41935.130000000026</v>
      </c>
      <c r="I124" s="14"/>
      <c r="J124" s="31">
        <f>IF(H$12=0,0,H124/H$12)</f>
        <v>-0.51626109693232214</v>
      </c>
      <c r="K124" s="15"/>
      <c r="L124" s="36">
        <f>+D124-H124</f>
        <v>4621.2199999999939</v>
      </c>
      <c r="M124" s="15"/>
      <c r="N124" s="31">
        <f>IF(H124=0,0,L124/H124)</f>
        <v>-0.11019925298908077</v>
      </c>
      <c r="O124" s="28"/>
      <c r="P124" s="36">
        <f>SUM(P121:P123)</f>
        <v>222295.41000000029</v>
      </c>
      <c r="Q124" s="14"/>
      <c r="R124" s="31">
        <f>IF(P$12=0,0,P124/P$12)</f>
        <v>0.10911384100740586</v>
      </c>
      <c r="S124" s="14"/>
      <c r="T124" s="36">
        <f>SUM(T121:T123)</f>
        <v>70255.470000000583</v>
      </c>
      <c r="U124" s="14"/>
      <c r="V124" s="31">
        <f>IF(T$12=0,0,T124/T$12)</f>
        <v>2.9258316691159171E-2</v>
      </c>
      <c r="W124" s="15"/>
      <c r="X124" s="36">
        <f>+P124-T124</f>
        <v>152039.93999999971</v>
      </c>
      <c r="Y124" s="15"/>
      <c r="Z124" s="31">
        <f>IF(T124=0,0,X124/T124)</f>
        <v>2.1641011013092424</v>
      </c>
    </row>
    <row r="125" spans="1:26" ht="15.75" thickTop="1" x14ac:dyDescent="0.25">
      <c r="A125" s="9"/>
      <c r="C125" s="9"/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A126" s="9"/>
      <c r="B126" s="62">
        <v>43847.453689201386</v>
      </c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25">
      <c r="A127" s="9"/>
      <c r="B127" s="56" t="s">
        <v>313</v>
      </c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25">
      <c r="A128" s="9"/>
      <c r="B128" s="54"/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4:24" x14ac:dyDescent="0.25"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","324", " - ", "Textbook Rental")</f>
        <v>Department 324 - Textbook Rental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155.16999999999996</v>
      </c>
      <c r="E12" s="4"/>
      <c r="F12" s="12"/>
      <c r="G12" s="4"/>
      <c r="H12" s="4">
        <f>SUM(OSRRefH13x_0)</f>
        <v>-967.55999999999983</v>
      </c>
      <c r="I12" s="4"/>
      <c r="J12" s="12"/>
      <c r="K12" s="4"/>
      <c r="L12" s="4">
        <f t="shared" ref="L12:L15" si="0">+D12-H12</f>
        <v>1122.7299999999998</v>
      </c>
      <c r="M12" s="4"/>
      <c r="N12" s="12">
        <f t="shared" ref="N12:N15" si="1">IF(H12=0,0,L12/H12)</f>
        <v>-1.1603724833602049</v>
      </c>
      <c r="O12" s="10"/>
      <c r="P12" s="4">
        <f>SUM(OSRRefP13x_0)</f>
        <v>902974.25</v>
      </c>
      <c r="Q12" s="4"/>
      <c r="R12" s="12"/>
      <c r="S12" s="4"/>
      <c r="T12" s="4">
        <f>SUM(OSRRefT13x_0)</f>
        <v>1077369.2</v>
      </c>
      <c r="U12" s="4"/>
      <c r="V12" s="12"/>
      <c r="W12" s="4"/>
      <c r="X12" s="4">
        <f t="shared" ref="X12:X15" si="2">+P12-T12</f>
        <v>-174394.94999999995</v>
      </c>
      <c r="Y12" s="4"/>
      <c r="Z12" s="12">
        <f t="shared" ref="Z12:Z15" si="3">IF(T12=0,0,X12/T12)</f>
        <v>-0.16187111159294321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-535.1</f>
        <v>-535.1</v>
      </c>
      <c r="E13" s="2"/>
      <c r="F13" s="19"/>
      <c r="G13" s="2"/>
      <c r="H13" s="2">
        <f>-2729.72</f>
        <v>-2729.72</v>
      </c>
      <c r="I13" s="2"/>
      <c r="J13" s="19"/>
      <c r="K13" s="2"/>
      <c r="L13" s="2">
        <f t="shared" si="0"/>
        <v>2194.62</v>
      </c>
      <c r="M13" s="2"/>
      <c r="N13" s="19">
        <f t="shared" si="1"/>
        <v>-0.80397256861509603</v>
      </c>
      <c r="O13" s="11"/>
      <c r="P13" s="2">
        <f>--256483.61</f>
        <v>256483.61</v>
      </c>
      <c r="Q13" s="2"/>
      <c r="R13" s="19"/>
      <c r="S13" s="2"/>
      <c r="T13" s="2">
        <f>--305143.68</f>
        <v>305143.67999999999</v>
      </c>
      <c r="U13" s="2"/>
      <c r="V13" s="19"/>
      <c r="W13" s="2"/>
      <c r="X13" s="2">
        <f t="shared" si="2"/>
        <v>-48660.070000000007</v>
      </c>
      <c r="Y13" s="2"/>
      <c r="Z13" s="19">
        <f t="shared" si="3"/>
        <v>-0.15946609151465962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--602.28</f>
        <v>602.28</v>
      </c>
      <c r="E14" s="2"/>
      <c r="F14" s="19"/>
      <c r="G14" s="2"/>
      <c r="H14" s="2">
        <f>--1916.51</f>
        <v>1916.51</v>
      </c>
      <c r="I14" s="2"/>
      <c r="J14" s="19"/>
      <c r="K14" s="2"/>
      <c r="L14" s="2">
        <f t="shared" si="0"/>
        <v>-1314.23</v>
      </c>
      <c r="M14" s="2"/>
      <c r="N14" s="19">
        <f t="shared" si="1"/>
        <v>-0.68574126928635903</v>
      </c>
      <c r="O14" s="11"/>
      <c r="P14" s="2">
        <f>--310562.09</f>
        <v>310562.09000000003</v>
      </c>
      <c r="Q14" s="2"/>
      <c r="R14" s="19"/>
      <c r="S14" s="2"/>
      <c r="T14" s="2">
        <f>--381639.6</f>
        <v>381639.6</v>
      </c>
      <c r="U14" s="2"/>
      <c r="V14" s="19"/>
      <c r="W14" s="2"/>
      <c r="X14" s="2">
        <f t="shared" si="2"/>
        <v>-71077.509999999951</v>
      </c>
      <c r="Y14" s="2"/>
      <c r="Z14" s="19">
        <f t="shared" si="3"/>
        <v>-0.18624249160726497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--87.99</f>
        <v>87.99</v>
      </c>
      <c r="E15" s="2"/>
      <c r="F15" s="19"/>
      <c r="G15" s="2"/>
      <c r="H15" s="2">
        <f>-154.35</f>
        <v>-154.35</v>
      </c>
      <c r="I15" s="2"/>
      <c r="J15" s="19"/>
      <c r="K15" s="2"/>
      <c r="L15" s="2">
        <f t="shared" si="0"/>
        <v>242.33999999999997</v>
      </c>
      <c r="M15" s="2"/>
      <c r="N15" s="19">
        <f t="shared" si="1"/>
        <v>-1.5700680272108842</v>
      </c>
      <c r="O15" s="11"/>
      <c r="P15" s="2">
        <f>--335928.55</f>
        <v>335928.55</v>
      </c>
      <c r="Q15" s="2"/>
      <c r="R15" s="19"/>
      <c r="S15" s="2"/>
      <c r="T15" s="2">
        <f>--390585.92</f>
        <v>390585.92</v>
      </c>
      <c r="U15" s="2"/>
      <c r="V15" s="19"/>
      <c r="W15" s="2"/>
      <c r="X15" s="2">
        <f t="shared" si="2"/>
        <v>-54657.369999999995</v>
      </c>
      <c r="Y15" s="2"/>
      <c r="Z15" s="19">
        <f t="shared" si="3"/>
        <v>-0.13993686715588724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-14228.7</v>
      </c>
      <c r="E17" s="4"/>
      <c r="F17" s="12">
        <f t="shared" ref="F17:F19" si="4">IF(D$12=0,0,D17/D$12)</f>
        <v>-91.697493072114483</v>
      </c>
      <c r="G17" s="4"/>
      <c r="H17" s="4">
        <f>SUM(OSRRefH16x_0)</f>
        <v>-6052.98</v>
      </c>
      <c r="I17" s="4"/>
      <c r="J17" s="12">
        <f t="shared" ref="J17:J19" si="5">IF(H$12=0,0,H17/H$12)</f>
        <v>6.255922113357312</v>
      </c>
      <c r="K17" s="4"/>
      <c r="L17" s="4">
        <f t="shared" ref="L17:L19" si="6">+D17-H17</f>
        <v>-8175.7200000000012</v>
      </c>
      <c r="M17" s="4"/>
      <c r="N17" s="12">
        <f t="shared" ref="N17:N19" si="7">IF(H17=0,0,L17/H17)</f>
        <v>1.3506933774768795</v>
      </c>
      <c r="O17" s="10"/>
      <c r="P17" s="4">
        <f>SUM(OSRRefP16x_0)</f>
        <v>669111.65999999992</v>
      </c>
      <c r="Q17" s="4"/>
      <c r="R17" s="12">
        <f t="shared" ref="R17:R19" si="8">IF(P$12=0,0,P17/P$12)</f>
        <v>0.74100857250359009</v>
      </c>
      <c r="S17" s="4"/>
      <c r="T17" s="4">
        <f>SUM(OSRRefT16x_0)</f>
        <v>789860.10000000009</v>
      </c>
      <c r="U17" s="4"/>
      <c r="V17" s="12">
        <f t="shared" ref="V17:V19" si="9">IF(T$12=0,0,T17/T$12)</f>
        <v>0.73313781385248444</v>
      </c>
      <c r="W17" s="4"/>
      <c r="X17" s="4">
        <f t="shared" ref="X17:X19" si="10">+P17-T17</f>
        <v>-120748.44000000018</v>
      </c>
      <c r="Y17" s="4"/>
      <c r="Z17" s="12">
        <f t="shared" ref="Z17:Z19" si="11">IF(T17=0,0,X17/T17)</f>
        <v>-0.15287319868417226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-6988.4</v>
      </c>
      <c r="E18" s="2"/>
      <c r="F18" s="19">
        <f t="shared" si="4"/>
        <v>-45.037056131984286</v>
      </c>
      <c r="G18" s="2"/>
      <c r="H18" s="2">
        <v>-4314.4399999999996</v>
      </c>
      <c r="I18" s="2"/>
      <c r="J18" s="19">
        <f t="shared" si="5"/>
        <v>4.4590929761461826</v>
      </c>
      <c r="K18" s="2"/>
      <c r="L18" s="2">
        <f t="shared" si="6"/>
        <v>-2673.96</v>
      </c>
      <c r="M18" s="2"/>
      <c r="N18" s="19">
        <f t="shared" si="7"/>
        <v>0.61976988902383634</v>
      </c>
      <c r="O18" s="11"/>
      <c r="P18" s="2">
        <v>302080.46000000002</v>
      </c>
      <c r="Q18" s="2"/>
      <c r="R18" s="19">
        <f t="shared" si="8"/>
        <v>0.33453939578011227</v>
      </c>
      <c r="S18" s="2"/>
      <c r="T18" s="2">
        <v>355277.64</v>
      </c>
      <c r="U18" s="2"/>
      <c r="V18" s="19">
        <f t="shared" si="9"/>
        <v>0.32976405859755414</v>
      </c>
      <c r="W18" s="2"/>
      <c r="X18" s="2">
        <f t="shared" si="10"/>
        <v>-53197.179999999993</v>
      </c>
      <c r="Y18" s="2"/>
      <c r="Z18" s="19">
        <f t="shared" si="11"/>
        <v>-0.14973410654270275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-7240.3</v>
      </c>
      <c r="E19" s="2"/>
      <c r="F19" s="19">
        <f t="shared" si="4"/>
        <v>-46.660436940130197</v>
      </c>
      <c r="G19" s="2"/>
      <c r="H19" s="2">
        <v>-1738.54</v>
      </c>
      <c r="I19" s="2"/>
      <c r="J19" s="19">
        <f t="shared" si="5"/>
        <v>1.7968291372111294</v>
      </c>
      <c r="K19" s="2"/>
      <c r="L19" s="2">
        <f t="shared" si="6"/>
        <v>-5501.76</v>
      </c>
      <c r="M19" s="2"/>
      <c r="N19" s="19">
        <f t="shared" si="7"/>
        <v>3.1645863770750173</v>
      </c>
      <c r="O19" s="11"/>
      <c r="P19" s="2">
        <v>367031.19999999995</v>
      </c>
      <c r="Q19" s="2"/>
      <c r="R19" s="19">
        <f t="shared" si="8"/>
        <v>0.40646917672347793</v>
      </c>
      <c r="S19" s="2"/>
      <c r="T19" s="2">
        <v>434582.46</v>
      </c>
      <c r="U19" s="2"/>
      <c r="V19" s="19">
        <f t="shared" si="9"/>
        <v>0.4033737552549303</v>
      </c>
      <c r="W19" s="2"/>
      <c r="X19" s="2">
        <f t="shared" si="10"/>
        <v>-67551.260000000068</v>
      </c>
      <c r="Y19" s="2"/>
      <c r="Z19" s="19">
        <f t="shared" si="11"/>
        <v>-0.15543945330881523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0">
        <f>D12-D17</f>
        <v>14383.87</v>
      </c>
      <c r="E21" s="14"/>
      <c r="F21" s="21">
        <f>IF(D$12=0,0,D21/D$12)</f>
        <v>92.697493072114483</v>
      </c>
      <c r="G21" s="14"/>
      <c r="H21" s="20">
        <f>H12-H17</f>
        <v>5085.42</v>
      </c>
      <c r="I21" s="14"/>
      <c r="J21" s="21">
        <f>IF(H$12=0,0,H21/H$12)</f>
        <v>-5.255922113357312</v>
      </c>
      <c r="K21" s="15"/>
      <c r="L21" s="20">
        <f>+D21-H21</f>
        <v>9298.4500000000007</v>
      </c>
      <c r="M21" s="15"/>
      <c r="N21" s="21">
        <f>IF(H21=0,0,L21/H21)</f>
        <v>1.8284527138368121</v>
      </c>
      <c r="O21" s="28"/>
      <c r="P21" s="20">
        <f>P12-P17</f>
        <v>233862.59000000008</v>
      </c>
      <c r="Q21" s="14"/>
      <c r="R21" s="21">
        <f>IF(P$12=0,0,P21/P$12)</f>
        <v>0.25899142749640985</v>
      </c>
      <c r="S21" s="14"/>
      <c r="T21" s="20">
        <f>T12-T17</f>
        <v>287509.09999999986</v>
      </c>
      <c r="U21" s="14"/>
      <c r="V21" s="21">
        <f>IF(T$12=0,0,T21/T$12)</f>
        <v>0.2668621861475155</v>
      </c>
      <c r="W21" s="15"/>
      <c r="X21" s="20">
        <f>+P21-T21</f>
        <v>-53646.509999999776</v>
      </c>
      <c r="Y21" s="15"/>
      <c r="Z21" s="21">
        <f>IF(T21=0,0,X21/T21)</f>
        <v>-0.18659065052201756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0</v>
      </c>
      <c r="E23" s="22"/>
      <c r="F23" s="33">
        <f t="shared" ref="F23:F25" si="12">IF(D$12=0,0,D23/D$12)</f>
        <v>0</v>
      </c>
      <c r="G23" s="22"/>
      <c r="H23" s="22">
        <f>SUM(OSRRefH22x_0)</f>
        <v>0</v>
      </c>
      <c r="I23" s="22"/>
      <c r="J23" s="33">
        <f t="shared" ref="J23:J25" si="13">IF(H$12=0,0,H23/H$12)</f>
        <v>0</v>
      </c>
      <c r="K23" s="4"/>
      <c r="L23" s="22">
        <f t="shared" ref="L23:L25" si="14">+D23-H23</f>
        <v>0</v>
      </c>
      <c r="M23" s="4"/>
      <c r="N23" s="33">
        <f t="shared" ref="N23:N25" si="15">IF(H23=0,0,L23/H23)</f>
        <v>0</v>
      </c>
      <c r="O23" s="10"/>
      <c r="P23" s="22">
        <f>SUM(OSRRefP22x_0)</f>
        <v>0</v>
      </c>
      <c r="Q23" s="22"/>
      <c r="R23" s="33">
        <f t="shared" ref="R23:R25" si="16">IF(P$12=0,0,P23/P$12)</f>
        <v>0</v>
      </c>
      <c r="S23" s="22"/>
      <c r="T23" s="22">
        <f>SUM(OSRRefT22x_0)</f>
        <v>45</v>
      </c>
      <c r="U23" s="22"/>
      <c r="V23" s="33">
        <f t="shared" ref="V23:V25" si="17">IF(T$12=0,0,T23/T$12)</f>
        <v>4.1768411422936542E-5</v>
      </c>
      <c r="W23" s="4"/>
      <c r="X23" s="22">
        <f t="shared" ref="X23:X25" si="18">+P23-T23</f>
        <v>-45</v>
      </c>
      <c r="Y23" s="4"/>
      <c r="Z23" s="33">
        <f t="shared" ref="Z23:Z25" si="19">IF(T23=0,0,X23/T23)</f>
        <v>-1</v>
      </c>
    </row>
    <row r="24" spans="1:26" s="27" customFormat="1" outlineLevel="1" collapsed="1" x14ac:dyDescent="0.25">
      <c r="A24" s="25"/>
      <c r="B24" s="13" t="str">
        <f>CONCATENATE("     ","Supplies                                          ")</f>
        <v xml:space="preserve">     Supplies                                          </v>
      </c>
      <c r="C24" s="13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3"/>
      <c r="P24" s="1">
        <f>SUM(OSRRefP22_0x_0)</f>
        <v>0</v>
      </c>
      <c r="Q24" s="1"/>
      <c r="R24" s="5">
        <f t="shared" si="16"/>
        <v>0</v>
      </c>
      <c r="S24" s="1"/>
      <c r="T24" s="1">
        <f>SUM(OSRRefT22_0x_0)</f>
        <v>45</v>
      </c>
      <c r="U24" s="1"/>
      <c r="V24" s="5">
        <f t="shared" si="17"/>
        <v>4.1768411422936542E-5</v>
      </c>
      <c r="W24" s="1"/>
      <c r="X24" s="1">
        <f t="shared" si="18"/>
        <v>-45</v>
      </c>
      <c r="Y24" s="1"/>
      <c r="Z24" s="5">
        <f t="shared" si="19"/>
        <v>-1</v>
      </c>
    </row>
    <row r="25" spans="1:26" s="24" customFormat="1" hidden="1" outlineLevel="2" x14ac:dyDescent="0.25">
      <c r="A25" s="26"/>
      <c r="B25" s="11" t="str">
        <f>CONCATENATE("          ", "6241", " - ", "OFFICE EXPENSE")</f>
        <v xml:space="preserve">          6241 - OFFICE EXPENSE</v>
      </c>
      <c r="C25" s="11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45</v>
      </c>
      <c r="U25" s="2"/>
      <c r="V25" s="7">
        <f t="shared" si="17"/>
        <v>4.1768411422936542E-5</v>
      </c>
      <c r="W25" s="2"/>
      <c r="X25" s="6">
        <f t="shared" si="18"/>
        <v>-45</v>
      </c>
      <c r="Y25" s="2"/>
      <c r="Z25" s="7">
        <f t="shared" si="19"/>
        <v>-1</v>
      </c>
    </row>
    <row r="26" spans="1:26" s="61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0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3</v>
      </c>
      <c r="C29" s="29"/>
      <c r="D29" s="20">
        <f>+D21-D23+D27</f>
        <v>14383.87</v>
      </c>
      <c r="E29" s="14"/>
      <c r="F29" s="21">
        <f>IF(D$12=0,0,D29/D$12)</f>
        <v>92.697493072114483</v>
      </c>
      <c r="G29" s="14"/>
      <c r="H29" s="20">
        <f>+H21-H23+H27</f>
        <v>5085.42</v>
      </c>
      <c r="I29" s="14"/>
      <c r="J29" s="21">
        <f>IF(H$12=0,0,H29/H$12)</f>
        <v>-5.255922113357312</v>
      </c>
      <c r="K29" s="15"/>
      <c r="L29" s="20">
        <f>+D29-H29</f>
        <v>9298.4500000000007</v>
      </c>
      <c r="M29" s="15"/>
      <c r="N29" s="21">
        <f>IF(H29=0,0,L29/H29)</f>
        <v>1.8284527138368121</v>
      </c>
      <c r="O29" s="28"/>
      <c r="P29" s="20">
        <f>+P21-P23+P27</f>
        <v>233862.59000000008</v>
      </c>
      <c r="Q29" s="14"/>
      <c r="R29" s="21">
        <f>IF(P$12=0,0,P29/P$12)</f>
        <v>0.25899142749640985</v>
      </c>
      <c r="S29" s="14"/>
      <c r="T29" s="20">
        <f>+T21-T23+T27</f>
        <v>287464.09999999986</v>
      </c>
      <c r="U29" s="14"/>
      <c r="V29" s="21">
        <f>IF(T$12=0,0,T29/T$12)</f>
        <v>0.26682041773609255</v>
      </c>
      <c r="W29" s="15"/>
      <c r="X29" s="20">
        <f>+P29-T29</f>
        <v>-53601.509999999776</v>
      </c>
      <c r="Y29" s="15"/>
      <c r="Z29" s="21">
        <f>IF(T29=0,0,X29/T29)</f>
        <v>-0.18646331837610264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13</v>
      </c>
      <c r="C31" s="10"/>
      <c r="D31" s="4">
        <v>1925.74</v>
      </c>
      <c r="E31" s="4"/>
      <c r="F31" s="12">
        <f>IF(D$12=0,0,D31/D$12)</f>
        <v>12.410517496938844</v>
      </c>
      <c r="G31" s="4"/>
      <c r="H31" s="4">
        <v>2799.28</v>
      </c>
      <c r="I31" s="4"/>
      <c r="J31" s="12">
        <f>IF(H$12=0,0,H31/H$12)</f>
        <v>-2.8931332423829019</v>
      </c>
      <c r="K31" s="4"/>
      <c r="L31" s="4">
        <f>+D31-H31</f>
        <v>-873.54000000000019</v>
      </c>
      <c r="M31" s="4"/>
      <c r="N31" s="12">
        <f>IF(H31=0,0,L31/H31)</f>
        <v>-0.31205881512388906</v>
      </c>
      <c r="O31" s="10"/>
      <c r="P31" s="4">
        <v>97528.17</v>
      </c>
      <c r="Q31" s="4"/>
      <c r="R31" s="12">
        <f>IF(P$12=0,0,P31/P$12)</f>
        <v>0.10800769789393219</v>
      </c>
      <c r="S31" s="4"/>
      <c r="T31" s="4">
        <v>116264.45000000001</v>
      </c>
      <c r="U31" s="4"/>
      <c r="V31" s="12">
        <f>IF(T$12=0,0,T31/T$12)</f>
        <v>0.10791514181025411</v>
      </c>
      <c r="W31" s="4"/>
      <c r="X31" s="4">
        <f>+P31-T31</f>
        <v>-18736.280000000013</v>
      </c>
      <c r="Y31" s="4"/>
      <c r="Z31" s="12">
        <f>IF(T31=0,0,X31/T31)</f>
        <v>-0.16115226967486632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9" t="s">
        <v>4</v>
      </c>
      <c r="C33" s="29"/>
      <c r="D33" s="32">
        <f>+D29-D31</f>
        <v>12458.130000000001</v>
      </c>
      <c r="E33" s="14"/>
      <c r="F33" s="30">
        <f>IF(D$12=0,0,D33/D$12)</f>
        <v>80.286975575175646</v>
      </c>
      <c r="G33" s="14"/>
      <c r="H33" s="32">
        <f>+H29-H31</f>
        <v>2286.14</v>
      </c>
      <c r="I33" s="14"/>
      <c r="J33" s="30">
        <f>IF(H$12=0,0,H33/H$12)</f>
        <v>-2.36278887097441</v>
      </c>
      <c r="K33" s="15"/>
      <c r="L33" s="32">
        <f>D33-H33</f>
        <v>10171.990000000002</v>
      </c>
      <c r="M33" s="15"/>
      <c r="N33" s="30">
        <f>IF(H33=0,0,L33/H33)</f>
        <v>4.4494169210984467</v>
      </c>
      <c r="O33" s="28"/>
      <c r="P33" s="32">
        <f>+P29-P31</f>
        <v>136334.4200000001</v>
      </c>
      <c r="Q33" s="14"/>
      <c r="R33" s="30">
        <f>IF(P$12=0,0,P33/P$12)</f>
        <v>0.15098372960247769</v>
      </c>
      <c r="S33" s="14"/>
      <c r="T33" s="32">
        <f>+T29-T31</f>
        <v>171199.64999999985</v>
      </c>
      <c r="U33" s="14"/>
      <c r="V33" s="30">
        <f>IF(T$12=0,0,T33/T$12)</f>
        <v>0.15890527592583847</v>
      </c>
      <c r="W33" s="15"/>
      <c r="X33" s="32">
        <f>P33-T33</f>
        <v>-34865.229999999749</v>
      </c>
      <c r="Y33" s="15"/>
      <c r="Z33" s="30">
        <f>IF(T33=0,0,X33/T33)</f>
        <v>-0.20365246073809018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>
        <f>SUM(D33:D35)</f>
        <v>12458.130000000001</v>
      </c>
      <c r="E36" s="14"/>
      <c r="F36" s="31">
        <f>IF(D$12=0,0,D36/D$12)</f>
        <v>80.286975575175646</v>
      </c>
      <c r="G36" s="14"/>
      <c r="H36" s="36">
        <f>SUM(H33:H35)</f>
        <v>2286.14</v>
      </c>
      <c r="I36" s="14"/>
      <c r="J36" s="31">
        <f>IF(H$12=0,0,H36/H$12)</f>
        <v>-2.36278887097441</v>
      </c>
      <c r="K36" s="15"/>
      <c r="L36" s="36">
        <f>+D36-H36</f>
        <v>10171.990000000002</v>
      </c>
      <c r="M36" s="15"/>
      <c r="N36" s="31">
        <f>IF(H36=0,0,L36/H36)</f>
        <v>4.4494169210984467</v>
      </c>
      <c r="O36" s="28"/>
      <c r="P36" s="36">
        <f>SUM(P33:P35)</f>
        <v>136334.4200000001</v>
      </c>
      <c r="Q36" s="14"/>
      <c r="R36" s="31">
        <f>IF(P$12=0,0,P36/P$12)</f>
        <v>0.15098372960247769</v>
      </c>
      <c r="S36" s="14"/>
      <c r="T36" s="36">
        <f>SUM(T33:T35)</f>
        <v>171199.64999999985</v>
      </c>
      <c r="U36" s="14"/>
      <c r="V36" s="31">
        <f>IF(T$12=0,0,T36/T$12)</f>
        <v>0.15890527592583847</v>
      </c>
      <c r="W36" s="15"/>
      <c r="X36" s="36">
        <f>+P36-T36</f>
        <v>-34865.229999999749</v>
      </c>
      <c r="Y36" s="15"/>
      <c r="Z36" s="31">
        <f>IF(T36=0,0,X36/T36)</f>
        <v>-0.20365246073809018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>
        <v>43847.453876504631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s">
        <v>313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297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302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299522.15999999986</v>
      </c>
      <c r="E12" s="4"/>
      <c r="F12" s="12"/>
      <c r="G12" s="4"/>
      <c r="H12" s="4">
        <f>SUM(OSRRefH13x_0)</f>
        <v>369729.45000000007</v>
      </c>
      <c r="I12" s="4"/>
      <c r="J12" s="12"/>
      <c r="K12" s="4"/>
      <c r="L12" s="4">
        <f t="shared" ref="L12:L43" si="0">+D12-H12</f>
        <v>-70207.290000000212</v>
      </c>
      <c r="M12" s="4"/>
      <c r="N12" s="12">
        <f t="shared" ref="N12:N43" si="1">IF(H12=0,0,L12/H12)</f>
        <v>-0.18988828182337164</v>
      </c>
      <c r="O12" s="10"/>
      <c r="P12" s="4">
        <f>SUM(OSRRefP13x_0)</f>
        <v>1751308.4799999997</v>
      </c>
      <c r="Q12" s="4"/>
      <c r="R12" s="12"/>
      <c r="S12" s="4"/>
      <c r="T12" s="4">
        <f>SUM(OSRRefT13x_0)</f>
        <v>1606671.5799999996</v>
      </c>
      <c r="U12" s="4"/>
      <c r="V12" s="12"/>
      <c r="W12" s="4"/>
      <c r="X12" s="4">
        <f t="shared" ref="X12:X43" si="2">+P12-T12</f>
        <v>144636.90000000014</v>
      </c>
      <c r="Y12" s="4"/>
      <c r="Z12" s="12">
        <f t="shared" ref="Z12:Z43" si="3">IF(T12=0,0,X12/T12)</f>
        <v>9.0022691507370897E-2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f>--426.09</f>
        <v>426.09</v>
      </c>
      <c r="I13" s="2"/>
      <c r="J13" s="19"/>
      <c r="K13" s="2"/>
      <c r="L13" s="2">
        <f t="shared" si="0"/>
        <v>-426.09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--426.09</f>
        <v>426.09</v>
      </c>
      <c r="U13" s="2"/>
      <c r="V13" s="19"/>
      <c r="W13" s="2"/>
      <c r="X13" s="2">
        <f t="shared" si="2"/>
        <v>-426.09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f>--14.49</f>
        <v>14.49</v>
      </c>
      <c r="U14" s="2"/>
      <c r="V14" s="19"/>
      <c r="W14" s="2"/>
      <c r="X14" s="2">
        <f t="shared" si="2"/>
        <v>-14.49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--26.46</f>
        <v>26.46</v>
      </c>
      <c r="E15" s="2"/>
      <c r="F15" s="19"/>
      <c r="G15" s="2"/>
      <c r="H15" s="2">
        <f>--191.65</f>
        <v>191.65</v>
      </c>
      <c r="I15" s="2"/>
      <c r="J15" s="19"/>
      <c r="K15" s="2"/>
      <c r="L15" s="2">
        <f t="shared" si="0"/>
        <v>-165.19</v>
      </c>
      <c r="M15" s="2"/>
      <c r="N15" s="19">
        <f t="shared" si="1"/>
        <v>-0.86193582050613093</v>
      </c>
      <c r="O15" s="11"/>
      <c r="P15" s="2">
        <f>--149.65</f>
        <v>149.65</v>
      </c>
      <c r="Q15" s="2"/>
      <c r="R15" s="19"/>
      <c r="S15" s="2"/>
      <c r="T15" s="2">
        <f>--395.81</f>
        <v>395.81</v>
      </c>
      <c r="U15" s="2"/>
      <c r="V15" s="19"/>
      <c r="W15" s="2"/>
      <c r="X15" s="2">
        <f t="shared" si="2"/>
        <v>-246.16</v>
      </c>
      <c r="Y15" s="2"/>
      <c r="Z15" s="19">
        <f t="shared" si="3"/>
        <v>-0.62191455496323989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ref="D16:D17" si="6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--47.91</f>
        <v>47.91</v>
      </c>
      <c r="Q16" s="2"/>
      <c r="R16" s="19"/>
      <c r="S16" s="2"/>
      <c r="T16" s="2">
        <f>--294.47</f>
        <v>294.47000000000003</v>
      </c>
      <c r="U16" s="2"/>
      <c r="V16" s="19"/>
      <c r="W16" s="2"/>
      <c r="X16" s="2">
        <f t="shared" si="2"/>
        <v>-246.56000000000003</v>
      </c>
      <c r="Y16" s="2"/>
      <c r="Z16" s="19">
        <f t="shared" si="3"/>
        <v>-0.8373009135056203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6"/>
        <v>0</v>
      </c>
      <c r="E17" s="2"/>
      <c r="F17" s="19"/>
      <c r="G17" s="2"/>
      <c r="H17" s="2">
        <f>--13.23</f>
        <v>13.23</v>
      </c>
      <c r="I17" s="2"/>
      <c r="J17" s="19"/>
      <c r="K17" s="2"/>
      <c r="L17" s="2">
        <f t="shared" si="0"/>
        <v>-13.23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--68.6</f>
        <v>68.599999999999994</v>
      </c>
      <c r="U17" s="2"/>
      <c r="V17" s="19"/>
      <c r="W17" s="2"/>
      <c r="X17" s="2">
        <f t="shared" si="2"/>
        <v>-68.599999999999994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--193654.24</f>
        <v>193654.24</v>
      </c>
      <c r="E18" s="2"/>
      <c r="F18" s="19"/>
      <c r="G18" s="2"/>
      <c r="H18" s="2">
        <f>--284644.7</f>
        <v>284644.7</v>
      </c>
      <c r="I18" s="2"/>
      <c r="J18" s="19"/>
      <c r="K18" s="2"/>
      <c r="L18" s="2">
        <f t="shared" si="0"/>
        <v>-90990.460000000021</v>
      </c>
      <c r="M18" s="2"/>
      <c r="N18" s="19">
        <f t="shared" si="1"/>
        <v>-0.31966328549240514</v>
      </c>
      <c r="O18" s="11"/>
      <c r="P18" s="2">
        <f>--1291791.18</f>
        <v>1291791.18</v>
      </c>
      <c r="Q18" s="2"/>
      <c r="R18" s="19"/>
      <c r="S18" s="2"/>
      <c r="T18" s="2">
        <f>--1197113.16</f>
        <v>1197113.1599999999</v>
      </c>
      <c r="U18" s="2"/>
      <c r="V18" s="19"/>
      <c r="W18" s="2"/>
      <c r="X18" s="2">
        <f t="shared" si="2"/>
        <v>94678.020000000019</v>
      </c>
      <c r="Y18" s="2"/>
      <c r="Z18" s="19">
        <f t="shared" si="3"/>
        <v>7.9088613477442699E-2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--37882.63</f>
        <v>37882.629999999997</v>
      </c>
      <c r="E19" s="2"/>
      <c r="F19" s="19"/>
      <c r="G19" s="2"/>
      <c r="H19" s="2">
        <f>--47037.55</f>
        <v>47037.55</v>
      </c>
      <c r="I19" s="2"/>
      <c r="J19" s="19"/>
      <c r="K19" s="2"/>
      <c r="L19" s="2">
        <f t="shared" si="0"/>
        <v>-9154.9200000000055</v>
      </c>
      <c r="M19" s="2"/>
      <c r="N19" s="19">
        <f t="shared" si="1"/>
        <v>-0.19463003494017025</v>
      </c>
      <c r="O19" s="11"/>
      <c r="P19" s="2">
        <f>--199061.93</f>
        <v>199061.93</v>
      </c>
      <c r="Q19" s="2"/>
      <c r="R19" s="19"/>
      <c r="S19" s="2"/>
      <c r="T19" s="2">
        <f>--204796.51</f>
        <v>204796.51</v>
      </c>
      <c r="U19" s="2"/>
      <c r="V19" s="19"/>
      <c r="W19" s="2"/>
      <c r="X19" s="2">
        <f t="shared" si="2"/>
        <v>-5734.5800000000163</v>
      </c>
      <c r="Y19" s="2"/>
      <c r="Z19" s="19">
        <f t="shared" si="3"/>
        <v>-2.8001356077796521E-2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--36762.61</f>
        <v>36762.61</v>
      </c>
      <c r="E20" s="2"/>
      <c r="F20" s="19"/>
      <c r="G20" s="2"/>
      <c r="H20" s="2">
        <f>--30248.32</f>
        <v>30248.32</v>
      </c>
      <c r="I20" s="2"/>
      <c r="J20" s="19"/>
      <c r="K20" s="2"/>
      <c r="L20" s="2">
        <f t="shared" si="0"/>
        <v>6514.2900000000009</v>
      </c>
      <c r="M20" s="2"/>
      <c r="N20" s="19">
        <f t="shared" si="1"/>
        <v>0.21536039026299644</v>
      </c>
      <c r="O20" s="11"/>
      <c r="P20" s="2">
        <f>--151845.16</f>
        <v>151845.16</v>
      </c>
      <c r="Q20" s="2"/>
      <c r="R20" s="19"/>
      <c r="S20" s="2"/>
      <c r="T20" s="2">
        <f>--116568.71</f>
        <v>116568.71</v>
      </c>
      <c r="U20" s="2"/>
      <c r="V20" s="19"/>
      <c r="W20" s="2"/>
      <c r="X20" s="2">
        <f t="shared" si="2"/>
        <v>35276.449999999997</v>
      </c>
      <c r="Y20" s="2"/>
      <c r="Z20" s="19">
        <f t="shared" si="3"/>
        <v>0.30262366290233456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--9495.36</f>
        <v>9495.36</v>
      </c>
      <c r="E21" s="2"/>
      <c r="F21" s="19"/>
      <c r="G21" s="2"/>
      <c r="H21" s="2">
        <f>--452.31</f>
        <v>452.31</v>
      </c>
      <c r="I21" s="2"/>
      <c r="J21" s="19"/>
      <c r="K21" s="2"/>
      <c r="L21" s="2">
        <f t="shared" si="0"/>
        <v>9043.0500000000011</v>
      </c>
      <c r="M21" s="2"/>
      <c r="N21" s="19">
        <f t="shared" si="1"/>
        <v>19.993035749817604</v>
      </c>
      <c r="O21" s="11"/>
      <c r="P21" s="2">
        <f>--14216.4</f>
        <v>14216.4</v>
      </c>
      <c r="Q21" s="2"/>
      <c r="R21" s="19"/>
      <c r="S21" s="2"/>
      <c r="T21" s="2">
        <f>--1665.17</f>
        <v>1665.17</v>
      </c>
      <c r="U21" s="2"/>
      <c r="V21" s="19"/>
      <c r="W21" s="2"/>
      <c r="X21" s="2">
        <f t="shared" si="2"/>
        <v>12551.23</v>
      </c>
      <c r="Y21" s="2"/>
      <c r="Z21" s="19">
        <f t="shared" si="3"/>
        <v>7.5375066809995372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--5438.42</f>
        <v>5438.42</v>
      </c>
      <c r="E22" s="2"/>
      <c r="F22" s="19"/>
      <c r="G22" s="2"/>
      <c r="H22" s="2">
        <f>--6002.11</f>
        <v>6002.11</v>
      </c>
      <c r="I22" s="2"/>
      <c r="J22" s="19"/>
      <c r="K22" s="2"/>
      <c r="L22" s="2">
        <f t="shared" si="0"/>
        <v>-563.6899999999996</v>
      </c>
      <c r="M22" s="2"/>
      <c r="N22" s="19">
        <f t="shared" si="1"/>
        <v>-9.3915306450564826E-2</v>
      </c>
      <c r="O22" s="11"/>
      <c r="P22" s="2">
        <f>--46736.2</f>
        <v>46736.2</v>
      </c>
      <c r="Q22" s="2"/>
      <c r="R22" s="19"/>
      <c r="S22" s="2"/>
      <c r="T22" s="2">
        <f>--45727.06</f>
        <v>45727.06</v>
      </c>
      <c r="U22" s="2"/>
      <c r="V22" s="19"/>
      <c r="W22" s="2"/>
      <c r="X22" s="2">
        <f t="shared" si="2"/>
        <v>1009.1399999999994</v>
      </c>
      <c r="Y22" s="2"/>
      <c r="Z22" s="19">
        <f t="shared" si="3"/>
        <v>2.2068770657899271E-2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>--6487.38</f>
        <v>6487.38</v>
      </c>
      <c r="E23" s="2"/>
      <c r="F23" s="19"/>
      <c r="G23" s="2"/>
      <c r="H23" s="2">
        <f>--5090.77</f>
        <v>5090.7700000000004</v>
      </c>
      <c r="I23" s="2"/>
      <c r="J23" s="19"/>
      <c r="K23" s="2"/>
      <c r="L23" s="2">
        <f t="shared" si="0"/>
        <v>1396.6099999999997</v>
      </c>
      <c r="M23" s="2"/>
      <c r="N23" s="19">
        <f t="shared" si="1"/>
        <v>0.27434160254735523</v>
      </c>
      <c r="O23" s="11"/>
      <c r="P23" s="2">
        <f>--61005.82</f>
        <v>61005.82</v>
      </c>
      <c r="Q23" s="2"/>
      <c r="R23" s="19"/>
      <c r="S23" s="2"/>
      <c r="T23" s="2">
        <f>--68254.49</f>
        <v>68254.490000000005</v>
      </c>
      <c r="U23" s="2"/>
      <c r="V23" s="19"/>
      <c r="W23" s="2"/>
      <c r="X23" s="2">
        <f t="shared" si="2"/>
        <v>-7248.6700000000055</v>
      </c>
      <c r="Y23" s="2"/>
      <c r="Z23" s="19">
        <f t="shared" si="3"/>
        <v>-0.1062006323686545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-39.950000000000003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>--0.99</f>
        <v>0.99</v>
      </c>
      <c r="E25" s="2"/>
      <c r="F25" s="19"/>
      <c r="G25" s="2"/>
      <c r="H25" s="2">
        <f>--3.96</f>
        <v>3.96</v>
      </c>
      <c r="I25" s="2"/>
      <c r="J25" s="19"/>
      <c r="K25" s="2"/>
      <c r="L25" s="2">
        <f t="shared" si="0"/>
        <v>-2.9699999999999998</v>
      </c>
      <c r="M25" s="2"/>
      <c r="N25" s="19">
        <f t="shared" si="1"/>
        <v>-0.74999999999999989</v>
      </c>
      <c r="O25" s="11"/>
      <c r="P25" s="2">
        <f>--28.71</f>
        <v>28.71</v>
      </c>
      <c r="Q25" s="2"/>
      <c r="R25" s="19"/>
      <c r="S25" s="2"/>
      <c r="T25" s="2">
        <f>--15.84</f>
        <v>15.84</v>
      </c>
      <c r="U25" s="2"/>
      <c r="V25" s="19"/>
      <c r="W25" s="2"/>
      <c r="X25" s="2">
        <f t="shared" si="2"/>
        <v>12.870000000000001</v>
      </c>
      <c r="Y25" s="2"/>
      <c r="Z25" s="19">
        <f t="shared" si="3"/>
        <v>0.81250000000000011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--6</f>
        <v>6</v>
      </c>
      <c r="E26" s="2"/>
      <c r="F26" s="19"/>
      <c r="G26" s="2"/>
      <c r="H26" s="2">
        <f>--4.5</f>
        <v>4.5</v>
      </c>
      <c r="I26" s="2"/>
      <c r="J26" s="19"/>
      <c r="K26" s="2"/>
      <c r="L26" s="2">
        <f t="shared" si="0"/>
        <v>1.5</v>
      </c>
      <c r="M26" s="2"/>
      <c r="N26" s="19">
        <f t="shared" si="1"/>
        <v>0.33333333333333331</v>
      </c>
      <c r="O26" s="11"/>
      <c r="P26" s="2">
        <f>--93</f>
        <v>93</v>
      </c>
      <c r="Q26" s="2"/>
      <c r="R26" s="19"/>
      <c r="S26" s="2"/>
      <c r="T26" s="2">
        <f>--63</f>
        <v>63</v>
      </c>
      <c r="U26" s="2"/>
      <c r="V26" s="19"/>
      <c r="W26" s="2"/>
      <c r="X26" s="2">
        <f t="shared" si="2"/>
        <v>30</v>
      </c>
      <c r="Y26" s="2"/>
      <c r="Z26" s="19">
        <f t="shared" si="3"/>
        <v>0.47619047619047616</v>
      </c>
    </row>
    <row r="27" spans="1:26" s="24" customFormat="1" hidden="1" outlineLevel="1" x14ac:dyDescent="0.25">
      <c r="A27" s="44"/>
      <c r="B27" s="11" t="str">
        <f>CONCATENATE("          ", "4140", " - ", "NON-TAXABLE SALES-LOGO CLOTHIN")</f>
        <v xml:space="preserve">          4140 - NON-TAXABLE SALES-LOGO CLOTHIN</v>
      </c>
      <c r="C27" s="11"/>
      <c r="D27" s="2">
        <f>--18815.05</f>
        <v>18815.05</v>
      </c>
      <c r="E27" s="2"/>
      <c r="F27" s="19"/>
      <c r="G27" s="2"/>
      <c r="H27" s="2">
        <f>--5726.91</f>
        <v>5726.91</v>
      </c>
      <c r="I27" s="2"/>
      <c r="J27" s="19"/>
      <c r="K27" s="2"/>
      <c r="L27" s="2">
        <f t="shared" si="0"/>
        <v>13088.14</v>
      </c>
      <c r="M27" s="2"/>
      <c r="N27" s="19">
        <f t="shared" si="1"/>
        <v>2.2853755341012869</v>
      </c>
      <c r="O27" s="11"/>
      <c r="P27" s="2">
        <f>--38823.84</f>
        <v>38823.839999999997</v>
      </c>
      <c r="Q27" s="2"/>
      <c r="R27" s="19"/>
      <c r="S27" s="2"/>
      <c r="T27" s="2">
        <f>--20388.07</f>
        <v>20388.07</v>
      </c>
      <c r="U27" s="2"/>
      <c r="V27" s="19"/>
      <c r="W27" s="2"/>
      <c r="X27" s="2">
        <f t="shared" si="2"/>
        <v>18435.769999999997</v>
      </c>
      <c r="Y27" s="2"/>
      <c r="Z27" s="19">
        <f t="shared" si="3"/>
        <v>0.90424302055074346</v>
      </c>
    </row>
    <row r="28" spans="1:26" s="24" customFormat="1" hidden="1" outlineLevel="1" x14ac:dyDescent="0.25">
      <c r="A28" s="44"/>
      <c r="B28" s="11" t="str">
        <f>CONCATENATE("          ", "4141", " - ", "NON-TAXABLE SALES-LOGO GIFTS")</f>
        <v xml:space="preserve">          4141 - NON-TAXABLE SALES-LOGO GIFTS</v>
      </c>
      <c r="C28" s="11"/>
      <c r="D28" s="2">
        <f>--699.6</f>
        <v>699.6</v>
      </c>
      <c r="E28" s="2"/>
      <c r="F28" s="19"/>
      <c r="G28" s="2"/>
      <c r="H28" s="2">
        <f>--699.55</f>
        <v>699.55</v>
      </c>
      <c r="I28" s="2"/>
      <c r="J28" s="19"/>
      <c r="K28" s="2"/>
      <c r="L28" s="2">
        <f t="shared" si="0"/>
        <v>5.0000000000068212E-2</v>
      </c>
      <c r="M28" s="2"/>
      <c r="N28" s="19">
        <f t="shared" si="1"/>
        <v>7.1474519333954991E-5</v>
      </c>
      <c r="O28" s="11"/>
      <c r="P28" s="2">
        <f>--2377.13</f>
        <v>2377.13</v>
      </c>
      <c r="Q28" s="2"/>
      <c r="R28" s="19"/>
      <c r="S28" s="2"/>
      <c r="T28" s="2">
        <f>--2184.88</f>
        <v>2184.88</v>
      </c>
      <c r="U28" s="2"/>
      <c r="V28" s="19"/>
      <c r="W28" s="2"/>
      <c r="X28" s="2">
        <f t="shared" si="2"/>
        <v>192.25</v>
      </c>
      <c r="Y28" s="2"/>
      <c r="Z28" s="19">
        <f t="shared" si="3"/>
        <v>8.7991102486177725E-2</v>
      </c>
    </row>
    <row r="29" spans="1:26" s="24" customFormat="1" hidden="1" outlineLevel="1" x14ac:dyDescent="0.25">
      <c r="A29" s="44"/>
      <c r="B29" s="11" t="str">
        <f>CONCATENATE("          ", "4142", " - ", "NON-TAXABLE SALES-EVERYDAY GIF")</f>
        <v xml:space="preserve">          4142 - NON-TAXABLE SALES-EVERYDAY GIF</v>
      </c>
      <c r="C29" s="11"/>
      <c r="D29" s="2">
        <f>--1314.66</f>
        <v>1314.66</v>
      </c>
      <c r="E29" s="2"/>
      <c r="F29" s="19"/>
      <c r="G29" s="2"/>
      <c r="H29" s="2">
        <f>--2773.4</f>
        <v>2773.4</v>
      </c>
      <c r="I29" s="2"/>
      <c r="J29" s="19"/>
      <c r="K29" s="2"/>
      <c r="L29" s="2">
        <f t="shared" si="0"/>
        <v>-1458.74</v>
      </c>
      <c r="M29" s="2"/>
      <c r="N29" s="19">
        <f t="shared" si="1"/>
        <v>-0.52597533713131894</v>
      </c>
      <c r="O29" s="11"/>
      <c r="P29" s="2">
        <f>--3730.49</f>
        <v>3730.49</v>
      </c>
      <c r="Q29" s="2"/>
      <c r="R29" s="19"/>
      <c r="S29" s="2"/>
      <c r="T29" s="2">
        <f>--4393.11</f>
        <v>4393.1099999999997</v>
      </c>
      <c r="U29" s="2"/>
      <c r="V29" s="19"/>
      <c r="W29" s="2"/>
      <c r="X29" s="2">
        <f t="shared" si="2"/>
        <v>-662.61999999999989</v>
      </c>
      <c r="Y29" s="2"/>
      <c r="Z29" s="19">
        <f t="shared" si="3"/>
        <v>-0.15083164318671738</v>
      </c>
    </row>
    <row r="30" spans="1:26" s="24" customFormat="1" hidden="1" outlineLevel="1" x14ac:dyDescent="0.25">
      <c r="A30" s="44"/>
      <c r="B30" s="11" t="str">
        <f>CONCATENATE("          ", "4144", " - ", "NON-TAXABLE SALES-ACCESSORIES")</f>
        <v xml:space="preserve">          4144 - NON-TAXABLE SALES-ACCESSORIES</v>
      </c>
      <c r="C30" s="11"/>
      <c r="D30" s="2">
        <f>--351.29</f>
        <v>351.29</v>
      </c>
      <c r="E30" s="2"/>
      <c r="F30" s="19"/>
      <c r="G30" s="2"/>
      <c r="H30" s="2">
        <f>--19.94</f>
        <v>19.940000000000001</v>
      </c>
      <c r="I30" s="2"/>
      <c r="J30" s="19"/>
      <c r="K30" s="2"/>
      <c r="L30" s="2">
        <f t="shared" si="0"/>
        <v>331.35</v>
      </c>
      <c r="M30" s="2"/>
      <c r="N30" s="19">
        <f t="shared" si="1"/>
        <v>16.617352056168507</v>
      </c>
      <c r="O30" s="11"/>
      <c r="P30" s="2">
        <f>--592.85</f>
        <v>592.85</v>
      </c>
      <c r="Q30" s="2"/>
      <c r="R30" s="19"/>
      <c r="S30" s="2"/>
      <c r="T30" s="2">
        <f>--360.54</f>
        <v>360.54</v>
      </c>
      <c r="U30" s="2"/>
      <c r="V30" s="19"/>
      <c r="W30" s="2"/>
      <c r="X30" s="2">
        <f t="shared" si="2"/>
        <v>232.31</v>
      </c>
      <c r="Y30" s="2"/>
      <c r="Z30" s="19">
        <f t="shared" si="3"/>
        <v>0.64433904698507793</v>
      </c>
    </row>
    <row r="31" spans="1:26" s="24" customFormat="1" hidden="1" outlineLevel="1" x14ac:dyDescent="0.25">
      <c r="A31" s="44"/>
      <c r="B31" s="11" t="str">
        <f>CONCATENATE("          ", "4145", " - ", "NON-TAXABLE SALES-SPECIAL ORDE")</f>
        <v xml:space="preserve">          4145 - NON-TAXABLE SALES-SPECIAL ORDE</v>
      </c>
      <c r="C31" s="11"/>
      <c r="D31" s="2">
        <f t="shared" ref="D31:D33" si="7">0</f>
        <v>0</v>
      </c>
      <c r="E31" s="2"/>
      <c r="F31" s="19"/>
      <c r="G31" s="2"/>
      <c r="H31" s="2">
        <f>--89.8</f>
        <v>89.8</v>
      </c>
      <c r="I31" s="2"/>
      <c r="J31" s="19"/>
      <c r="K31" s="2"/>
      <c r="L31" s="2">
        <f t="shared" si="0"/>
        <v>-89.8</v>
      </c>
      <c r="M31" s="2"/>
      <c r="N31" s="19">
        <f t="shared" si="1"/>
        <v>-1</v>
      </c>
      <c r="O31" s="11"/>
      <c r="P31" s="2">
        <f>--140</f>
        <v>140</v>
      </c>
      <c r="Q31" s="2"/>
      <c r="R31" s="19"/>
      <c r="S31" s="2"/>
      <c r="T31" s="2">
        <f>--1747.4</f>
        <v>1747.4</v>
      </c>
      <c r="U31" s="2"/>
      <c r="V31" s="19"/>
      <c r="W31" s="2"/>
      <c r="X31" s="2">
        <f t="shared" si="2"/>
        <v>-1607.4</v>
      </c>
      <c r="Y31" s="2"/>
      <c r="Z31" s="19">
        <f t="shared" si="3"/>
        <v>-0.91988096600663849</v>
      </c>
    </row>
    <row r="32" spans="1:26" s="24" customFormat="1" hidden="1" outlineLevel="1" x14ac:dyDescent="0.25">
      <c r="A32" s="44"/>
      <c r="B32" s="11" t="str">
        <f>CONCATENATE("          ", "4226", " - ", "SALES RETURN TAXABLE-WRITING I")</f>
        <v xml:space="preserve">          4226 - SALES RETURN TAXABLE-WRITING I</v>
      </c>
      <c r="C32" s="11"/>
      <c r="D32" s="2">
        <f t="shared" si="7"/>
        <v>0</v>
      </c>
      <c r="E32" s="2"/>
      <c r="F32" s="19"/>
      <c r="G32" s="2"/>
      <c r="H32" s="2">
        <f>-5.07</f>
        <v>-5.07</v>
      </c>
      <c r="I32" s="2"/>
      <c r="J32" s="19"/>
      <c r="K32" s="2"/>
      <c r="L32" s="2">
        <f t="shared" si="0"/>
        <v>5.07</v>
      </c>
      <c r="M32" s="2"/>
      <c r="N32" s="19">
        <f t="shared" si="1"/>
        <v>-1</v>
      </c>
      <c r="O32" s="11"/>
      <c r="P32" s="2">
        <f>-134.8</f>
        <v>-134.80000000000001</v>
      </c>
      <c r="Q32" s="2"/>
      <c r="R32" s="19"/>
      <c r="S32" s="2"/>
      <c r="T32" s="2">
        <f>-5.07</f>
        <v>-5.07</v>
      </c>
      <c r="U32" s="2"/>
      <c r="V32" s="19"/>
      <c r="W32" s="2"/>
      <c r="X32" s="2">
        <f t="shared" si="2"/>
        <v>-129.73000000000002</v>
      </c>
      <c r="Y32" s="2"/>
      <c r="Z32" s="19">
        <f t="shared" si="3"/>
        <v>25.587771203155821</v>
      </c>
    </row>
    <row r="33" spans="1:26" s="24" customFormat="1" hidden="1" outlineLevel="1" x14ac:dyDescent="0.25">
      <c r="A33" s="44"/>
      <c r="B33" s="11" t="str">
        <f>CONCATENATE("          ", "4227", " - ", "SALES RETURN TAXABLE-SCHOOL SU")</f>
        <v xml:space="preserve">          4227 - SALES RETURN TAXABLE-SCHOOL SU</v>
      </c>
      <c r="C33" s="11"/>
      <c r="D33" s="2">
        <f t="shared" si="7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0</f>
        <v>0</v>
      </c>
      <c r="Q33" s="2"/>
      <c r="R33" s="19"/>
      <c r="S33" s="2"/>
      <c r="T33" s="2">
        <f>-4.99</f>
        <v>-4.99</v>
      </c>
      <c r="U33" s="2"/>
      <c r="V33" s="19"/>
      <c r="W33" s="2"/>
      <c r="X33" s="2">
        <f t="shared" si="2"/>
        <v>4.99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"4240", " - ", "SALES RETURN TAXABLE-LOGO CLOT")</f>
        <v xml:space="preserve">          4240 - SALES RETURN TAXABLE-LOGO CLOT</v>
      </c>
      <c r="C34" s="11"/>
      <c r="D34" s="2">
        <f>-8212.91</f>
        <v>-8212.91</v>
      </c>
      <c r="E34" s="2"/>
      <c r="F34" s="19"/>
      <c r="G34" s="2"/>
      <c r="H34" s="2">
        <f>-12111.55</f>
        <v>-12111.55</v>
      </c>
      <c r="I34" s="2"/>
      <c r="J34" s="19"/>
      <c r="K34" s="2"/>
      <c r="L34" s="2">
        <f t="shared" si="0"/>
        <v>3898.6399999999994</v>
      </c>
      <c r="M34" s="2"/>
      <c r="N34" s="19">
        <f t="shared" si="1"/>
        <v>-0.3218943900656811</v>
      </c>
      <c r="O34" s="11"/>
      <c r="P34" s="2">
        <f>-49321.94</f>
        <v>-49321.94</v>
      </c>
      <c r="Q34" s="2"/>
      <c r="R34" s="19"/>
      <c r="S34" s="2"/>
      <c r="T34" s="2">
        <f>-48708.08</f>
        <v>-48708.08</v>
      </c>
      <c r="U34" s="2"/>
      <c r="V34" s="19"/>
      <c r="W34" s="2"/>
      <c r="X34" s="2">
        <f t="shared" si="2"/>
        <v>-613.86000000000058</v>
      </c>
      <c r="Y34" s="2"/>
      <c r="Z34" s="19">
        <f t="shared" si="3"/>
        <v>1.2602837147348049E-2</v>
      </c>
    </row>
    <row r="35" spans="1:26" s="24" customFormat="1" hidden="1" outlineLevel="1" x14ac:dyDescent="0.25">
      <c r="A35" s="44"/>
      <c r="B35" s="11" t="str">
        <f>CONCATENATE("          ", "4241", " - ", "SALES RETURN TAXABLE-LOGO GIFT")</f>
        <v xml:space="preserve">          4241 - SALES RETURN TAXABLE-LOGO GIFT</v>
      </c>
      <c r="C35" s="11"/>
      <c r="D35" s="2">
        <f>-939.28</f>
        <v>-939.28</v>
      </c>
      <c r="E35" s="2"/>
      <c r="F35" s="19"/>
      <c r="G35" s="2"/>
      <c r="H35" s="2">
        <f>-876.93</f>
        <v>-876.93</v>
      </c>
      <c r="I35" s="2"/>
      <c r="J35" s="19"/>
      <c r="K35" s="2"/>
      <c r="L35" s="2">
        <f t="shared" si="0"/>
        <v>-62.350000000000023</v>
      </c>
      <c r="M35" s="2"/>
      <c r="N35" s="19">
        <f t="shared" si="1"/>
        <v>7.1100315874699269E-2</v>
      </c>
      <c r="O35" s="11"/>
      <c r="P35" s="2">
        <f>-3514.12</f>
        <v>-3514.12</v>
      </c>
      <c r="Q35" s="2"/>
      <c r="R35" s="19"/>
      <c r="S35" s="2"/>
      <c r="T35" s="2">
        <f>-3893.54</f>
        <v>-3893.54</v>
      </c>
      <c r="U35" s="2"/>
      <c r="V35" s="19"/>
      <c r="W35" s="2"/>
      <c r="X35" s="2">
        <f t="shared" si="2"/>
        <v>379.42000000000007</v>
      </c>
      <c r="Y35" s="2"/>
      <c r="Z35" s="19">
        <f t="shared" si="3"/>
        <v>-9.7448594338314251E-2</v>
      </c>
    </row>
    <row r="36" spans="1:26" s="24" customFormat="1" hidden="1" outlineLevel="1" x14ac:dyDescent="0.25">
      <c r="A36" s="44"/>
      <c r="B36" s="11" t="str">
        <f>CONCATENATE("          ", "4242", " - ", "SALES RETURN TAXABLE-EVERYDAY")</f>
        <v xml:space="preserve">          4242 - SALES RETURN TAXABLE-EVERYDAY</v>
      </c>
      <c r="C36" s="11"/>
      <c r="D36" s="2">
        <f>-1097.55</f>
        <v>-1097.55</v>
      </c>
      <c r="E36" s="2"/>
      <c r="F36" s="19"/>
      <c r="G36" s="2"/>
      <c r="H36" s="2">
        <f>-407.79</f>
        <v>-407.79</v>
      </c>
      <c r="I36" s="2"/>
      <c r="J36" s="19"/>
      <c r="K36" s="2"/>
      <c r="L36" s="2">
        <f t="shared" si="0"/>
        <v>-689.76</v>
      </c>
      <c r="M36" s="2"/>
      <c r="N36" s="19">
        <f t="shared" si="1"/>
        <v>1.6914588391083645</v>
      </c>
      <c r="O36" s="11"/>
      <c r="P36" s="2">
        <f>-2773.22</f>
        <v>-2773.22</v>
      </c>
      <c r="Q36" s="2"/>
      <c r="R36" s="19"/>
      <c r="S36" s="2"/>
      <c r="T36" s="2">
        <f>-1717.09</f>
        <v>-1717.09</v>
      </c>
      <c r="U36" s="2"/>
      <c r="V36" s="19"/>
      <c r="W36" s="2"/>
      <c r="X36" s="2">
        <f t="shared" si="2"/>
        <v>-1056.1299999999999</v>
      </c>
      <c r="Y36" s="2"/>
      <c r="Z36" s="19">
        <f t="shared" si="3"/>
        <v>0.61506968184544775</v>
      </c>
    </row>
    <row r="37" spans="1:26" s="24" customFormat="1" hidden="1" outlineLevel="1" x14ac:dyDescent="0.25">
      <c r="A37" s="44"/>
      <c r="B37" s="11" t="str">
        <f>CONCATENATE("          ", "4243", " - ", "SALES RETURN TAXABLE-CARDS")</f>
        <v xml:space="preserve">          4243 - SALES RETURN TAXABLE-CARDS</v>
      </c>
      <c r="C37" s="11"/>
      <c r="D37" s="2">
        <f>-558.63</f>
        <v>-558.63</v>
      </c>
      <c r="E37" s="2"/>
      <c r="F37" s="19"/>
      <c r="G37" s="2"/>
      <c r="H37" s="2">
        <f>-5.99</f>
        <v>-5.99</v>
      </c>
      <c r="I37" s="2"/>
      <c r="J37" s="19"/>
      <c r="K37" s="2"/>
      <c r="L37" s="2">
        <f t="shared" si="0"/>
        <v>-552.64</v>
      </c>
      <c r="M37" s="2"/>
      <c r="N37" s="19">
        <f t="shared" si="1"/>
        <v>92.26043405676127</v>
      </c>
      <c r="O37" s="11"/>
      <c r="P37" s="2">
        <f>-879.47</f>
        <v>-879.47</v>
      </c>
      <c r="Q37" s="2"/>
      <c r="R37" s="19"/>
      <c r="S37" s="2"/>
      <c r="T37" s="2">
        <f>-25.94</f>
        <v>-25.94</v>
      </c>
      <c r="U37" s="2"/>
      <c r="V37" s="19"/>
      <c r="W37" s="2"/>
      <c r="X37" s="2">
        <f t="shared" si="2"/>
        <v>-853.53</v>
      </c>
      <c r="Y37" s="2"/>
      <c r="Z37" s="19">
        <f t="shared" si="3"/>
        <v>32.904009252120275</v>
      </c>
    </row>
    <row r="38" spans="1:26" s="24" customFormat="1" hidden="1" outlineLevel="1" x14ac:dyDescent="0.25">
      <c r="A38" s="44"/>
      <c r="B38" s="11" t="str">
        <f>CONCATENATE("          ", "4244", " - ", "SALES RETURN TAXABLE-ACCESSORI")</f>
        <v xml:space="preserve">          4244 - SALES RETURN TAXABLE-ACCESSORI</v>
      </c>
      <c r="C38" s="11"/>
      <c r="D38" s="2">
        <f>-202.71</f>
        <v>-202.71</v>
      </c>
      <c r="E38" s="2"/>
      <c r="F38" s="19"/>
      <c r="G38" s="2"/>
      <c r="H38" s="2">
        <f>-154.5</f>
        <v>-154.5</v>
      </c>
      <c r="I38" s="2"/>
      <c r="J38" s="19"/>
      <c r="K38" s="2"/>
      <c r="L38" s="2">
        <f t="shared" si="0"/>
        <v>-48.210000000000008</v>
      </c>
      <c r="M38" s="2"/>
      <c r="N38" s="19">
        <f t="shared" si="1"/>
        <v>0.31203883495145635</v>
      </c>
      <c r="O38" s="11"/>
      <c r="P38" s="2">
        <f>-1731.77</f>
        <v>-1731.77</v>
      </c>
      <c r="Q38" s="2"/>
      <c r="R38" s="19"/>
      <c r="S38" s="2"/>
      <c r="T38" s="2">
        <f>-2744.37</f>
        <v>-2744.37</v>
      </c>
      <c r="U38" s="2"/>
      <c r="V38" s="19"/>
      <c r="W38" s="2"/>
      <c r="X38" s="2">
        <f t="shared" si="2"/>
        <v>1012.5999999999999</v>
      </c>
      <c r="Y38" s="2"/>
      <c r="Z38" s="19">
        <f t="shared" si="3"/>
        <v>-0.36897357134788672</v>
      </c>
    </row>
    <row r="39" spans="1:26" s="24" customFormat="1" hidden="1" outlineLevel="1" x14ac:dyDescent="0.25">
      <c r="A39" s="44"/>
      <c r="B39" s="11" t="str">
        <f>CONCATENATE("          ", "4245", " - ", "SALES RETURN TAXABLE-SPECIAL O")</f>
        <v xml:space="preserve">          4245 - SALES RETURN TAXABLE-SPECIAL O</v>
      </c>
      <c r="C39" s="11"/>
      <c r="D39" s="2">
        <f t="shared" ref="D39:D40" si="8">0</f>
        <v>0</v>
      </c>
      <c r="E39" s="2"/>
      <c r="F39" s="19"/>
      <c r="G39" s="2"/>
      <c r="H39" s="2">
        <f>-5.91</f>
        <v>-5.91</v>
      </c>
      <c r="I39" s="2"/>
      <c r="J39" s="19"/>
      <c r="K39" s="2"/>
      <c r="L39" s="2">
        <f t="shared" si="0"/>
        <v>5.91</v>
      </c>
      <c r="M39" s="2"/>
      <c r="N39" s="19">
        <f t="shared" si="1"/>
        <v>-1</v>
      </c>
      <c r="O39" s="11"/>
      <c r="P39" s="2">
        <f>-91.96</f>
        <v>-91.96</v>
      </c>
      <c r="Q39" s="2"/>
      <c r="R39" s="19"/>
      <c r="S39" s="2"/>
      <c r="T39" s="2">
        <f>-225.7</f>
        <v>-225.7</v>
      </c>
      <c r="U39" s="2"/>
      <c r="V39" s="19"/>
      <c r="W39" s="2"/>
      <c r="X39" s="2">
        <f t="shared" si="2"/>
        <v>133.74</v>
      </c>
      <c r="Y39" s="2"/>
      <c r="Z39" s="19">
        <f t="shared" si="3"/>
        <v>-0.59255649091714668</v>
      </c>
    </row>
    <row r="40" spans="1:26" s="24" customFormat="1" hidden="1" outlineLevel="1" x14ac:dyDescent="0.25">
      <c r="A40" s="44"/>
      <c r="B40" s="11" t="str">
        <f>CONCATENATE("          ", "4295", " - ", "SALES RETURN TAXABLE-CUSTOMER")</f>
        <v xml:space="preserve">          4295 - SALES RETURN TAXABLE-CUSTOMER</v>
      </c>
      <c r="C40" s="11"/>
      <c r="D40" s="2">
        <f t="shared" si="8"/>
        <v>0</v>
      </c>
      <c r="E40" s="2"/>
      <c r="F40" s="19"/>
      <c r="G40" s="2"/>
      <c r="H40" s="2">
        <f t="shared" ref="H40:H41" si="9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--0.99</f>
        <v>0.99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0.99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"4340", " - ", "SALES RETURN NON TAXABLE-LOGO")</f>
        <v xml:space="preserve">          4340 - SALES RETURN NON TAXABLE-LOGO</v>
      </c>
      <c r="C41" s="11"/>
      <c r="D41" s="2">
        <f>-391.5</f>
        <v>-391.5</v>
      </c>
      <c r="E41" s="2"/>
      <c r="F41" s="19"/>
      <c r="G41" s="2"/>
      <c r="H41" s="2">
        <f t="shared" si="9"/>
        <v>0</v>
      </c>
      <c r="I41" s="2"/>
      <c r="J41" s="19"/>
      <c r="K41" s="2"/>
      <c r="L41" s="2">
        <f t="shared" si="0"/>
        <v>-391.5</v>
      </c>
      <c r="M41" s="2"/>
      <c r="N41" s="19">
        <f t="shared" si="1"/>
        <v>0</v>
      </c>
      <c r="O41" s="11"/>
      <c r="P41" s="2">
        <f>-714.9</f>
        <v>-714.9</v>
      </c>
      <c r="Q41" s="2"/>
      <c r="R41" s="19"/>
      <c r="S41" s="2"/>
      <c r="T41" s="2">
        <f>-301.59</f>
        <v>-301.58999999999997</v>
      </c>
      <c r="U41" s="2"/>
      <c r="V41" s="19"/>
      <c r="W41" s="2"/>
      <c r="X41" s="2">
        <f t="shared" si="2"/>
        <v>-413.31</v>
      </c>
      <c r="Y41" s="2"/>
      <c r="Z41" s="19">
        <f t="shared" si="3"/>
        <v>1.3704366855664978</v>
      </c>
    </row>
    <row r="42" spans="1:26" s="24" customFormat="1" hidden="1" outlineLevel="1" x14ac:dyDescent="0.25">
      <c r="A42" s="44"/>
      <c r="B42" s="11" t="str">
        <f>CONCATENATE("          ", "4341", " - ", "SALES RETURN NON TAXABLE-LOGO")</f>
        <v xml:space="preserve">          4341 - SALES RETURN NON TAXABLE-LOGO</v>
      </c>
      <c r="C42" s="11"/>
      <c r="D42" s="2">
        <f>-9.95</f>
        <v>-9.9499999999999993</v>
      </c>
      <c r="E42" s="2"/>
      <c r="F42" s="19"/>
      <c r="G42" s="2"/>
      <c r="H42" s="2">
        <f>-58.85</f>
        <v>-58.85</v>
      </c>
      <c r="I42" s="2"/>
      <c r="J42" s="19"/>
      <c r="K42" s="2"/>
      <c r="L42" s="2">
        <f t="shared" si="0"/>
        <v>48.900000000000006</v>
      </c>
      <c r="M42" s="2"/>
      <c r="N42" s="19">
        <f t="shared" si="1"/>
        <v>-0.83092608326253192</v>
      </c>
      <c r="O42" s="11"/>
      <c r="P42" s="2">
        <f>-20.85</f>
        <v>-20.85</v>
      </c>
      <c r="Q42" s="2"/>
      <c r="R42" s="19"/>
      <c r="S42" s="2"/>
      <c r="T42" s="2">
        <f>-110.7</f>
        <v>-110.7</v>
      </c>
      <c r="U42" s="2"/>
      <c r="V42" s="19"/>
      <c r="W42" s="2"/>
      <c r="X42" s="2">
        <f t="shared" si="2"/>
        <v>89.85</v>
      </c>
      <c r="Y42" s="2"/>
      <c r="Z42" s="19">
        <f t="shared" si="3"/>
        <v>-0.81165311653116523</v>
      </c>
    </row>
    <row r="43" spans="1:26" s="24" customFormat="1" hidden="1" outlineLevel="1" x14ac:dyDescent="0.25">
      <c r="A43" s="44"/>
      <c r="B43" s="11" t="str">
        <f>CONCATENATE("          ", "4342", " - ", "SALES RETURN NON TAXABLE-EVERY")</f>
        <v xml:space="preserve">          4342 - SALES RETURN NON TAXABLE-EVERY</v>
      </c>
      <c r="C43" s="11"/>
      <c r="D43" s="2">
        <f>0</f>
        <v>0</v>
      </c>
      <c r="E43" s="2"/>
      <c r="F43" s="19"/>
      <c r="G43" s="2"/>
      <c r="H43" s="2">
        <f>-68.75</f>
        <v>-68.75</v>
      </c>
      <c r="I43" s="2"/>
      <c r="J43" s="19"/>
      <c r="K43" s="2"/>
      <c r="L43" s="2">
        <f t="shared" si="0"/>
        <v>68.75</v>
      </c>
      <c r="M43" s="2"/>
      <c r="N43" s="19">
        <f t="shared" si="1"/>
        <v>-1</v>
      </c>
      <c r="O43" s="11"/>
      <c r="P43" s="2">
        <f>-109.8</f>
        <v>-109.8</v>
      </c>
      <c r="Q43" s="2"/>
      <c r="R43" s="19"/>
      <c r="S43" s="2"/>
      <c r="T43" s="2">
        <f>-68.75</f>
        <v>-68.75</v>
      </c>
      <c r="U43" s="2"/>
      <c r="V43" s="19"/>
      <c r="W43" s="2"/>
      <c r="X43" s="2">
        <f t="shared" si="2"/>
        <v>-41.05</v>
      </c>
      <c r="Y43" s="2"/>
      <c r="Z43" s="19">
        <f t="shared" si="3"/>
        <v>0.59709090909090901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collapsed="1" x14ac:dyDescent="0.25">
      <c r="A45" s="10"/>
      <c r="B45" s="28" t="s">
        <v>8</v>
      </c>
      <c r="C45" s="10"/>
      <c r="D45" s="4">
        <f>SUM(OSRRefD16x_0)</f>
        <v>139371.29999999996</v>
      </c>
      <c r="E45" s="4"/>
      <c r="F45" s="12">
        <f t="shared" ref="F45:F68" si="10">IF(D$12=0,0,D45/D$12)</f>
        <v>0.46531214919123187</v>
      </c>
      <c r="G45" s="4"/>
      <c r="H45" s="4">
        <f>SUM(OSRRefH16x_0)</f>
        <v>164381.24</v>
      </c>
      <c r="I45" s="4"/>
      <c r="J45" s="12">
        <f t="shared" ref="J45:J68" si="11">IF(H$12=0,0,H45/H$12)</f>
        <v>0.4445987194149667</v>
      </c>
      <c r="K45" s="4"/>
      <c r="L45" s="4">
        <f t="shared" ref="L45:L68" si="12">+D45-H45</f>
        <v>-25009.940000000031</v>
      </c>
      <c r="M45" s="4"/>
      <c r="N45" s="12">
        <f t="shared" ref="N45:N68" si="13">IF(H45=0,0,L45/H45)</f>
        <v>-0.15214595047464075</v>
      </c>
      <c r="O45" s="10"/>
      <c r="P45" s="4">
        <f>SUM(OSRRefP16x_0)</f>
        <v>805515.28</v>
      </c>
      <c r="Q45" s="4"/>
      <c r="R45" s="12">
        <f t="shared" ref="R45:R68" si="14">IF(P$12=0,0,P45/P$12)</f>
        <v>0.4599505393818456</v>
      </c>
      <c r="S45" s="4"/>
      <c r="T45" s="4">
        <f>SUM(OSRRefT16x_0)</f>
        <v>734867.85000000009</v>
      </c>
      <c r="U45" s="4"/>
      <c r="V45" s="12">
        <f t="shared" ref="V45:V68" si="15">IF(T$12=0,0,T45/T$12)</f>
        <v>0.45738522990491953</v>
      </c>
      <c r="W45" s="4"/>
      <c r="X45" s="4">
        <f t="shared" ref="X45:X68" si="16">+P45-T45</f>
        <v>70647.429999999935</v>
      </c>
      <c r="Y45" s="4"/>
      <c r="Z45" s="12">
        <f t="shared" ref="Z45:Z68" si="17">IF(T45=0,0,X45/T45)</f>
        <v>9.6136237284023138E-2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/>
      <c r="E46" s="2"/>
      <c r="F46" s="19">
        <f t="shared" si="10"/>
        <v>0</v>
      </c>
      <c r="G46" s="2"/>
      <c r="H46" s="2"/>
      <c r="I46" s="2"/>
      <c r="J46" s="19">
        <f t="shared" si="11"/>
        <v>0</v>
      </c>
      <c r="K46" s="2"/>
      <c r="L46" s="2">
        <f t="shared" si="12"/>
        <v>0</v>
      </c>
      <c r="M46" s="2"/>
      <c r="N46" s="19">
        <f t="shared" si="13"/>
        <v>0</v>
      </c>
      <c r="O46" s="11"/>
      <c r="P46" s="2"/>
      <c r="Q46" s="2"/>
      <c r="R46" s="19">
        <f t="shared" si="14"/>
        <v>0</v>
      </c>
      <c r="S46" s="2"/>
      <c r="T46" s="2">
        <v>13.2</v>
      </c>
      <c r="U46" s="2"/>
      <c r="V46" s="19">
        <f t="shared" si="15"/>
        <v>8.2157425103641914E-6</v>
      </c>
      <c r="W46" s="2"/>
      <c r="X46" s="2">
        <f t="shared" si="16"/>
        <v>-13.2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>
        <v>16.03</v>
      </c>
      <c r="E47" s="2"/>
      <c r="F47" s="19">
        <f t="shared" si="10"/>
        <v>5.351857772393204E-5</v>
      </c>
      <c r="G47" s="2"/>
      <c r="H47" s="2">
        <v>115.94</v>
      </c>
      <c r="I47" s="2"/>
      <c r="J47" s="19">
        <f t="shared" si="11"/>
        <v>3.1358064660524059E-4</v>
      </c>
      <c r="K47" s="2"/>
      <c r="L47" s="2">
        <f t="shared" si="12"/>
        <v>-99.91</v>
      </c>
      <c r="M47" s="2"/>
      <c r="N47" s="19">
        <f t="shared" si="13"/>
        <v>-0.86173883042953248</v>
      </c>
      <c r="O47" s="11"/>
      <c r="P47" s="2">
        <v>-21.24</v>
      </c>
      <c r="Q47" s="2"/>
      <c r="R47" s="19">
        <f t="shared" si="14"/>
        <v>-1.2128074661067137E-5</v>
      </c>
      <c r="S47" s="2"/>
      <c r="T47" s="2">
        <v>442.28</v>
      </c>
      <c r="U47" s="2"/>
      <c r="V47" s="19">
        <f t="shared" si="15"/>
        <v>2.7527716647605114E-4</v>
      </c>
      <c r="W47" s="2"/>
      <c r="X47" s="2">
        <f t="shared" si="16"/>
        <v>-463.52</v>
      </c>
      <c r="Y47" s="2"/>
      <c r="Z47" s="19">
        <f t="shared" si="17"/>
        <v>-1.0480238762774714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/>
      <c r="E48" s="2"/>
      <c r="F48" s="19">
        <f t="shared" si="10"/>
        <v>0</v>
      </c>
      <c r="G48" s="2"/>
      <c r="H48" s="2"/>
      <c r="I48" s="2"/>
      <c r="J48" s="19">
        <f t="shared" si="11"/>
        <v>0</v>
      </c>
      <c r="K48" s="2"/>
      <c r="L48" s="2">
        <f t="shared" si="12"/>
        <v>0</v>
      </c>
      <c r="M48" s="2"/>
      <c r="N48" s="19">
        <f t="shared" si="13"/>
        <v>0</v>
      </c>
      <c r="O48" s="11"/>
      <c r="P48" s="2">
        <v>51.29</v>
      </c>
      <c r="Q48" s="2"/>
      <c r="R48" s="19">
        <f t="shared" si="14"/>
        <v>2.9286673698970502E-5</v>
      </c>
      <c r="S48" s="2"/>
      <c r="T48" s="2">
        <v>516.53</v>
      </c>
      <c r="U48" s="2"/>
      <c r="V48" s="19">
        <f t="shared" si="15"/>
        <v>3.2149071809684968E-4</v>
      </c>
      <c r="W48" s="2"/>
      <c r="X48" s="2">
        <f t="shared" si="16"/>
        <v>-465.23999999999995</v>
      </c>
      <c r="Y48" s="2"/>
      <c r="Z48" s="19">
        <f t="shared" si="17"/>
        <v>-0.90070276653824555</v>
      </c>
    </row>
    <row r="49" spans="1:26" s="24" customFormat="1" hidden="1" outlineLevel="1" x14ac:dyDescent="0.25">
      <c r="A49" s="44"/>
      <c r="B49" s="11" t="str">
        <f>CONCATENATE("          ", "5034", " - ", "PURCHASES @ COST-SODA")</f>
        <v xml:space="preserve">          5034 - PURCHASES @ COST-SODA</v>
      </c>
      <c r="C49" s="11"/>
      <c r="D49" s="2"/>
      <c r="E49" s="2"/>
      <c r="F49" s="19">
        <f t="shared" si="10"/>
        <v>0</v>
      </c>
      <c r="G49" s="2"/>
      <c r="H49" s="2">
        <v>41.28</v>
      </c>
      <c r="I49" s="2"/>
      <c r="J49" s="19">
        <f t="shared" si="11"/>
        <v>1.1164920727845724E-4</v>
      </c>
      <c r="K49" s="2"/>
      <c r="L49" s="2">
        <f t="shared" si="12"/>
        <v>-41.28</v>
      </c>
      <c r="M49" s="2"/>
      <c r="N49" s="19">
        <f t="shared" si="13"/>
        <v>-1</v>
      </c>
      <c r="O49" s="11"/>
      <c r="P49" s="2"/>
      <c r="Q49" s="2"/>
      <c r="R49" s="19">
        <f t="shared" si="14"/>
        <v>0</v>
      </c>
      <c r="S49" s="2"/>
      <c r="T49" s="2">
        <v>32.299999999999997</v>
      </c>
      <c r="U49" s="2"/>
      <c r="V49" s="19">
        <f t="shared" si="15"/>
        <v>2.0103672960966924E-5</v>
      </c>
      <c r="W49" s="2"/>
      <c r="X49" s="2">
        <f t="shared" si="16"/>
        <v>-32.299999999999997</v>
      </c>
      <c r="Y49" s="2"/>
      <c r="Z49" s="19">
        <f t="shared" si="17"/>
        <v>-1</v>
      </c>
    </row>
    <row r="50" spans="1:26" s="24" customFormat="1" hidden="1" outlineLevel="1" x14ac:dyDescent="0.25">
      <c r="A50" s="44"/>
      <c r="B50" s="11" t="str">
        <f>CONCATENATE("          ", "5037", " - ", "PURCHASES @ COST-WATER")</f>
        <v xml:space="preserve">          5037 - PURCHASES @ COST-WATER</v>
      </c>
      <c r="C50" s="11"/>
      <c r="D50" s="2"/>
      <c r="E50" s="2"/>
      <c r="F50" s="19">
        <f t="shared" si="10"/>
        <v>0</v>
      </c>
      <c r="G50" s="2"/>
      <c r="H50" s="2">
        <v>34.11</v>
      </c>
      <c r="I50" s="2"/>
      <c r="J50" s="19">
        <f t="shared" si="11"/>
        <v>9.2256648746806593E-5</v>
      </c>
      <c r="K50" s="2"/>
      <c r="L50" s="2">
        <f t="shared" si="12"/>
        <v>-34.11</v>
      </c>
      <c r="M50" s="2"/>
      <c r="N50" s="19">
        <f t="shared" si="13"/>
        <v>-1</v>
      </c>
      <c r="O50" s="11"/>
      <c r="P50" s="2">
        <v>29.76</v>
      </c>
      <c r="Q50" s="2"/>
      <c r="R50" s="19">
        <f t="shared" si="14"/>
        <v>1.6993008564659041E-5</v>
      </c>
      <c r="S50" s="2"/>
      <c r="T50" s="2">
        <v>50.75</v>
      </c>
      <c r="U50" s="2"/>
      <c r="V50" s="19">
        <f t="shared" si="15"/>
        <v>3.1587040333407784E-5</v>
      </c>
      <c r="W50" s="2"/>
      <c r="X50" s="2">
        <f t="shared" si="16"/>
        <v>-20.99</v>
      </c>
      <c r="Y50" s="2"/>
      <c r="Z50" s="19">
        <f t="shared" si="17"/>
        <v>-0.41359605911330044</v>
      </c>
    </row>
    <row r="51" spans="1:26" s="24" customFormat="1" hidden="1" outlineLevel="1" x14ac:dyDescent="0.25">
      <c r="A51" s="44"/>
      <c r="B51" s="11" t="str">
        <f>CONCATENATE("          ", "5040", " - ", "PURCHASES @ COST-LOGO CLOTHING")</f>
        <v xml:space="preserve">          5040 - PURCHASES @ COST-LOGO CLOTHING</v>
      </c>
      <c r="C51" s="11"/>
      <c r="D51" s="2">
        <v>97946.53</v>
      </c>
      <c r="E51" s="2"/>
      <c r="F51" s="19">
        <f t="shared" si="10"/>
        <v>0.32700929373639681</v>
      </c>
      <c r="G51" s="2"/>
      <c r="H51" s="2">
        <v>62222.17</v>
      </c>
      <c r="I51" s="2"/>
      <c r="J51" s="19">
        <f t="shared" si="11"/>
        <v>0.16829108419683633</v>
      </c>
      <c r="K51" s="2"/>
      <c r="L51" s="2">
        <f t="shared" si="12"/>
        <v>35724.36</v>
      </c>
      <c r="M51" s="2"/>
      <c r="N51" s="19">
        <f t="shared" si="13"/>
        <v>0.57414198186916343</v>
      </c>
      <c r="O51" s="11"/>
      <c r="P51" s="2">
        <v>716238.84000000008</v>
      </c>
      <c r="Q51" s="2"/>
      <c r="R51" s="19">
        <f t="shared" si="14"/>
        <v>0.40897354645367801</v>
      </c>
      <c r="S51" s="2"/>
      <c r="T51" s="2">
        <v>610458.11</v>
      </c>
      <c r="U51" s="2"/>
      <c r="V51" s="19">
        <f t="shared" si="15"/>
        <v>0.37995201856996819</v>
      </c>
      <c r="W51" s="2"/>
      <c r="X51" s="2">
        <f t="shared" si="16"/>
        <v>105780.7300000001</v>
      </c>
      <c r="Y51" s="2"/>
      <c r="Z51" s="19">
        <f t="shared" si="17"/>
        <v>0.17328089883186268</v>
      </c>
    </row>
    <row r="52" spans="1:26" s="24" customFormat="1" hidden="1" outlineLevel="1" x14ac:dyDescent="0.25">
      <c r="A52" s="44"/>
      <c r="B52" s="11" t="str">
        <f>CONCATENATE("          ", "5041", " - ", "PURCHASES @ COST-LOGO GIFTS")</f>
        <v xml:space="preserve">          5041 - PURCHASES @ COST-LOGO GIFTS</v>
      </c>
      <c r="C52" s="11"/>
      <c r="D52" s="2">
        <v>20607.12</v>
      </c>
      <c r="E52" s="2"/>
      <c r="F52" s="19">
        <f t="shared" si="10"/>
        <v>6.8799984615495594E-2</v>
      </c>
      <c r="G52" s="2"/>
      <c r="H52" s="2">
        <v>8923.84</v>
      </c>
      <c r="I52" s="2"/>
      <c r="J52" s="19">
        <f t="shared" si="11"/>
        <v>2.4136135219956101E-2</v>
      </c>
      <c r="K52" s="2"/>
      <c r="L52" s="2">
        <f t="shared" si="12"/>
        <v>11683.279999999999</v>
      </c>
      <c r="M52" s="2"/>
      <c r="N52" s="19">
        <f t="shared" si="13"/>
        <v>1.3092211424678164</v>
      </c>
      <c r="O52" s="11"/>
      <c r="P52" s="2">
        <v>109403.67</v>
      </c>
      <c r="Q52" s="2"/>
      <c r="R52" s="19">
        <f t="shared" si="14"/>
        <v>6.246967410333102E-2</v>
      </c>
      <c r="S52" s="2"/>
      <c r="T52" s="2">
        <v>105443.35</v>
      </c>
      <c r="U52" s="2"/>
      <c r="V52" s="19">
        <f t="shared" si="15"/>
        <v>6.5628440381076528E-2</v>
      </c>
      <c r="W52" s="2"/>
      <c r="X52" s="2">
        <f t="shared" si="16"/>
        <v>3960.3199999999924</v>
      </c>
      <c r="Y52" s="2"/>
      <c r="Z52" s="19">
        <f t="shared" si="17"/>
        <v>3.7558745999629113E-2</v>
      </c>
    </row>
    <row r="53" spans="1:26" s="24" customFormat="1" hidden="1" outlineLevel="1" x14ac:dyDescent="0.25">
      <c r="A53" s="44"/>
      <c r="B53" s="11" t="str">
        <f>CONCATENATE("          ", "5042", " - ", "PURCHASES @ COST-EVERYDAY GIFT")</f>
        <v xml:space="preserve">          5042 - PURCHASES @ COST-EVERYDAY GIFT</v>
      </c>
      <c r="C53" s="11"/>
      <c r="D53" s="2">
        <v>7822.79</v>
      </c>
      <c r="E53" s="2"/>
      <c r="F53" s="19">
        <f t="shared" si="10"/>
        <v>2.6117566726949364E-2</v>
      </c>
      <c r="G53" s="2"/>
      <c r="H53" s="2">
        <v>6183.21</v>
      </c>
      <c r="I53" s="2"/>
      <c r="J53" s="19">
        <f t="shared" si="11"/>
        <v>1.6723606950974555E-2</v>
      </c>
      <c r="K53" s="2"/>
      <c r="L53" s="2">
        <f t="shared" si="12"/>
        <v>1639.58</v>
      </c>
      <c r="M53" s="2"/>
      <c r="N53" s="19">
        <f t="shared" si="13"/>
        <v>0.26516647501863916</v>
      </c>
      <c r="O53" s="11"/>
      <c r="P53" s="2">
        <v>88388.11</v>
      </c>
      <c r="Q53" s="2"/>
      <c r="R53" s="19">
        <f t="shared" si="14"/>
        <v>5.0469755048522358E-2</v>
      </c>
      <c r="S53" s="2"/>
      <c r="T53" s="2">
        <v>80573.990000000005</v>
      </c>
      <c r="U53" s="2"/>
      <c r="V53" s="19">
        <f t="shared" si="15"/>
        <v>5.0149632944898437E-2</v>
      </c>
      <c r="W53" s="2"/>
      <c r="X53" s="2">
        <f t="shared" si="16"/>
        <v>7814.1199999999953</v>
      </c>
      <c r="Y53" s="2"/>
      <c r="Z53" s="19">
        <f t="shared" si="17"/>
        <v>9.6980675773906622E-2</v>
      </c>
    </row>
    <row r="54" spans="1:26" s="24" customFormat="1" hidden="1" outlineLevel="1" x14ac:dyDescent="0.25">
      <c r="A54" s="44"/>
      <c r="B54" s="11" t="str">
        <f>CONCATENATE("          ", "5043", " - ", "PURCHASES @ COST-CARDS")</f>
        <v xml:space="preserve">          5043 - PURCHASES @ COST-CARDS</v>
      </c>
      <c r="C54" s="11"/>
      <c r="D54" s="2">
        <v>3256.15</v>
      </c>
      <c r="E54" s="2"/>
      <c r="F54" s="19">
        <f t="shared" si="10"/>
        <v>1.0871148899300144E-2</v>
      </c>
      <c r="G54" s="2"/>
      <c r="H54" s="2">
        <v>280.19</v>
      </c>
      <c r="I54" s="2"/>
      <c r="J54" s="19">
        <f t="shared" si="11"/>
        <v>7.5782440376334626E-4</v>
      </c>
      <c r="K54" s="2"/>
      <c r="L54" s="2">
        <f t="shared" si="12"/>
        <v>2975.96</v>
      </c>
      <c r="M54" s="2"/>
      <c r="N54" s="19">
        <f t="shared" si="13"/>
        <v>10.621221314108285</v>
      </c>
      <c r="O54" s="11"/>
      <c r="P54" s="2">
        <v>6784.89</v>
      </c>
      <c r="Q54" s="2"/>
      <c r="R54" s="19">
        <f t="shared" si="14"/>
        <v>3.874183262105829E-3</v>
      </c>
      <c r="S54" s="2"/>
      <c r="T54" s="2">
        <v>2544.06</v>
      </c>
      <c r="U54" s="2"/>
      <c r="V54" s="19">
        <f t="shared" si="15"/>
        <v>1.583434991736146E-3</v>
      </c>
      <c r="W54" s="2"/>
      <c r="X54" s="2">
        <f t="shared" si="16"/>
        <v>4240.83</v>
      </c>
      <c r="Y54" s="2"/>
      <c r="Z54" s="19">
        <f t="shared" si="17"/>
        <v>1.6669536095846795</v>
      </c>
    </row>
    <row r="55" spans="1:26" s="24" customFormat="1" hidden="1" outlineLevel="1" x14ac:dyDescent="0.25">
      <c r="A55" s="44"/>
      <c r="B55" s="11" t="str">
        <f>CONCATENATE("          ", "5044", " - ", "PURCHASES @ COST-ACCESSORIES")</f>
        <v xml:space="preserve">          5044 - PURCHASES @ COST-ACCESSORIES</v>
      </c>
      <c r="C55" s="11"/>
      <c r="D55" s="2">
        <v>432</v>
      </c>
      <c r="E55" s="2"/>
      <c r="F55" s="19">
        <f t="shared" si="10"/>
        <v>1.442297291125305E-3</v>
      </c>
      <c r="G55" s="2"/>
      <c r="H55" s="2">
        <v>836</v>
      </c>
      <c r="I55" s="2"/>
      <c r="J55" s="19">
        <f t="shared" si="11"/>
        <v>2.2611128218214694E-3</v>
      </c>
      <c r="K55" s="2"/>
      <c r="L55" s="2">
        <f t="shared" si="12"/>
        <v>-404</v>
      </c>
      <c r="M55" s="2"/>
      <c r="N55" s="19">
        <f t="shared" si="13"/>
        <v>-0.48325358851674644</v>
      </c>
      <c r="O55" s="11"/>
      <c r="P55" s="2">
        <v>17687.580000000002</v>
      </c>
      <c r="Q55" s="2"/>
      <c r="R55" s="19">
        <f t="shared" si="14"/>
        <v>1.0099637043954703E-2</v>
      </c>
      <c r="S55" s="2"/>
      <c r="T55" s="2">
        <v>20975.030000000002</v>
      </c>
      <c r="U55" s="2"/>
      <c r="V55" s="19">
        <f t="shared" si="15"/>
        <v>1.3054958002057899E-2</v>
      </c>
      <c r="W55" s="2"/>
      <c r="X55" s="2">
        <f t="shared" si="16"/>
        <v>-3287.4500000000007</v>
      </c>
      <c r="Y55" s="2"/>
      <c r="Z55" s="19">
        <f t="shared" si="17"/>
        <v>-0.15673159943037032</v>
      </c>
    </row>
    <row r="56" spans="1:26" s="24" customFormat="1" hidden="1" outlineLevel="1" x14ac:dyDescent="0.25">
      <c r="A56" s="44"/>
      <c r="B56" s="11" t="str">
        <f>CONCATENATE("          ", "5045", " - ", "PURCHASES @ COST-SPECIAL ORDER")</f>
        <v xml:space="preserve">          5045 - PURCHASES @ COST-SPECIAL ORDER</v>
      </c>
      <c r="C56" s="11"/>
      <c r="D56" s="2">
        <v>-1045.9100000000001</v>
      </c>
      <c r="E56" s="2"/>
      <c r="F56" s="19">
        <f t="shared" si="10"/>
        <v>-3.4919286105575646E-3</v>
      </c>
      <c r="G56" s="2"/>
      <c r="H56" s="2">
        <v>2360.23</v>
      </c>
      <c r="I56" s="2"/>
      <c r="J56" s="19">
        <f t="shared" si="11"/>
        <v>6.3836678414446015E-3</v>
      </c>
      <c r="K56" s="2"/>
      <c r="L56" s="2">
        <f t="shared" si="12"/>
        <v>-3406.1400000000003</v>
      </c>
      <c r="M56" s="2"/>
      <c r="N56" s="19">
        <f t="shared" si="13"/>
        <v>-1.4431390161128366</v>
      </c>
      <c r="O56" s="11"/>
      <c r="P56" s="2">
        <v>41180.579999999994</v>
      </c>
      <c r="Q56" s="2"/>
      <c r="R56" s="19">
        <f t="shared" si="14"/>
        <v>2.3514178381640681E-2</v>
      </c>
      <c r="S56" s="2"/>
      <c r="T56" s="2">
        <v>51672.310000000005</v>
      </c>
      <c r="U56" s="2"/>
      <c r="V56" s="19">
        <f t="shared" si="15"/>
        <v>3.2161090445130061E-2</v>
      </c>
      <c r="W56" s="2"/>
      <c r="X56" s="2">
        <f t="shared" si="16"/>
        <v>-10491.73000000001</v>
      </c>
      <c r="Y56" s="2"/>
      <c r="Z56" s="19">
        <f t="shared" si="17"/>
        <v>-0.20304356433842438</v>
      </c>
    </row>
    <row r="57" spans="1:26" s="24" customFormat="1" hidden="1" outlineLevel="1" x14ac:dyDescent="0.25">
      <c r="A57" s="44"/>
      <c r="B57" s="11" t="str">
        <f>CONCATENATE("          ", "5083", " - ", "PURCHASES @ COST-COMPUTER EQUI")</f>
        <v xml:space="preserve">          5083 - PURCHASES @ COST-COMPUTER EQUI</v>
      </c>
      <c r="C57" s="11"/>
      <c r="D57" s="2"/>
      <c r="E57" s="2"/>
      <c r="F57" s="19">
        <f t="shared" si="10"/>
        <v>0</v>
      </c>
      <c r="G57" s="2"/>
      <c r="H57" s="2"/>
      <c r="I57" s="2"/>
      <c r="J57" s="19">
        <f t="shared" si="11"/>
        <v>0</v>
      </c>
      <c r="K57" s="2"/>
      <c r="L57" s="2">
        <f t="shared" si="12"/>
        <v>0</v>
      </c>
      <c r="M57" s="2"/>
      <c r="N57" s="19">
        <f t="shared" si="13"/>
        <v>0</v>
      </c>
      <c r="O57" s="11"/>
      <c r="P57" s="2">
        <v>39.950000000000003</v>
      </c>
      <c r="Q57" s="2"/>
      <c r="R57" s="19">
        <f t="shared" si="14"/>
        <v>2.2811515193485508E-5</v>
      </c>
      <c r="S57" s="2"/>
      <c r="T57" s="2">
        <v>15.8</v>
      </c>
      <c r="U57" s="2"/>
      <c r="V57" s="19">
        <f t="shared" si="15"/>
        <v>9.8339948230116854E-6</v>
      </c>
      <c r="W57" s="2"/>
      <c r="X57" s="2">
        <f t="shared" si="16"/>
        <v>24.150000000000002</v>
      </c>
      <c r="Y57" s="2"/>
      <c r="Z57" s="19">
        <f t="shared" si="17"/>
        <v>1.528481012658228</v>
      </c>
    </row>
    <row r="58" spans="1:26" s="24" customFormat="1" hidden="1" outlineLevel="1" x14ac:dyDescent="0.25">
      <c r="A58" s="44"/>
      <c r="B58" s="11" t="str">
        <f>CONCATENATE("          ", "5092", " - ", "PURCHASES @ COST-GRAD MERCH")</f>
        <v xml:space="preserve">          5092 - PURCHASES @ COST-GRAD MERCH</v>
      </c>
      <c r="C58" s="11"/>
      <c r="D58" s="2"/>
      <c r="E58" s="2"/>
      <c r="F58" s="19">
        <f t="shared" si="10"/>
        <v>0</v>
      </c>
      <c r="G58" s="2"/>
      <c r="H58" s="2"/>
      <c r="I58" s="2"/>
      <c r="J58" s="19">
        <f t="shared" si="11"/>
        <v>0</v>
      </c>
      <c r="K58" s="2"/>
      <c r="L58" s="2">
        <f t="shared" si="12"/>
        <v>0</v>
      </c>
      <c r="M58" s="2"/>
      <c r="N58" s="19">
        <f t="shared" si="13"/>
        <v>0</v>
      </c>
      <c r="O58" s="11"/>
      <c r="P58" s="2">
        <v>-60.35</v>
      </c>
      <c r="Q58" s="2"/>
      <c r="R58" s="19">
        <f t="shared" si="14"/>
        <v>-3.445994848377598E-5</v>
      </c>
      <c r="S58" s="2"/>
      <c r="T58" s="2"/>
      <c r="U58" s="2"/>
      <c r="V58" s="19">
        <f t="shared" si="15"/>
        <v>0</v>
      </c>
      <c r="W58" s="2"/>
      <c r="X58" s="2">
        <f t="shared" si="16"/>
        <v>-60.35</v>
      </c>
      <c r="Y58" s="2"/>
      <c r="Z58" s="19">
        <f t="shared" si="17"/>
        <v>0</v>
      </c>
    </row>
    <row r="59" spans="1:26" s="24" customFormat="1" hidden="1" outlineLevel="1" x14ac:dyDescent="0.25">
      <c r="A59" s="44"/>
      <c r="B59" s="11" t="str">
        <f>CONCATENATE("          ", "5095", " - ", "PURCHASES @ COST-CUSTOMER SERV")</f>
        <v xml:space="preserve">          5095 - PURCHASES @ COST-CUSTOMER SERV</v>
      </c>
      <c r="C59" s="11"/>
      <c r="D59" s="2"/>
      <c r="E59" s="2"/>
      <c r="F59" s="19">
        <f t="shared" si="10"/>
        <v>0</v>
      </c>
      <c r="G59" s="2"/>
      <c r="H59" s="2">
        <v>2.88</v>
      </c>
      <c r="I59" s="2"/>
      <c r="J59" s="19">
        <f t="shared" si="11"/>
        <v>7.7894795775667841E-6</v>
      </c>
      <c r="K59" s="2"/>
      <c r="L59" s="2">
        <f t="shared" si="12"/>
        <v>-2.88</v>
      </c>
      <c r="M59" s="2"/>
      <c r="N59" s="19">
        <f t="shared" si="13"/>
        <v>-1</v>
      </c>
      <c r="O59" s="11"/>
      <c r="P59" s="2">
        <v>-11.85</v>
      </c>
      <c r="Q59" s="2"/>
      <c r="R59" s="19">
        <f t="shared" si="14"/>
        <v>-6.7663693377422585E-6</v>
      </c>
      <c r="S59" s="2"/>
      <c r="T59" s="2">
        <v>57.6</v>
      </c>
      <c r="U59" s="2"/>
      <c r="V59" s="19">
        <f t="shared" si="15"/>
        <v>3.5850512772498294E-5</v>
      </c>
      <c r="W59" s="2"/>
      <c r="X59" s="2">
        <f t="shared" si="16"/>
        <v>-69.45</v>
      </c>
      <c r="Y59" s="2"/>
      <c r="Z59" s="19">
        <f t="shared" si="17"/>
        <v>-1.2057291666666667</v>
      </c>
    </row>
    <row r="60" spans="1:26" s="24" customFormat="1" hidden="1" outlineLevel="1" x14ac:dyDescent="0.25">
      <c r="A60" s="44"/>
      <c r="B60" s="11" t="str">
        <f>CONCATENATE("          ", "5200", " - ", "PURCHASES OFFSET")</f>
        <v xml:space="preserve">          5200 - PURCHASES OFFSET</v>
      </c>
      <c r="C60" s="11"/>
      <c r="D60" s="2">
        <v>-96286</v>
      </c>
      <c r="E60" s="2"/>
      <c r="F60" s="19">
        <f t="shared" si="10"/>
        <v>-0.32146536336409981</v>
      </c>
      <c r="G60" s="2"/>
      <c r="H60" s="2">
        <v>-85947</v>
      </c>
      <c r="I60" s="2"/>
      <c r="J60" s="19">
        <f t="shared" si="11"/>
        <v>-0.23245916710178208</v>
      </c>
      <c r="K60" s="2"/>
      <c r="L60" s="2">
        <f t="shared" si="12"/>
        <v>-10339</v>
      </c>
      <c r="M60" s="2"/>
      <c r="N60" s="19">
        <f t="shared" si="13"/>
        <v>0.12029506556366133</v>
      </c>
      <c r="O60" s="11"/>
      <c r="P60" s="2">
        <v>-972534.00000000012</v>
      </c>
      <c r="Q60" s="2"/>
      <c r="R60" s="19">
        <f t="shared" si="14"/>
        <v>-0.55531850105585068</v>
      </c>
      <c r="S60" s="2"/>
      <c r="T60" s="2">
        <v>-896951</v>
      </c>
      <c r="U60" s="2"/>
      <c r="V60" s="19">
        <f t="shared" si="15"/>
        <v>-0.55826655003133885</v>
      </c>
      <c r="W60" s="2"/>
      <c r="X60" s="2">
        <f t="shared" si="16"/>
        <v>-75583.000000000116</v>
      </c>
      <c r="Y60" s="2"/>
      <c r="Z60" s="19">
        <f t="shared" si="17"/>
        <v>8.4266587583937264E-2</v>
      </c>
    </row>
    <row r="61" spans="1:26" s="24" customFormat="1" hidden="1" outlineLevel="1" x14ac:dyDescent="0.25">
      <c r="A61" s="44"/>
      <c r="B61" s="11" t="str">
        <f>CONCATENATE("          ", "5300", " - ", "COG$ OFFSET")</f>
        <v xml:space="preserve">          5300 - COG$ OFFSET</v>
      </c>
      <c r="C61" s="11"/>
      <c r="D61" s="2">
        <v>101253</v>
      </c>
      <c r="E61" s="2"/>
      <c r="F61" s="19">
        <f t="shared" si="10"/>
        <v>0.33804844356090397</v>
      </c>
      <c r="G61" s="2"/>
      <c r="H61" s="2">
        <v>164380</v>
      </c>
      <c r="I61" s="2"/>
      <c r="J61" s="19">
        <f t="shared" si="11"/>
        <v>0.44459536561125973</v>
      </c>
      <c r="K61" s="2"/>
      <c r="L61" s="2">
        <f t="shared" si="12"/>
        <v>-63127</v>
      </c>
      <c r="M61" s="2"/>
      <c r="N61" s="19">
        <f t="shared" si="13"/>
        <v>-0.38403090400292006</v>
      </c>
      <c r="O61" s="11"/>
      <c r="P61" s="2">
        <v>767369</v>
      </c>
      <c r="Q61" s="2"/>
      <c r="R61" s="19">
        <f t="shared" si="14"/>
        <v>0.43816895125180921</v>
      </c>
      <c r="S61" s="2"/>
      <c r="T61" s="2">
        <v>734868</v>
      </c>
      <c r="U61" s="2"/>
      <c r="V61" s="19">
        <f t="shared" si="15"/>
        <v>0.45738532326562981</v>
      </c>
      <c r="W61" s="2"/>
      <c r="X61" s="2">
        <f t="shared" si="16"/>
        <v>32501</v>
      </c>
      <c r="Y61" s="2"/>
      <c r="Z61" s="19">
        <f t="shared" si="17"/>
        <v>4.4226990425491379E-2</v>
      </c>
    </row>
    <row r="62" spans="1:26" s="24" customFormat="1" hidden="1" outlineLevel="1" x14ac:dyDescent="0.25">
      <c r="A62" s="44"/>
      <c r="B62" s="11" t="str">
        <f>CONCATENATE("          ", "5500", " - ", "FREIGHT-IN")</f>
        <v xml:space="preserve">          5500 - FREIGHT-IN</v>
      </c>
      <c r="C62" s="11"/>
      <c r="D62" s="2"/>
      <c r="E62" s="2"/>
      <c r="F62" s="19">
        <f t="shared" si="10"/>
        <v>0</v>
      </c>
      <c r="G62" s="2"/>
      <c r="H62" s="2"/>
      <c r="I62" s="2"/>
      <c r="J62" s="19">
        <f t="shared" si="11"/>
        <v>0</v>
      </c>
      <c r="K62" s="2"/>
      <c r="L62" s="2">
        <f t="shared" si="12"/>
        <v>0</v>
      </c>
      <c r="M62" s="2"/>
      <c r="N62" s="19">
        <f t="shared" si="13"/>
        <v>0</v>
      </c>
      <c r="O62" s="11"/>
      <c r="P62" s="2">
        <v>29.23</v>
      </c>
      <c r="Q62" s="2"/>
      <c r="R62" s="19">
        <f t="shared" si="14"/>
        <v>1.6690377699764237E-5</v>
      </c>
      <c r="S62" s="2"/>
      <c r="T62" s="2"/>
      <c r="U62" s="2"/>
      <c r="V62" s="19">
        <f t="shared" si="15"/>
        <v>0</v>
      </c>
      <c r="W62" s="2"/>
      <c r="X62" s="2">
        <f t="shared" si="16"/>
        <v>29.23</v>
      </c>
      <c r="Y62" s="2"/>
      <c r="Z62" s="19">
        <f t="shared" si="17"/>
        <v>0</v>
      </c>
    </row>
    <row r="63" spans="1:26" s="24" customFormat="1" hidden="1" outlineLevel="1" x14ac:dyDescent="0.25">
      <c r="A63" s="44"/>
      <c r="B63" s="11" t="str">
        <f>CONCATENATE("          ", "5540", " - ", "FREIGHT-IN-LOGO CLOTHING")</f>
        <v xml:space="preserve">          5540 - FREIGHT-IN-LOGO CLOTHING</v>
      </c>
      <c r="C63" s="11"/>
      <c r="D63" s="2">
        <v>4036.06</v>
      </c>
      <c r="E63" s="2"/>
      <c r="F63" s="19">
        <f t="shared" si="10"/>
        <v>1.3474996307451848E-2</v>
      </c>
      <c r="G63" s="2"/>
      <c r="H63" s="2">
        <v>4053.14</v>
      </c>
      <c r="I63" s="2"/>
      <c r="J63" s="19">
        <f t="shared" si="11"/>
        <v>1.0962448352437164E-2</v>
      </c>
      <c r="K63" s="2"/>
      <c r="L63" s="2">
        <f t="shared" si="12"/>
        <v>-17.079999999999927</v>
      </c>
      <c r="M63" s="2"/>
      <c r="N63" s="19">
        <f t="shared" si="13"/>
        <v>-4.214016786984888E-3</v>
      </c>
      <c r="O63" s="11"/>
      <c r="P63" s="2">
        <v>24277.390000000003</v>
      </c>
      <c r="Q63" s="2"/>
      <c r="R63" s="19">
        <f t="shared" si="14"/>
        <v>1.3862429307713971E-2</v>
      </c>
      <c r="S63" s="2"/>
      <c r="T63" s="2">
        <v>16252.329999999998</v>
      </c>
      <c r="U63" s="2"/>
      <c r="V63" s="19">
        <f t="shared" si="15"/>
        <v>1.0115527157080853E-2</v>
      </c>
      <c r="W63" s="2"/>
      <c r="X63" s="2">
        <f t="shared" si="16"/>
        <v>8025.0600000000049</v>
      </c>
      <c r="Y63" s="2"/>
      <c r="Z63" s="19">
        <f t="shared" si="17"/>
        <v>0.49377904583527443</v>
      </c>
    </row>
    <row r="64" spans="1:26" s="24" customFormat="1" hidden="1" outlineLevel="1" x14ac:dyDescent="0.25">
      <c r="A64" s="44"/>
      <c r="B64" s="11" t="str">
        <f>CONCATENATE("          ", "5541", " - ", "FREIGHT-IN-LOGO GIFTS")</f>
        <v xml:space="preserve">          5541 - FREIGHT-IN-LOGO GIFTS</v>
      </c>
      <c r="C64" s="11"/>
      <c r="D64" s="2">
        <v>709.94</v>
      </c>
      <c r="E64" s="2"/>
      <c r="F64" s="19">
        <f t="shared" si="10"/>
        <v>2.3702419881053223E-3</v>
      </c>
      <c r="G64" s="2"/>
      <c r="H64" s="2">
        <v>788.21</v>
      </c>
      <c r="I64" s="2"/>
      <c r="J64" s="19">
        <f t="shared" si="11"/>
        <v>2.1318561450812206E-3</v>
      </c>
      <c r="K64" s="2"/>
      <c r="L64" s="2">
        <f t="shared" si="12"/>
        <v>-78.269999999999982</v>
      </c>
      <c r="M64" s="2"/>
      <c r="N64" s="19">
        <f t="shared" si="13"/>
        <v>-9.9300947716978949E-2</v>
      </c>
      <c r="O64" s="11"/>
      <c r="P64" s="2">
        <v>3562.77</v>
      </c>
      <c r="Q64" s="2"/>
      <c r="R64" s="19">
        <f t="shared" si="14"/>
        <v>2.0343474840023618E-3</v>
      </c>
      <c r="S64" s="2"/>
      <c r="T64" s="2">
        <v>4756.21</v>
      </c>
      <c r="U64" s="2"/>
      <c r="V64" s="19">
        <f t="shared" si="15"/>
        <v>2.9602876276681269E-3</v>
      </c>
      <c r="W64" s="2"/>
      <c r="X64" s="2">
        <f t="shared" si="16"/>
        <v>-1193.44</v>
      </c>
      <c r="Y64" s="2"/>
      <c r="Z64" s="19">
        <f t="shared" si="17"/>
        <v>-0.25092247819166941</v>
      </c>
    </row>
    <row r="65" spans="1:26" s="24" customFormat="1" hidden="1" outlineLevel="1" x14ac:dyDescent="0.25">
      <c r="A65" s="44"/>
      <c r="B65" s="11" t="str">
        <f>CONCATENATE("          ", "5542", " - ", "FREIGHT-IN-EVERYDAY GIFTS")</f>
        <v xml:space="preserve">          5542 - FREIGHT-IN-EVERYDAY GIFTS</v>
      </c>
      <c r="C65" s="11"/>
      <c r="D65" s="2">
        <v>194.82</v>
      </c>
      <c r="E65" s="2"/>
      <c r="F65" s="19">
        <f t="shared" si="10"/>
        <v>6.5043601448387016E-4</v>
      </c>
      <c r="G65" s="2"/>
      <c r="H65" s="2">
        <v>92.11</v>
      </c>
      <c r="I65" s="2"/>
      <c r="J65" s="19">
        <f t="shared" si="11"/>
        <v>2.4912811246169321E-4</v>
      </c>
      <c r="K65" s="2"/>
      <c r="L65" s="2">
        <f t="shared" si="12"/>
        <v>102.71</v>
      </c>
      <c r="M65" s="2"/>
      <c r="N65" s="19">
        <f t="shared" si="13"/>
        <v>1.1150797958962111</v>
      </c>
      <c r="O65" s="11"/>
      <c r="P65" s="2">
        <v>1708.33</v>
      </c>
      <c r="Q65" s="2"/>
      <c r="R65" s="19">
        <f t="shared" si="14"/>
        <v>9.7545921778440783E-4</v>
      </c>
      <c r="S65" s="2"/>
      <c r="T65" s="2">
        <v>1221.55</v>
      </c>
      <c r="U65" s="2"/>
      <c r="V65" s="19">
        <f t="shared" si="15"/>
        <v>7.602985048132863E-4</v>
      </c>
      <c r="W65" s="2"/>
      <c r="X65" s="2">
        <f t="shared" si="16"/>
        <v>486.78</v>
      </c>
      <c r="Y65" s="2"/>
      <c r="Z65" s="19">
        <f t="shared" si="17"/>
        <v>0.39849371699889485</v>
      </c>
    </row>
    <row r="66" spans="1:26" s="24" customFormat="1" hidden="1" outlineLevel="1" x14ac:dyDescent="0.25">
      <c r="A66" s="44"/>
      <c r="B66" s="11" t="str">
        <f>CONCATENATE("          ", "5543", " - ", "FREIGHT-IN-CARDS")</f>
        <v xml:space="preserve">          5543 - FREIGHT-IN-CARDS</v>
      </c>
      <c r="C66" s="11"/>
      <c r="D66" s="2">
        <v>77.760000000000005</v>
      </c>
      <c r="E66" s="2"/>
      <c r="F66" s="19">
        <f t="shared" si="10"/>
        <v>2.5961351240255491E-4</v>
      </c>
      <c r="G66" s="2"/>
      <c r="H66" s="2"/>
      <c r="I66" s="2"/>
      <c r="J66" s="19">
        <f t="shared" si="11"/>
        <v>0</v>
      </c>
      <c r="K66" s="2"/>
      <c r="L66" s="2">
        <f t="shared" si="12"/>
        <v>77.760000000000005</v>
      </c>
      <c r="M66" s="2"/>
      <c r="N66" s="19">
        <f t="shared" si="13"/>
        <v>0</v>
      </c>
      <c r="O66" s="11"/>
      <c r="P66" s="2">
        <v>121.35</v>
      </c>
      <c r="Q66" s="2"/>
      <c r="R66" s="19">
        <f t="shared" si="14"/>
        <v>6.929104802827199E-5</v>
      </c>
      <c r="S66" s="2"/>
      <c r="T66" s="2">
        <v>12.47</v>
      </c>
      <c r="U66" s="2"/>
      <c r="V66" s="19">
        <f t="shared" si="15"/>
        <v>7.7613870533516282E-6</v>
      </c>
      <c r="W66" s="2"/>
      <c r="X66" s="2">
        <f t="shared" si="16"/>
        <v>108.88</v>
      </c>
      <c r="Y66" s="2"/>
      <c r="Z66" s="19">
        <f t="shared" si="17"/>
        <v>8.7313552526062548</v>
      </c>
    </row>
    <row r="67" spans="1:26" s="24" customFormat="1" hidden="1" outlineLevel="1" x14ac:dyDescent="0.25">
      <c r="A67" s="44"/>
      <c r="B67" s="11" t="str">
        <f>CONCATENATE("          ", "5544", " - ", "FREIGHT-IN-ACCESSORIES")</f>
        <v xml:space="preserve">          5544 - FREIGHT-IN-ACCESSORIES</v>
      </c>
      <c r="C67" s="11"/>
      <c r="D67" s="2">
        <v>28.4</v>
      </c>
      <c r="E67" s="2"/>
      <c r="F67" s="19">
        <f t="shared" si="10"/>
        <v>9.4817692286941352E-5</v>
      </c>
      <c r="G67" s="2"/>
      <c r="H67" s="2"/>
      <c r="I67" s="2"/>
      <c r="J67" s="19">
        <f t="shared" si="11"/>
        <v>0</v>
      </c>
      <c r="K67" s="2"/>
      <c r="L67" s="2">
        <f t="shared" si="12"/>
        <v>28.4</v>
      </c>
      <c r="M67" s="2"/>
      <c r="N67" s="19">
        <f t="shared" si="13"/>
        <v>0</v>
      </c>
      <c r="O67" s="11"/>
      <c r="P67" s="2">
        <v>442.31</v>
      </c>
      <c r="Q67" s="2"/>
      <c r="R67" s="19">
        <f t="shared" si="14"/>
        <v>2.525597317955087E-4</v>
      </c>
      <c r="S67" s="2"/>
      <c r="T67" s="2">
        <v>590.45000000000005</v>
      </c>
      <c r="U67" s="2"/>
      <c r="V67" s="19">
        <f t="shared" si="15"/>
        <v>3.6749887615488921E-4</v>
      </c>
      <c r="W67" s="2"/>
      <c r="X67" s="2">
        <f t="shared" si="16"/>
        <v>-148.14000000000004</v>
      </c>
      <c r="Y67" s="2"/>
      <c r="Z67" s="19">
        <f t="shared" si="17"/>
        <v>-0.25089338640020331</v>
      </c>
    </row>
    <row r="68" spans="1:26" s="24" customFormat="1" hidden="1" outlineLevel="1" x14ac:dyDescent="0.25">
      <c r="A68" s="44"/>
      <c r="B68" s="11" t="str">
        <f>CONCATENATE("          ", "5545", " - ", "FREIGHT-IN-SPECIAL ORDERS")</f>
        <v xml:space="preserve">          5545 - FREIGHT-IN-SPECIAL ORDERS</v>
      </c>
      <c r="C68" s="11"/>
      <c r="D68" s="2">
        <v>322.61</v>
      </c>
      <c r="E68" s="2"/>
      <c r="F68" s="19">
        <f t="shared" si="10"/>
        <v>1.0770822432637378E-3</v>
      </c>
      <c r="G68" s="2"/>
      <c r="H68" s="2">
        <v>14.93</v>
      </c>
      <c r="I68" s="2"/>
      <c r="J68" s="19">
        <f t="shared" si="11"/>
        <v>4.038087850453892E-5</v>
      </c>
      <c r="K68" s="2"/>
      <c r="L68" s="2">
        <f t="shared" si="12"/>
        <v>307.68</v>
      </c>
      <c r="M68" s="2"/>
      <c r="N68" s="19">
        <f t="shared" si="13"/>
        <v>20.608171466845278</v>
      </c>
      <c r="O68" s="11"/>
      <c r="P68" s="2">
        <v>827.67</v>
      </c>
      <c r="Q68" s="2"/>
      <c r="R68" s="19">
        <f t="shared" si="14"/>
        <v>4.7260092065562318E-4</v>
      </c>
      <c r="S68" s="2"/>
      <c r="T68" s="2">
        <v>1322.53</v>
      </c>
      <c r="U68" s="2"/>
      <c r="V68" s="19">
        <f t="shared" si="15"/>
        <v>8.2314893501757237E-4</v>
      </c>
      <c r="W68" s="2"/>
      <c r="X68" s="2">
        <f t="shared" si="16"/>
        <v>-494.86</v>
      </c>
      <c r="Y68" s="2"/>
      <c r="Z68" s="19">
        <f t="shared" si="17"/>
        <v>-0.37417676725669741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6</v>
      </c>
      <c r="C70" s="29"/>
      <c r="D70" s="20">
        <f>D12-D45</f>
        <v>160150.8599999999</v>
      </c>
      <c r="E70" s="14"/>
      <c r="F70" s="21">
        <f>IF(D$12=0,0,D70/D$12)</f>
        <v>0.53468785080876813</v>
      </c>
      <c r="G70" s="14"/>
      <c r="H70" s="20">
        <f>H12-H45</f>
        <v>205348.21000000008</v>
      </c>
      <c r="I70" s="14"/>
      <c r="J70" s="21">
        <f>IF(H$12=0,0,H70/H$12)</f>
        <v>0.55540128058503335</v>
      </c>
      <c r="K70" s="15"/>
      <c r="L70" s="20">
        <f>+D70-H70</f>
        <v>-45197.35000000018</v>
      </c>
      <c r="M70" s="15"/>
      <c r="N70" s="21">
        <f>IF(H70=0,0,L70/H70)</f>
        <v>-0.2201010176811386</v>
      </c>
      <c r="O70" s="28"/>
      <c r="P70" s="20">
        <f>P12-P45</f>
        <v>945793.19999999972</v>
      </c>
      <c r="Q70" s="14"/>
      <c r="R70" s="21">
        <f>IF(P$12=0,0,P70/P$12)</f>
        <v>0.5400494606181544</v>
      </c>
      <c r="S70" s="14"/>
      <c r="T70" s="20">
        <f>T12-T45</f>
        <v>871803.72999999952</v>
      </c>
      <c r="U70" s="14"/>
      <c r="V70" s="21">
        <f>IF(T$12=0,0,T70/T$12)</f>
        <v>0.54261477009508052</v>
      </c>
      <c r="W70" s="15"/>
      <c r="X70" s="20">
        <f>+P70-T70</f>
        <v>73989.470000000205</v>
      </c>
      <c r="Y70" s="15"/>
      <c r="Z70" s="21">
        <f>IF(T70=0,0,X70/T70)</f>
        <v>8.4869412063653643E-2</v>
      </c>
    </row>
    <row r="71" spans="1:26" x14ac:dyDescent="0.25">
      <c r="A71" s="9"/>
      <c r="B71" s="10"/>
      <c r="C71" s="9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9</v>
      </c>
      <c r="C72" s="10"/>
      <c r="D72" s="22">
        <f>SUM(OSRRefD22x_0)</f>
        <v>91315.209999999992</v>
      </c>
      <c r="E72" s="22"/>
      <c r="F72" s="33">
        <f t="shared" ref="F72:F81" si="18">IF(D$12=0,0,D72/D$12)</f>
        <v>0.30486962967948694</v>
      </c>
      <c r="G72" s="22"/>
      <c r="H72" s="22">
        <f>SUM(OSRRefH22x_0)</f>
        <v>101958.06000000003</v>
      </c>
      <c r="I72" s="22"/>
      <c r="J72" s="33">
        <f t="shared" ref="J72:J81" si="19">IF(H$12=0,0,H72/H$12)</f>
        <v>0.27576396740914205</v>
      </c>
      <c r="K72" s="4"/>
      <c r="L72" s="22">
        <f t="shared" ref="L72:L81" si="20">+D72-H72</f>
        <v>-10642.850000000035</v>
      </c>
      <c r="M72" s="4"/>
      <c r="N72" s="33">
        <f t="shared" ref="N72:N81" si="21">IF(H72=0,0,L72/H72)</f>
        <v>-0.10438458715279628</v>
      </c>
      <c r="O72" s="10"/>
      <c r="P72" s="22">
        <f>SUM(OSRRefP22x_0)</f>
        <v>548633.89999999991</v>
      </c>
      <c r="Q72" s="22"/>
      <c r="R72" s="33">
        <f t="shared" ref="R72:R81" si="22">IF(P$12=0,0,P72/P$12)</f>
        <v>0.31327085220303391</v>
      </c>
      <c r="S72" s="22"/>
      <c r="T72" s="22">
        <f>SUM(OSRRefT22x_0)</f>
        <v>475297.00999999995</v>
      </c>
      <c r="U72" s="22"/>
      <c r="V72" s="33">
        <f t="shared" ref="V72:V81" si="23">IF(T$12=0,0,T72/T$12)</f>
        <v>0.29582710985651473</v>
      </c>
      <c r="W72" s="4"/>
      <c r="X72" s="22">
        <f t="shared" ref="X72:X81" si="24">+P72-T72</f>
        <v>73336.889999999956</v>
      </c>
      <c r="Y72" s="4"/>
      <c r="Z72" s="33">
        <f t="shared" ref="Z72:Z81" si="25">IF(T72=0,0,X72/T72)</f>
        <v>0.15429697317052335</v>
      </c>
    </row>
    <row r="73" spans="1:26" s="27" customFormat="1" outlineLevel="1" collapsed="1" x14ac:dyDescent="0.25">
      <c r="A73" s="25"/>
      <c r="B73" s="13" t="str">
        <f>CONCATENATE("     ","*Benefits                                         ")</f>
        <v xml:space="preserve">     *Benefits                                         </v>
      </c>
      <c r="C73" s="13"/>
      <c r="D73" s="1">
        <f>SUM(OSRRefD22_0x_0)</f>
        <v>6195.7400000000007</v>
      </c>
      <c r="E73" s="1"/>
      <c r="F73" s="5">
        <f t="shared" si="18"/>
        <v>2.068541439471458E-2</v>
      </c>
      <c r="G73" s="1"/>
      <c r="H73" s="1">
        <f>SUM(OSRRefH22_0x_0)</f>
        <v>7285.630000000001</v>
      </c>
      <c r="I73" s="1"/>
      <c r="J73" s="5">
        <f t="shared" si="19"/>
        <v>1.9705300727329129E-2</v>
      </c>
      <c r="K73" s="1"/>
      <c r="L73" s="1">
        <f t="shared" si="20"/>
        <v>-1089.8900000000003</v>
      </c>
      <c r="M73" s="1"/>
      <c r="N73" s="5">
        <f t="shared" si="21"/>
        <v>-0.14959447570079734</v>
      </c>
      <c r="O73" s="13"/>
      <c r="P73" s="1">
        <f>SUM(OSRRefP22_0x_0)</f>
        <v>52953.88</v>
      </c>
      <c r="Q73" s="1"/>
      <c r="R73" s="5">
        <f t="shared" si="22"/>
        <v>3.0236751894217977E-2</v>
      </c>
      <c r="S73" s="1"/>
      <c r="T73" s="1">
        <f>SUM(OSRRefT22_0x_0)</f>
        <v>48059.19</v>
      </c>
      <c r="U73" s="1"/>
      <c r="V73" s="5">
        <f t="shared" si="23"/>
        <v>2.9912267446717402E-2</v>
      </c>
      <c r="W73" s="1"/>
      <c r="X73" s="1">
        <f t="shared" si="24"/>
        <v>4894.6899999999951</v>
      </c>
      <c r="Y73" s="1"/>
      <c r="Z73" s="5">
        <f t="shared" si="25"/>
        <v>0.10184711810581899</v>
      </c>
    </row>
    <row r="74" spans="1:26" s="24" customFormat="1" hidden="1" outlineLevel="2" x14ac:dyDescent="0.25">
      <c r="A74" s="26"/>
      <c r="B74" s="11" t="str">
        <f>CONCATENATE("          ", "6111", " - ", "F.I.C.A.")</f>
        <v xml:space="preserve">          6111 - F.I.C.A.</v>
      </c>
      <c r="C74" s="11"/>
      <c r="D74" s="6">
        <v>1031.1400000000001</v>
      </c>
      <c r="E74" s="2"/>
      <c r="F74" s="7">
        <f t="shared" si="18"/>
        <v>3.4426167332660814E-3</v>
      </c>
      <c r="G74" s="2"/>
      <c r="H74" s="6">
        <v>1246.22</v>
      </c>
      <c r="I74" s="2"/>
      <c r="J74" s="7">
        <f t="shared" si="19"/>
        <v>3.3706268191511382E-3</v>
      </c>
      <c r="K74" s="2"/>
      <c r="L74" s="6">
        <f t="shared" si="20"/>
        <v>-215.07999999999993</v>
      </c>
      <c r="M74" s="2"/>
      <c r="N74" s="7">
        <f t="shared" si="21"/>
        <v>-0.17258589976087682</v>
      </c>
      <c r="O74" s="11"/>
      <c r="P74" s="6">
        <v>11401.19</v>
      </c>
      <c r="Q74" s="2"/>
      <c r="R74" s="7">
        <f t="shared" si="22"/>
        <v>6.5100980953395502E-3</v>
      </c>
      <c r="S74" s="2"/>
      <c r="T74" s="6">
        <v>11014.42</v>
      </c>
      <c r="U74" s="2"/>
      <c r="V74" s="7">
        <f t="shared" si="23"/>
        <v>6.8554271682579977E-3</v>
      </c>
      <c r="W74" s="2"/>
      <c r="X74" s="6">
        <f t="shared" si="24"/>
        <v>386.77000000000044</v>
      </c>
      <c r="Y74" s="2"/>
      <c r="Z74" s="7">
        <f t="shared" si="25"/>
        <v>3.5114876679843372E-2</v>
      </c>
    </row>
    <row r="75" spans="1:26" s="24" customFormat="1" hidden="1" outlineLevel="2" x14ac:dyDescent="0.25">
      <c r="A75" s="26"/>
      <c r="B75" s="11" t="str">
        <f>CONCATENATE("          ", "6112", " - ", "COMPENSATION INSURANCE")</f>
        <v xml:space="preserve">          6112 - COMPENSATION INSURANCE</v>
      </c>
      <c r="C75" s="11"/>
      <c r="D75" s="6">
        <v>839.05</v>
      </c>
      <c r="E75" s="2"/>
      <c r="F75" s="7">
        <f t="shared" si="18"/>
        <v>2.8012952363858498E-3</v>
      </c>
      <c r="G75" s="2"/>
      <c r="H75" s="6">
        <v>486.92</v>
      </c>
      <c r="I75" s="2"/>
      <c r="J75" s="7">
        <f t="shared" si="19"/>
        <v>1.316962984690562E-3</v>
      </c>
      <c r="K75" s="2"/>
      <c r="L75" s="6">
        <f t="shared" si="20"/>
        <v>352.12999999999994</v>
      </c>
      <c r="M75" s="2"/>
      <c r="N75" s="7">
        <f t="shared" si="21"/>
        <v>0.72317834551877092</v>
      </c>
      <c r="O75" s="11"/>
      <c r="P75" s="6">
        <v>3649.96</v>
      </c>
      <c r="Q75" s="2"/>
      <c r="R75" s="7">
        <f t="shared" si="22"/>
        <v>2.084133116285716E-3</v>
      </c>
      <c r="S75" s="2"/>
      <c r="T75" s="6">
        <v>2511.7399999999998</v>
      </c>
      <c r="U75" s="2"/>
      <c r="V75" s="7">
        <f t="shared" si="23"/>
        <v>1.5633188706804663E-3</v>
      </c>
      <c r="W75" s="2"/>
      <c r="X75" s="6">
        <f t="shared" si="24"/>
        <v>1138.2200000000003</v>
      </c>
      <c r="Y75" s="2"/>
      <c r="Z75" s="7">
        <f t="shared" si="25"/>
        <v>0.45315996082397075</v>
      </c>
    </row>
    <row r="76" spans="1:26" s="24" customFormat="1" hidden="1" outlineLevel="2" x14ac:dyDescent="0.25">
      <c r="A76" s="26"/>
      <c r="B76" s="11" t="str">
        <f>CONCATENATE("          ", "6113", " - ", "GROUP INSURANCE")</f>
        <v xml:space="preserve">          6113 - GROUP INSURANCE</v>
      </c>
      <c r="C76" s="11"/>
      <c r="D76" s="6">
        <v>2286.33</v>
      </c>
      <c r="E76" s="2"/>
      <c r="F76" s="7">
        <f t="shared" si="18"/>
        <v>7.633258253746571E-3</v>
      </c>
      <c r="G76" s="2"/>
      <c r="H76" s="6">
        <v>2841.46</v>
      </c>
      <c r="I76" s="2"/>
      <c r="J76" s="7">
        <f t="shared" si="19"/>
        <v>7.685241194608651E-3</v>
      </c>
      <c r="K76" s="2"/>
      <c r="L76" s="6">
        <f t="shared" si="20"/>
        <v>-555.13000000000011</v>
      </c>
      <c r="M76" s="2"/>
      <c r="N76" s="7">
        <f t="shared" si="21"/>
        <v>-0.19536787426182317</v>
      </c>
      <c r="O76" s="11"/>
      <c r="P76" s="6">
        <v>19123.96</v>
      </c>
      <c r="Q76" s="2"/>
      <c r="R76" s="7">
        <f t="shared" si="22"/>
        <v>1.0919812367950164E-2</v>
      </c>
      <c r="S76" s="2"/>
      <c r="T76" s="6">
        <v>15272.510000000002</v>
      </c>
      <c r="U76" s="2"/>
      <c r="V76" s="7">
        <f t="shared" si="23"/>
        <v>9.5056825490122919E-3</v>
      </c>
      <c r="W76" s="2"/>
      <c r="X76" s="6">
        <f t="shared" si="24"/>
        <v>3851.4499999999971</v>
      </c>
      <c r="Y76" s="2"/>
      <c r="Z76" s="7">
        <f t="shared" si="25"/>
        <v>0.25218186139671844</v>
      </c>
    </row>
    <row r="77" spans="1:26" s="24" customFormat="1" hidden="1" outlineLevel="2" x14ac:dyDescent="0.25">
      <c r="A77" s="26"/>
      <c r="B77" s="11" t="str">
        <f>CONCATENATE("          ", "6114", " - ", "STATE UNEMPLOYMENT INSURANCE")</f>
        <v xml:space="preserve">          6114 - STATE UNEMPLOYMENT INSURANCE</v>
      </c>
      <c r="C77" s="11"/>
      <c r="D77" s="6">
        <v>114.82</v>
      </c>
      <c r="E77" s="2"/>
      <c r="F77" s="7">
        <f t="shared" si="18"/>
        <v>3.8334392353473964E-4</v>
      </c>
      <c r="G77" s="2"/>
      <c r="H77" s="6">
        <v>106.38</v>
      </c>
      <c r="I77" s="2"/>
      <c r="J77" s="7">
        <f t="shared" si="19"/>
        <v>2.8772390189637311E-4</v>
      </c>
      <c r="K77" s="2"/>
      <c r="L77" s="6">
        <f t="shared" si="20"/>
        <v>8.4399999999999977</v>
      </c>
      <c r="M77" s="2"/>
      <c r="N77" s="7">
        <f t="shared" si="21"/>
        <v>7.9338221470201142E-2</v>
      </c>
      <c r="O77" s="11"/>
      <c r="P77" s="6">
        <v>584.77</v>
      </c>
      <c r="Q77" s="2"/>
      <c r="R77" s="7">
        <f t="shared" si="22"/>
        <v>3.3390462427270384E-4</v>
      </c>
      <c r="S77" s="2"/>
      <c r="T77" s="6">
        <v>548.78</v>
      </c>
      <c r="U77" s="2"/>
      <c r="V77" s="7">
        <f t="shared" si="23"/>
        <v>3.4156327082103495E-4</v>
      </c>
      <c r="W77" s="2"/>
      <c r="X77" s="6">
        <f t="shared" si="24"/>
        <v>35.990000000000009</v>
      </c>
      <c r="Y77" s="2"/>
      <c r="Z77" s="7">
        <f t="shared" si="25"/>
        <v>6.5581836072743191E-2</v>
      </c>
    </row>
    <row r="78" spans="1:26" s="24" customFormat="1" hidden="1" outlineLevel="2" x14ac:dyDescent="0.25">
      <c r="A78" s="26"/>
      <c r="B78" s="11" t="str">
        <f>CONCATENATE("          ", "6115", " - ", "P.E.R.S.")</f>
        <v xml:space="preserve">          6115 - P.E.R.S.</v>
      </c>
      <c r="C78" s="11"/>
      <c r="D78" s="6">
        <v>777.67</v>
      </c>
      <c r="E78" s="2"/>
      <c r="F78" s="7">
        <f t="shared" si="18"/>
        <v>2.5963688296051293E-3</v>
      </c>
      <c r="G78" s="2"/>
      <c r="H78" s="6">
        <v>822.3</v>
      </c>
      <c r="I78" s="2"/>
      <c r="J78" s="7">
        <f t="shared" si="19"/>
        <v>2.2240587002198492E-3</v>
      </c>
      <c r="K78" s="2"/>
      <c r="L78" s="6">
        <f t="shared" si="20"/>
        <v>-44.629999999999995</v>
      </c>
      <c r="M78" s="2"/>
      <c r="N78" s="7">
        <f t="shared" si="21"/>
        <v>-5.4274595646357775E-2</v>
      </c>
      <c r="O78" s="11"/>
      <c r="P78" s="6">
        <v>6374.89</v>
      </c>
      <c r="Q78" s="2"/>
      <c r="R78" s="7">
        <f t="shared" si="22"/>
        <v>3.6400725930362658E-3</v>
      </c>
      <c r="S78" s="2"/>
      <c r="T78" s="6">
        <v>6055.51</v>
      </c>
      <c r="U78" s="2"/>
      <c r="V78" s="7">
        <f t="shared" si="23"/>
        <v>3.7689781006769296E-3</v>
      </c>
      <c r="W78" s="2"/>
      <c r="X78" s="6">
        <f t="shared" si="24"/>
        <v>319.38000000000011</v>
      </c>
      <c r="Y78" s="2"/>
      <c r="Z78" s="7">
        <f t="shared" si="25"/>
        <v>5.2742048151187944E-2</v>
      </c>
    </row>
    <row r="79" spans="1:26" s="24" customFormat="1" hidden="1" outlineLevel="2" x14ac:dyDescent="0.25">
      <c r="A79" s="26"/>
      <c r="B79" s="11" t="str">
        <f>CONCATENATE("          ", "6118", " - ", "VACATION")</f>
        <v xml:space="preserve">          6118 - VACATION</v>
      </c>
      <c r="C79" s="11"/>
      <c r="D79" s="6">
        <v>637.12</v>
      </c>
      <c r="E79" s="2"/>
      <c r="F79" s="7">
        <f t="shared" si="18"/>
        <v>2.1271214123188757E-3</v>
      </c>
      <c r="G79" s="2"/>
      <c r="H79" s="6">
        <v>731.36</v>
      </c>
      <c r="I79" s="2"/>
      <c r="J79" s="7">
        <f t="shared" si="19"/>
        <v>1.9780950638365428E-3</v>
      </c>
      <c r="K79" s="2"/>
      <c r="L79" s="6">
        <f t="shared" si="20"/>
        <v>-94.240000000000009</v>
      </c>
      <c r="M79" s="2"/>
      <c r="N79" s="7">
        <f t="shared" si="21"/>
        <v>-0.12885583023408445</v>
      </c>
      <c r="O79" s="11"/>
      <c r="P79" s="6">
        <v>5821.89</v>
      </c>
      <c r="Q79" s="2"/>
      <c r="R79" s="7">
        <f t="shared" si="22"/>
        <v>3.3243086906082939E-3</v>
      </c>
      <c r="S79" s="2"/>
      <c r="T79" s="6">
        <v>5984.05</v>
      </c>
      <c r="U79" s="2"/>
      <c r="V79" s="7">
        <f t="shared" si="23"/>
        <v>3.7245010582685491E-3</v>
      </c>
      <c r="W79" s="2"/>
      <c r="X79" s="6">
        <f t="shared" si="24"/>
        <v>-162.15999999999985</v>
      </c>
      <c r="Y79" s="2"/>
      <c r="Z79" s="7">
        <f t="shared" si="25"/>
        <v>-2.7098704054946039E-2</v>
      </c>
    </row>
    <row r="80" spans="1:26" s="24" customFormat="1" hidden="1" outlineLevel="2" x14ac:dyDescent="0.25">
      <c r="A80" s="26"/>
      <c r="B80" s="11" t="str">
        <f>CONCATENATE("          ", "6119", " - ", "SICK LEAVE")</f>
        <v xml:space="preserve">          6119 - SICK LEAVE</v>
      </c>
      <c r="C80" s="11"/>
      <c r="D80" s="6">
        <v>383.51</v>
      </c>
      <c r="E80" s="2"/>
      <c r="F80" s="7">
        <f t="shared" si="18"/>
        <v>1.2804060974987632E-3</v>
      </c>
      <c r="G80" s="2"/>
      <c r="H80" s="6">
        <v>452.14</v>
      </c>
      <c r="I80" s="2"/>
      <c r="J80" s="7">
        <f t="shared" si="19"/>
        <v>1.2228942000698075E-3</v>
      </c>
      <c r="K80" s="2"/>
      <c r="L80" s="6">
        <f t="shared" si="20"/>
        <v>-68.63</v>
      </c>
      <c r="M80" s="2"/>
      <c r="N80" s="7">
        <f t="shared" si="21"/>
        <v>-0.15178926881054541</v>
      </c>
      <c r="O80" s="11"/>
      <c r="P80" s="6">
        <v>4582.5600000000004</v>
      </c>
      <c r="Q80" s="2"/>
      <c r="R80" s="7">
        <f t="shared" si="22"/>
        <v>2.6166492381741913E-3</v>
      </c>
      <c r="S80" s="2"/>
      <c r="T80" s="6">
        <v>4710.43</v>
      </c>
      <c r="U80" s="2"/>
      <c r="V80" s="7">
        <f t="shared" si="23"/>
        <v>2.9317939388708186E-3</v>
      </c>
      <c r="W80" s="2"/>
      <c r="X80" s="6">
        <f t="shared" si="24"/>
        <v>-127.86999999999989</v>
      </c>
      <c r="Y80" s="2"/>
      <c r="Z80" s="7">
        <f t="shared" si="25"/>
        <v>-2.7146141647365504E-2</v>
      </c>
    </row>
    <row r="81" spans="1:26" s="24" customFormat="1" hidden="1" outlineLevel="2" x14ac:dyDescent="0.25">
      <c r="A81" s="26"/>
      <c r="B81" s="11" t="str">
        <f>CONCATENATE("          ", "6156", " - ", "EMPLOYEE MEALS")</f>
        <v xml:space="preserve">          6156 - EMPLOYEE MEALS</v>
      </c>
      <c r="C81" s="11"/>
      <c r="D81" s="6">
        <v>126.1</v>
      </c>
      <c r="E81" s="2"/>
      <c r="F81" s="7">
        <f t="shared" si="18"/>
        <v>4.2100390835856706E-4</v>
      </c>
      <c r="G81" s="2"/>
      <c r="H81" s="6">
        <v>598.85</v>
      </c>
      <c r="I81" s="2"/>
      <c r="J81" s="7">
        <f t="shared" si="19"/>
        <v>1.6196978628562045E-3</v>
      </c>
      <c r="K81" s="2"/>
      <c r="L81" s="6">
        <f t="shared" si="20"/>
        <v>-472.75</v>
      </c>
      <c r="M81" s="2"/>
      <c r="N81" s="7">
        <f t="shared" si="21"/>
        <v>-0.78942974033564328</v>
      </c>
      <c r="O81" s="11"/>
      <c r="P81" s="6">
        <v>1414.66</v>
      </c>
      <c r="Q81" s="2"/>
      <c r="R81" s="7">
        <f t="shared" si="22"/>
        <v>8.07773168551094E-4</v>
      </c>
      <c r="S81" s="2"/>
      <c r="T81" s="6">
        <v>1961.75</v>
      </c>
      <c r="U81" s="2"/>
      <c r="V81" s="7">
        <f t="shared" si="23"/>
        <v>1.2210024901293146E-3</v>
      </c>
      <c r="W81" s="2"/>
      <c r="X81" s="6">
        <f t="shared" si="24"/>
        <v>-547.08999999999992</v>
      </c>
      <c r="Y81" s="2"/>
      <c r="Z81" s="7">
        <f t="shared" si="25"/>
        <v>-0.27887855231298581</v>
      </c>
    </row>
    <row r="82" spans="1:26" s="27" customFormat="1" outlineLevel="1" collapsed="1" x14ac:dyDescent="0.25">
      <c r="A82" s="25"/>
      <c r="B82" s="13" t="str">
        <f>CONCATENATE("     ","*Payroll                                          ")</f>
        <v xml:space="preserve">     *Payroll                                          </v>
      </c>
      <c r="C82" s="13"/>
      <c r="D82" s="1">
        <f>SUM(OSRRefD22_1x_0)</f>
        <v>29237.599999999999</v>
      </c>
      <c r="E82" s="1"/>
      <c r="F82" s="5">
        <f t="shared" ref="F82:F88" si="26">IF(D$12=0,0,D82/D$12)</f>
        <v>9.7614146479178737E-2</v>
      </c>
      <c r="G82" s="1"/>
      <c r="H82" s="1">
        <f>SUM(OSRRefH22_1x_0)</f>
        <v>27479.85</v>
      </c>
      <c r="I82" s="1"/>
      <c r="J82" s="5">
        <f t="shared" ref="J82:J88" si="27">IF(H$12=0,0,H82/H$12)</f>
        <v>7.4324211933888398E-2</v>
      </c>
      <c r="K82" s="1"/>
      <c r="L82" s="1">
        <f t="shared" ref="L82:L88" si="28">+D82-H82</f>
        <v>1757.75</v>
      </c>
      <c r="M82" s="1"/>
      <c r="N82" s="5">
        <f t="shared" ref="N82:N88" si="29">IF(H82=0,0,L82/H82)</f>
        <v>6.3965050755371664E-2</v>
      </c>
      <c r="O82" s="13"/>
      <c r="P82" s="1">
        <f>SUM(OSRRefP22_1x_0)</f>
        <v>212975.61</v>
      </c>
      <c r="Q82" s="1"/>
      <c r="R82" s="5">
        <f t="shared" ref="R82:R88" si="30">IF(P$12=0,0,P82/P$12)</f>
        <v>0.12160942085999607</v>
      </c>
      <c r="S82" s="1"/>
      <c r="T82" s="1">
        <f>SUM(OSRRefT22_1x_0)</f>
        <v>178864.11</v>
      </c>
      <c r="U82" s="1"/>
      <c r="V82" s="5">
        <f t="shared" ref="V82:V88" si="31">IF(T$12=0,0,T82/T$12)</f>
        <v>0.11132586909889824</v>
      </c>
      <c r="W82" s="1"/>
      <c r="X82" s="1">
        <f t="shared" ref="X82:X88" si="32">+P82-T82</f>
        <v>34111.5</v>
      </c>
      <c r="Y82" s="1"/>
      <c r="Z82" s="5">
        <f t="shared" ref="Z82:Z88" si="33">IF(T82=0,0,X82/T82)</f>
        <v>0.19071182027517988</v>
      </c>
    </row>
    <row r="83" spans="1:26" s="24" customFormat="1" hidden="1" outlineLevel="2" x14ac:dyDescent="0.25">
      <c r="A83" s="26"/>
      <c r="B83" s="11" t="str">
        <f>CONCATENATE("          ", "6002", " - ", "STAFF SALARIES")</f>
        <v xml:space="preserve">          6002 - STAFF SALARIES</v>
      </c>
      <c r="C83" s="11"/>
      <c r="D83" s="6">
        <v>7174.08</v>
      </c>
      <c r="E83" s="2"/>
      <c r="F83" s="7">
        <f t="shared" si="26"/>
        <v>2.3951750347954232E-2</v>
      </c>
      <c r="G83" s="2"/>
      <c r="H83" s="6">
        <v>9802.5</v>
      </c>
      <c r="I83" s="2"/>
      <c r="J83" s="7">
        <f t="shared" si="27"/>
        <v>2.6512629708020277E-2</v>
      </c>
      <c r="K83" s="2"/>
      <c r="L83" s="6">
        <f t="shared" si="28"/>
        <v>-2628.42</v>
      </c>
      <c r="M83" s="2"/>
      <c r="N83" s="7">
        <f t="shared" si="29"/>
        <v>-0.26813771996939556</v>
      </c>
      <c r="O83" s="11"/>
      <c r="P83" s="6">
        <v>61804.140000000007</v>
      </c>
      <c r="Q83" s="2"/>
      <c r="R83" s="7">
        <f t="shared" si="30"/>
        <v>3.5290264796753575E-2</v>
      </c>
      <c r="S83" s="2"/>
      <c r="T83" s="6">
        <v>55981.16</v>
      </c>
      <c r="U83" s="2"/>
      <c r="V83" s="7">
        <f t="shared" si="31"/>
        <v>3.4842939090265118E-2</v>
      </c>
      <c r="W83" s="2"/>
      <c r="X83" s="6">
        <f t="shared" si="32"/>
        <v>5822.9800000000032</v>
      </c>
      <c r="Y83" s="2"/>
      <c r="Z83" s="7">
        <f t="shared" si="33"/>
        <v>0.10401677993096253</v>
      </c>
    </row>
    <row r="84" spans="1:26" s="24" customFormat="1" hidden="1" outlineLevel="2" x14ac:dyDescent="0.25">
      <c r="A84" s="26"/>
      <c r="B84" s="11" t="str">
        <f>CONCATENATE("          ", "6004", " - ", "STAFF HOURLY")</f>
        <v xml:space="preserve">          6004 - STAFF HOURLY</v>
      </c>
      <c r="C84" s="11"/>
      <c r="D84" s="6"/>
      <c r="E84" s="2"/>
      <c r="F84" s="7">
        <f t="shared" si="26"/>
        <v>0</v>
      </c>
      <c r="G84" s="2"/>
      <c r="H84" s="6"/>
      <c r="I84" s="2"/>
      <c r="J84" s="7">
        <f t="shared" si="27"/>
        <v>0</v>
      </c>
      <c r="K84" s="2"/>
      <c r="L84" s="6">
        <f t="shared" si="28"/>
        <v>0</v>
      </c>
      <c r="M84" s="2"/>
      <c r="N84" s="7">
        <f t="shared" si="29"/>
        <v>0</v>
      </c>
      <c r="O84" s="11"/>
      <c r="P84" s="6">
        <v>-912.61</v>
      </c>
      <c r="Q84" s="2"/>
      <c r="R84" s="7">
        <f t="shared" si="30"/>
        <v>-5.2110179926725421E-4</v>
      </c>
      <c r="S84" s="2"/>
      <c r="T84" s="6"/>
      <c r="U84" s="2"/>
      <c r="V84" s="7">
        <f t="shared" si="31"/>
        <v>0</v>
      </c>
      <c r="W84" s="2"/>
      <c r="X84" s="6">
        <f t="shared" si="32"/>
        <v>-912.61</v>
      </c>
      <c r="Y84" s="2"/>
      <c r="Z84" s="7">
        <f t="shared" si="33"/>
        <v>0</v>
      </c>
    </row>
    <row r="85" spans="1:26" s="24" customFormat="1" hidden="1" outlineLevel="2" x14ac:dyDescent="0.25">
      <c r="A85" s="26"/>
      <c r="B85" s="11" t="str">
        <f>CONCATENATE("          ", "6005", " - ", "TEMPORARY WAGES-HOURLY")</f>
        <v xml:space="preserve">          6005 - TEMPORARY WAGES-HOURLY</v>
      </c>
      <c r="C85" s="11"/>
      <c r="D85" s="6">
        <v>5084.6000000000004</v>
      </c>
      <c r="E85" s="2"/>
      <c r="F85" s="7">
        <f t="shared" si="26"/>
        <v>1.6975705570499367E-2</v>
      </c>
      <c r="G85" s="2"/>
      <c r="H85" s="6">
        <v>6510.83</v>
      </c>
      <c r="I85" s="2"/>
      <c r="J85" s="7">
        <f t="shared" si="27"/>
        <v>1.7609714346530952E-2</v>
      </c>
      <c r="K85" s="2"/>
      <c r="L85" s="6">
        <f t="shared" si="28"/>
        <v>-1426.2299999999996</v>
      </c>
      <c r="M85" s="2"/>
      <c r="N85" s="7">
        <f t="shared" si="29"/>
        <v>-0.21905502063484986</v>
      </c>
      <c r="O85" s="11"/>
      <c r="P85" s="6">
        <v>26190.2</v>
      </c>
      <c r="Q85" s="2"/>
      <c r="R85" s="7">
        <f t="shared" si="30"/>
        <v>1.4954646939184583E-2</v>
      </c>
      <c r="S85" s="2"/>
      <c r="T85" s="6">
        <v>37076.199999999997</v>
      </c>
      <c r="U85" s="2"/>
      <c r="V85" s="7">
        <f t="shared" si="31"/>
        <v>2.3076402459300368E-2</v>
      </c>
      <c r="W85" s="2"/>
      <c r="X85" s="6">
        <f t="shared" si="32"/>
        <v>-10885.999999999996</v>
      </c>
      <c r="Y85" s="2"/>
      <c r="Z85" s="7">
        <f t="shared" si="33"/>
        <v>-0.29361153516271887</v>
      </c>
    </row>
    <row r="86" spans="1:26" s="24" customFormat="1" hidden="1" outlineLevel="2" x14ac:dyDescent="0.25">
      <c r="A86" s="26"/>
      <c r="B86" s="11" t="str">
        <f>CONCATENATE("          ", "6006", " - ", "TEMPORARY PART TIME")</f>
        <v xml:space="preserve">          6006 - TEMPORARY PART TIME</v>
      </c>
      <c r="C86" s="11"/>
      <c r="D86" s="6"/>
      <c r="E86" s="2"/>
      <c r="F86" s="7">
        <f t="shared" si="26"/>
        <v>0</v>
      </c>
      <c r="G86" s="2"/>
      <c r="H86" s="6"/>
      <c r="I86" s="2"/>
      <c r="J86" s="7">
        <f t="shared" si="27"/>
        <v>0</v>
      </c>
      <c r="K86" s="2"/>
      <c r="L86" s="6">
        <f t="shared" si="28"/>
        <v>0</v>
      </c>
      <c r="M86" s="2"/>
      <c r="N86" s="7">
        <f t="shared" si="29"/>
        <v>0</v>
      </c>
      <c r="O86" s="11"/>
      <c r="P86" s="6">
        <v>66.5</v>
      </c>
      <c r="Q86" s="2"/>
      <c r="R86" s="7">
        <f t="shared" si="30"/>
        <v>3.7971608519819426E-5</v>
      </c>
      <c r="S86" s="2"/>
      <c r="T86" s="6">
        <v>8452.0400000000009</v>
      </c>
      <c r="U86" s="2"/>
      <c r="V86" s="7">
        <f t="shared" si="31"/>
        <v>5.260589721765044E-3</v>
      </c>
      <c r="W86" s="2"/>
      <c r="X86" s="6">
        <f t="shared" si="32"/>
        <v>-8385.5400000000009</v>
      </c>
      <c r="Y86" s="2"/>
      <c r="Z86" s="7">
        <f t="shared" si="33"/>
        <v>-0.99213207698969719</v>
      </c>
    </row>
    <row r="87" spans="1:26" s="24" customFormat="1" hidden="1" outlineLevel="2" x14ac:dyDescent="0.25">
      <c r="A87" s="26"/>
      <c r="B87" s="11" t="str">
        <f>CONCATENATE("          ", "6007", " - ", "STUDENT HOURLY")</f>
        <v xml:space="preserve">          6007 - STUDENT HOURLY</v>
      </c>
      <c r="C87" s="11"/>
      <c r="D87" s="6">
        <v>16978.919999999998</v>
      </c>
      <c r="E87" s="2"/>
      <c r="F87" s="7">
        <f t="shared" si="26"/>
        <v>5.6686690560725145E-2</v>
      </c>
      <c r="G87" s="2"/>
      <c r="H87" s="6">
        <v>11166.52</v>
      </c>
      <c r="I87" s="2"/>
      <c r="J87" s="7">
        <f t="shared" si="27"/>
        <v>3.0201867879337169E-2</v>
      </c>
      <c r="K87" s="2"/>
      <c r="L87" s="6">
        <f t="shared" si="28"/>
        <v>5812.3999999999978</v>
      </c>
      <c r="M87" s="2"/>
      <c r="N87" s="7">
        <f t="shared" si="29"/>
        <v>0.52052026951995767</v>
      </c>
      <c r="O87" s="11"/>
      <c r="P87" s="6">
        <v>125632.37999999999</v>
      </c>
      <c r="Q87" s="2"/>
      <c r="R87" s="7">
        <f t="shared" si="30"/>
        <v>7.1736293996589345E-2</v>
      </c>
      <c r="S87" s="2"/>
      <c r="T87" s="6">
        <v>77214.460000000006</v>
      </c>
      <c r="U87" s="2"/>
      <c r="V87" s="7">
        <f t="shared" si="31"/>
        <v>4.8058645563395119E-2</v>
      </c>
      <c r="W87" s="2"/>
      <c r="X87" s="6">
        <f t="shared" si="32"/>
        <v>48417.919999999984</v>
      </c>
      <c r="Y87" s="2"/>
      <c r="Z87" s="7">
        <f t="shared" si="33"/>
        <v>0.62705767805667456</v>
      </c>
    </row>
    <row r="88" spans="1:26" s="24" customFormat="1" hidden="1" outlineLevel="2" x14ac:dyDescent="0.25">
      <c r="A88" s="26"/>
      <c r="B88" s="11" t="str">
        <f>CONCATENATE("          ", "6008", " - ", "STUDENT HOURLY-FICA EXEMPT")</f>
        <v xml:space="preserve">          6008 - STUDENT HOURLY-FICA EXEMPT</v>
      </c>
      <c r="C88" s="11"/>
      <c r="D88" s="6"/>
      <c r="E88" s="2"/>
      <c r="F88" s="7">
        <f t="shared" si="26"/>
        <v>0</v>
      </c>
      <c r="G88" s="2"/>
      <c r="H88" s="6"/>
      <c r="I88" s="2"/>
      <c r="J88" s="7">
        <f t="shared" si="27"/>
        <v>0</v>
      </c>
      <c r="K88" s="2"/>
      <c r="L88" s="6">
        <f t="shared" si="28"/>
        <v>0</v>
      </c>
      <c r="M88" s="2"/>
      <c r="N88" s="7">
        <f t="shared" si="29"/>
        <v>0</v>
      </c>
      <c r="O88" s="11"/>
      <c r="P88" s="6">
        <v>195</v>
      </c>
      <c r="Q88" s="2"/>
      <c r="R88" s="7">
        <f t="shared" si="30"/>
        <v>1.1134531821601185E-4</v>
      </c>
      <c r="S88" s="2"/>
      <c r="T88" s="6">
        <v>140.25</v>
      </c>
      <c r="U88" s="2"/>
      <c r="V88" s="7">
        <f t="shared" si="31"/>
        <v>8.7292264172619547E-5</v>
      </c>
      <c r="W88" s="2"/>
      <c r="X88" s="6">
        <f t="shared" si="32"/>
        <v>54.75</v>
      </c>
      <c r="Y88" s="2"/>
      <c r="Z88" s="7">
        <f t="shared" si="33"/>
        <v>0.39037433155080214</v>
      </c>
    </row>
    <row r="89" spans="1:26" s="27" customFormat="1" outlineLevel="1" collapsed="1" x14ac:dyDescent="0.25">
      <c r="A89" s="25"/>
      <c r="B89" s="13" t="str">
        <f>CONCATENATE("     ","Advertising/Promo                                 ")</f>
        <v xml:space="preserve">     Advertising/Promo                                 </v>
      </c>
      <c r="C89" s="13"/>
      <c r="D89" s="1">
        <f>SUM(OSRRefD22_2x_0)</f>
        <v>2766.48</v>
      </c>
      <c r="E89" s="1"/>
      <c r="F89" s="5">
        <f t="shared" ref="F89:F97" si="34">IF(D$12=0,0,D89/D$12)</f>
        <v>9.2363115971118848E-3</v>
      </c>
      <c r="G89" s="1"/>
      <c r="H89" s="1">
        <f>SUM(OSRRefH22_2x_0)</f>
        <v>1023.59</v>
      </c>
      <c r="I89" s="1"/>
      <c r="J89" s="5">
        <f t="shared" ref="J89:J97" si="35">IF(H$12=0,0,H89/H$12)</f>
        <v>2.7684838197227727E-3</v>
      </c>
      <c r="K89" s="1"/>
      <c r="L89" s="1">
        <f t="shared" ref="L89:L97" si="36">+D89-H89</f>
        <v>1742.8899999999999</v>
      </c>
      <c r="M89" s="1"/>
      <c r="N89" s="5">
        <f t="shared" ref="N89:N97" si="37">IF(H89=0,0,L89/H89)</f>
        <v>1.7027227698590255</v>
      </c>
      <c r="O89" s="13"/>
      <c r="P89" s="1">
        <f>SUM(OSRRefP22_2x_0)</f>
        <v>13840.02</v>
      </c>
      <c r="Q89" s="1"/>
      <c r="R89" s="5">
        <f t="shared" ref="R89:R97" si="38">IF(P$12=0,0,P89/P$12)</f>
        <v>7.9026740052100947E-3</v>
      </c>
      <c r="S89" s="1"/>
      <c r="T89" s="1">
        <f>SUM(OSRRefT22_2x_0)</f>
        <v>5502.44</v>
      </c>
      <c r="U89" s="1"/>
      <c r="V89" s="5">
        <f t="shared" ref="V89:V97" si="39">IF(T$12=0,0,T89/T$12)</f>
        <v>3.4247447135400261E-3</v>
      </c>
      <c r="W89" s="1"/>
      <c r="X89" s="1">
        <f t="shared" ref="X89:X97" si="40">+P89-T89</f>
        <v>8337.5800000000017</v>
      </c>
      <c r="Y89" s="1"/>
      <c r="Z89" s="5">
        <f t="shared" ref="Z89:Z97" si="41">IF(T89=0,0,X89/T89)</f>
        <v>1.515251415735565</v>
      </c>
    </row>
    <row r="90" spans="1:26" s="24" customFormat="1" hidden="1" outlineLevel="2" x14ac:dyDescent="0.25">
      <c r="A90" s="26"/>
      <c r="B90" s="11" t="str">
        <f>CONCATENATE("          ", "6362", " - ", "ADVERTISING EXPENSE")</f>
        <v xml:space="preserve">          6362 - ADVERTISING EXPENSE</v>
      </c>
      <c r="C90" s="11"/>
      <c r="D90" s="6">
        <v>2766.48</v>
      </c>
      <c r="E90" s="2"/>
      <c r="F90" s="7">
        <f t="shared" si="34"/>
        <v>9.2363115971118848E-3</v>
      </c>
      <c r="G90" s="2"/>
      <c r="H90" s="6">
        <v>1023.59</v>
      </c>
      <c r="I90" s="2"/>
      <c r="J90" s="7">
        <f t="shared" si="35"/>
        <v>2.7684838197227727E-3</v>
      </c>
      <c r="K90" s="2"/>
      <c r="L90" s="6">
        <f t="shared" si="36"/>
        <v>1742.8899999999999</v>
      </c>
      <c r="M90" s="2"/>
      <c r="N90" s="7">
        <f t="shared" si="37"/>
        <v>1.7027227698590255</v>
      </c>
      <c r="O90" s="11"/>
      <c r="P90" s="6">
        <v>13840.02</v>
      </c>
      <c r="Q90" s="2"/>
      <c r="R90" s="7">
        <f t="shared" si="38"/>
        <v>7.9026740052100947E-3</v>
      </c>
      <c r="S90" s="2"/>
      <c r="T90" s="6">
        <v>5502.44</v>
      </c>
      <c r="U90" s="2"/>
      <c r="V90" s="7">
        <f t="shared" si="39"/>
        <v>3.4247447135400261E-3</v>
      </c>
      <c r="W90" s="2"/>
      <c r="X90" s="6">
        <f t="shared" si="40"/>
        <v>8337.5800000000017</v>
      </c>
      <c r="Y90" s="2"/>
      <c r="Z90" s="7">
        <f t="shared" si="41"/>
        <v>1.515251415735565</v>
      </c>
    </row>
    <row r="91" spans="1:26" s="27" customFormat="1" outlineLevel="1" collapsed="1" x14ac:dyDescent="0.25">
      <c r="A91" s="25"/>
      <c r="B91" s="13" t="str">
        <f>CONCATENATE("     ","Bad Debts/Over/Short                              ")</f>
        <v xml:space="preserve">     Bad Debts/Over/Short                              </v>
      </c>
      <c r="C91" s="13"/>
      <c r="D91" s="1">
        <f>SUM(OSRRefD22_3x_0)</f>
        <v>18.809999999999999</v>
      </c>
      <c r="E91" s="1"/>
      <c r="F91" s="5">
        <f t="shared" si="34"/>
        <v>6.2800027884414323E-5</v>
      </c>
      <c r="G91" s="1"/>
      <c r="H91" s="1">
        <f>SUM(OSRRefH22_3x_0)</f>
        <v>-1.05</v>
      </c>
      <c r="I91" s="1"/>
      <c r="J91" s="5">
        <f t="shared" si="35"/>
        <v>-2.8399144293212235E-6</v>
      </c>
      <c r="K91" s="1"/>
      <c r="L91" s="1">
        <f t="shared" si="36"/>
        <v>19.86</v>
      </c>
      <c r="M91" s="1"/>
      <c r="N91" s="5">
        <f t="shared" si="37"/>
        <v>-18.914285714285715</v>
      </c>
      <c r="O91" s="13"/>
      <c r="P91" s="1">
        <f>SUM(OSRRefP22_3x_0)</f>
        <v>45.94</v>
      </c>
      <c r="Q91" s="1"/>
      <c r="R91" s="5">
        <f t="shared" si="38"/>
        <v>2.6231814968428639E-5</v>
      </c>
      <c r="S91" s="1"/>
      <c r="T91" s="1">
        <f>SUM(OSRRefT22_3x_0)</f>
        <v>97.99</v>
      </c>
      <c r="U91" s="1"/>
      <c r="V91" s="5">
        <f t="shared" si="39"/>
        <v>6.0989440044741451E-5</v>
      </c>
      <c r="W91" s="1"/>
      <c r="X91" s="1">
        <f t="shared" si="40"/>
        <v>-52.05</v>
      </c>
      <c r="Y91" s="1"/>
      <c r="Z91" s="5">
        <f t="shared" si="41"/>
        <v>-0.53117665067864073</v>
      </c>
    </row>
    <row r="92" spans="1:26" s="24" customFormat="1" hidden="1" outlineLevel="2" x14ac:dyDescent="0.25">
      <c r="A92" s="26"/>
      <c r="B92" s="11" t="str">
        <f>CONCATENATE("          ", "6272", " - ", "CASH (OVER/SHORT)")</f>
        <v xml:space="preserve">          6272 - CASH (OVER/SHORT)</v>
      </c>
      <c r="C92" s="11"/>
      <c r="D92" s="6">
        <v>18.809999999999999</v>
      </c>
      <c r="E92" s="2"/>
      <c r="F92" s="7">
        <f t="shared" si="34"/>
        <v>6.2800027884414323E-5</v>
      </c>
      <c r="G92" s="2"/>
      <c r="H92" s="6">
        <v>-1.05</v>
      </c>
      <c r="I92" s="2"/>
      <c r="J92" s="7">
        <f t="shared" si="35"/>
        <v>-2.8399144293212235E-6</v>
      </c>
      <c r="K92" s="2"/>
      <c r="L92" s="6">
        <f t="shared" si="36"/>
        <v>19.86</v>
      </c>
      <c r="M92" s="2"/>
      <c r="N92" s="7">
        <f t="shared" si="37"/>
        <v>-18.914285714285715</v>
      </c>
      <c r="O92" s="11"/>
      <c r="P92" s="6">
        <v>45.94</v>
      </c>
      <c r="Q92" s="2"/>
      <c r="R92" s="7">
        <f t="shared" si="38"/>
        <v>2.6231814968428639E-5</v>
      </c>
      <c r="S92" s="2"/>
      <c r="T92" s="6">
        <v>97.99</v>
      </c>
      <c r="U92" s="2"/>
      <c r="V92" s="7">
        <f t="shared" si="39"/>
        <v>6.0989440044741451E-5</v>
      </c>
      <c r="W92" s="2"/>
      <c r="X92" s="6">
        <f t="shared" si="40"/>
        <v>-52.05</v>
      </c>
      <c r="Y92" s="2"/>
      <c r="Z92" s="7">
        <f t="shared" si="41"/>
        <v>-0.53117665067864073</v>
      </c>
    </row>
    <row r="93" spans="1:26" s="27" customFormat="1" outlineLevel="1" collapsed="1" x14ac:dyDescent="0.25">
      <c r="A93" s="25"/>
      <c r="B93" s="13" t="str">
        <f>CONCATENATE("     ","Bank/card Fees                                    ")</f>
        <v xml:space="preserve">     Bank/card Fees                                    </v>
      </c>
      <c r="C93" s="13"/>
      <c r="D93" s="1">
        <f>SUM(OSRRefD22_4x_0)</f>
        <v>1503.49</v>
      </c>
      <c r="E93" s="1"/>
      <c r="F93" s="5">
        <f t="shared" si="34"/>
        <v>5.019628597763854E-3</v>
      </c>
      <c r="G93" s="1"/>
      <c r="H93" s="1">
        <f>SUM(OSRRefH22_4x_0)</f>
        <v>1178.8599999999999</v>
      </c>
      <c r="I93" s="1"/>
      <c r="J93" s="5">
        <f t="shared" si="35"/>
        <v>3.1884395468091591E-3</v>
      </c>
      <c r="K93" s="1"/>
      <c r="L93" s="1">
        <f t="shared" si="36"/>
        <v>324.63000000000011</v>
      </c>
      <c r="M93" s="1"/>
      <c r="N93" s="5">
        <f t="shared" si="37"/>
        <v>0.27537621091563047</v>
      </c>
      <c r="O93" s="13"/>
      <c r="P93" s="1">
        <f>SUM(OSRRefP22_4x_0)</f>
        <v>4684.47</v>
      </c>
      <c r="Q93" s="1"/>
      <c r="R93" s="5">
        <f t="shared" si="38"/>
        <v>2.6748400144787749E-3</v>
      </c>
      <c r="S93" s="1"/>
      <c r="T93" s="1">
        <f>SUM(OSRRefT22_4x_0)</f>
        <v>4132.55</v>
      </c>
      <c r="U93" s="1"/>
      <c r="V93" s="5">
        <f t="shared" si="39"/>
        <v>2.5721186902428442E-3</v>
      </c>
      <c r="W93" s="1"/>
      <c r="X93" s="1">
        <f t="shared" si="40"/>
        <v>551.92000000000007</v>
      </c>
      <c r="Y93" s="1"/>
      <c r="Z93" s="5">
        <f t="shared" si="41"/>
        <v>0.13355434296015778</v>
      </c>
    </row>
    <row r="94" spans="1:26" s="24" customFormat="1" hidden="1" outlineLevel="2" x14ac:dyDescent="0.25">
      <c r="A94" s="26"/>
      <c r="B94" s="11" t="str">
        <f>CONCATENATE("          ", "6381", " - ", "BANK/CREDIT CARD FEES")</f>
        <v xml:space="preserve">          6381 - BANK/CREDIT CARD FEES</v>
      </c>
      <c r="C94" s="11"/>
      <c r="D94" s="6">
        <v>1503.49</v>
      </c>
      <c r="E94" s="2"/>
      <c r="F94" s="7">
        <f t="shared" si="34"/>
        <v>5.019628597763854E-3</v>
      </c>
      <c r="G94" s="2"/>
      <c r="H94" s="6">
        <v>1178.8599999999999</v>
      </c>
      <c r="I94" s="2"/>
      <c r="J94" s="7">
        <f t="shared" si="35"/>
        <v>3.1884395468091591E-3</v>
      </c>
      <c r="K94" s="2"/>
      <c r="L94" s="6">
        <f t="shared" si="36"/>
        <v>324.63000000000011</v>
      </c>
      <c r="M94" s="2"/>
      <c r="N94" s="7">
        <f t="shared" si="37"/>
        <v>0.27537621091563047</v>
      </c>
      <c r="O94" s="11"/>
      <c r="P94" s="6">
        <v>4684.47</v>
      </c>
      <c r="Q94" s="2"/>
      <c r="R94" s="7">
        <f t="shared" si="38"/>
        <v>2.6748400144787749E-3</v>
      </c>
      <c r="S94" s="2"/>
      <c r="T94" s="6">
        <v>4132.55</v>
      </c>
      <c r="U94" s="2"/>
      <c r="V94" s="7">
        <f t="shared" si="39"/>
        <v>2.5721186902428442E-3</v>
      </c>
      <c r="W94" s="2"/>
      <c r="X94" s="6">
        <f t="shared" si="40"/>
        <v>551.92000000000007</v>
      </c>
      <c r="Y94" s="2"/>
      <c r="Z94" s="7">
        <f t="shared" si="41"/>
        <v>0.13355434296015778</v>
      </c>
    </row>
    <row r="95" spans="1:26" s="27" customFormat="1" outlineLevel="1" collapsed="1" x14ac:dyDescent="0.25">
      <c r="A95" s="25"/>
      <c r="B95" s="13" t="str">
        <f>CONCATENATE("     ","Discounts and Markdowns                           ")</f>
        <v xml:space="preserve">     Discounts and Markdowns                           </v>
      </c>
      <c r="C95" s="13"/>
      <c r="D95" s="1">
        <f>SUM(OSRRefD22_5x_0)</f>
        <v>39053.350000000006</v>
      </c>
      <c r="E95" s="1"/>
      <c r="F95" s="5">
        <f t="shared" si="34"/>
        <v>0.13038551137585289</v>
      </c>
      <c r="G95" s="1"/>
      <c r="H95" s="1">
        <f>SUM(OSRRefH22_5x_0)</f>
        <v>50615.030000000006</v>
      </c>
      <c r="I95" s="1"/>
      <c r="J95" s="5">
        <f t="shared" si="35"/>
        <v>0.13689748003573965</v>
      </c>
      <c r="K95" s="1"/>
      <c r="L95" s="1">
        <f t="shared" si="36"/>
        <v>-11561.68</v>
      </c>
      <c r="M95" s="1"/>
      <c r="N95" s="5">
        <f t="shared" si="37"/>
        <v>-0.22842384959566356</v>
      </c>
      <c r="O95" s="13"/>
      <c r="P95" s="1">
        <f>SUM(OSRRefP22_5x_0)</f>
        <v>179108.32</v>
      </c>
      <c r="Q95" s="1"/>
      <c r="R95" s="5">
        <f t="shared" si="38"/>
        <v>0.10227114300274504</v>
      </c>
      <c r="S95" s="1"/>
      <c r="T95" s="1">
        <f>SUM(OSRRefT22_5x_0)</f>
        <v>141415.29</v>
      </c>
      <c r="U95" s="1"/>
      <c r="V95" s="5">
        <f t="shared" si="39"/>
        <v>8.8017546187006079E-2</v>
      </c>
      <c r="W95" s="1"/>
      <c r="X95" s="1">
        <f t="shared" si="40"/>
        <v>37693.03</v>
      </c>
      <c r="Y95" s="1"/>
      <c r="Z95" s="5">
        <f t="shared" si="41"/>
        <v>0.26654140439835039</v>
      </c>
    </row>
    <row r="96" spans="1:26" s="24" customFormat="1" hidden="1" outlineLevel="2" x14ac:dyDescent="0.25">
      <c r="A96" s="26"/>
      <c r="B96" s="11" t="str">
        <f>CONCATENATE("          ", "6382", " - ", "DISCOUNTS/MARK DOWNS")</f>
        <v xml:space="preserve">          6382 - DISCOUNTS/MARK DOWNS</v>
      </c>
      <c r="C96" s="11"/>
      <c r="D96" s="6">
        <v>39065.270000000004</v>
      </c>
      <c r="E96" s="2"/>
      <c r="F96" s="7">
        <f t="shared" si="34"/>
        <v>0.1304253080974043</v>
      </c>
      <c r="G96" s="2"/>
      <c r="H96" s="6">
        <v>50613.590000000004</v>
      </c>
      <c r="I96" s="2"/>
      <c r="J96" s="7">
        <f t="shared" si="35"/>
        <v>0.13689358529595086</v>
      </c>
      <c r="K96" s="2"/>
      <c r="L96" s="6">
        <f t="shared" si="36"/>
        <v>-11548.32</v>
      </c>
      <c r="M96" s="2"/>
      <c r="N96" s="7">
        <f t="shared" si="37"/>
        <v>-0.22816638772313916</v>
      </c>
      <c r="O96" s="11"/>
      <c r="P96" s="6">
        <v>179127.71000000002</v>
      </c>
      <c r="Q96" s="2"/>
      <c r="R96" s="7">
        <f t="shared" si="38"/>
        <v>0.10228221472438713</v>
      </c>
      <c r="S96" s="2"/>
      <c r="T96" s="6">
        <v>141415.29</v>
      </c>
      <c r="U96" s="2"/>
      <c r="V96" s="7">
        <f t="shared" si="39"/>
        <v>8.8017546187006079E-2</v>
      </c>
      <c r="W96" s="2"/>
      <c r="X96" s="6">
        <f t="shared" si="40"/>
        <v>37712.420000000013</v>
      </c>
      <c r="Y96" s="2"/>
      <c r="Z96" s="7">
        <f t="shared" si="41"/>
        <v>0.26667851828469191</v>
      </c>
    </row>
    <row r="97" spans="1:26" s="24" customFormat="1" hidden="1" outlineLevel="2" x14ac:dyDescent="0.25">
      <c r="A97" s="26"/>
      <c r="B97" s="11" t="str">
        <f>CONCATENATE("          ", "9175", " - ", "EARNED DISCOUNTS")</f>
        <v xml:space="preserve">          9175 - EARNED DISCOUNTS</v>
      </c>
      <c r="C97" s="11"/>
      <c r="D97" s="6">
        <v>-11.92</v>
      </c>
      <c r="E97" s="2"/>
      <c r="F97" s="7">
        <f t="shared" si="34"/>
        <v>-3.9796721551420457E-5</v>
      </c>
      <c r="G97" s="2"/>
      <c r="H97" s="6">
        <v>1.44</v>
      </c>
      <c r="I97" s="2"/>
      <c r="J97" s="7">
        <f t="shared" si="35"/>
        <v>3.8947397887833921E-6</v>
      </c>
      <c r="K97" s="2"/>
      <c r="L97" s="6">
        <f t="shared" si="36"/>
        <v>-13.36</v>
      </c>
      <c r="M97" s="2"/>
      <c r="N97" s="7">
        <f t="shared" si="37"/>
        <v>-9.2777777777777786</v>
      </c>
      <c r="O97" s="11"/>
      <c r="P97" s="6">
        <v>-19.39</v>
      </c>
      <c r="Q97" s="2"/>
      <c r="R97" s="7">
        <f t="shared" si="38"/>
        <v>-1.1071721642094717E-5</v>
      </c>
      <c r="S97" s="2"/>
      <c r="T97" s="6">
        <v>0</v>
      </c>
      <c r="U97" s="2"/>
      <c r="V97" s="7">
        <f t="shared" si="39"/>
        <v>0</v>
      </c>
      <c r="W97" s="2"/>
      <c r="X97" s="6">
        <f t="shared" si="40"/>
        <v>-19.39</v>
      </c>
      <c r="Y97" s="2"/>
      <c r="Z97" s="7">
        <f t="shared" si="41"/>
        <v>0</v>
      </c>
    </row>
    <row r="98" spans="1:26" s="27" customFormat="1" outlineLevel="1" collapsed="1" x14ac:dyDescent="0.25">
      <c r="A98" s="25"/>
      <c r="B98" s="13" t="str">
        <f>CONCATENATE("     ","Donations                                         ")</f>
        <v xml:space="preserve">     Donations                                         </v>
      </c>
      <c r="C98" s="13"/>
      <c r="D98" s="1">
        <f>SUM(OSRRefD22_6x_0)</f>
        <v>0</v>
      </c>
      <c r="E98" s="1"/>
      <c r="F98" s="5">
        <f t="shared" ref="F98:F104" si="42">IF(D$12=0,0,D98/D$12)</f>
        <v>0</v>
      </c>
      <c r="G98" s="1"/>
      <c r="H98" s="1">
        <f>SUM(OSRRefH22_6x_0)</f>
        <v>0</v>
      </c>
      <c r="I98" s="1"/>
      <c r="J98" s="5">
        <f t="shared" ref="J98:J104" si="43">IF(H$12=0,0,H98/H$12)</f>
        <v>0</v>
      </c>
      <c r="K98" s="1"/>
      <c r="L98" s="1">
        <f t="shared" ref="L98:L104" si="44">+D98-H98</f>
        <v>0</v>
      </c>
      <c r="M98" s="1"/>
      <c r="N98" s="5">
        <f t="shared" ref="N98:N104" si="45">IF(H98=0,0,L98/H98)</f>
        <v>0</v>
      </c>
      <c r="O98" s="13"/>
      <c r="P98" s="1">
        <f>SUM(OSRRefP22_6x_0)</f>
        <v>0</v>
      </c>
      <c r="Q98" s="1"/>
      <c r="R98" s="5">
        <f t="shared" ref="R98:R104" si="46">IF(P$12=0,0,P98/P$12)</f>
        <v>0</v>
      </c>
      <c r="S98" s="1"/>
      <c r="T98" s="1">
        <f>SUM(OSRRefT22_6x_0)</f>
        <v>124.88</v>
      </c>
      <c r="U98" s="1"/>
      <c r="V98" s="5">
        <f t="shared" ref="V98:V104" si="47">IF(T$12=0,0,T98/T$12)</f>
        <v>7.7725903385930331E-5</v>
      </c>
      <c r="W98" s="1"/>
      <c r="X98" s="1">
        <f t="shared" ref="X98:X104" si="48">+P98-T98</f>
        <v>-124.88</v>
      </c>
      <c r="Y98" s="1"/>
      <c r="Z98" s="5">
        <f t="shared" ref="Z98:Z104" si="49">IF(T98=0,0,X98/T98)</f>
        <v>-1</v>
      </c>
    </row>
    <row r="99" spans="1:26" s="24" customFormat="1" hidden="1" outlineLevel="2" x14ac:dyDescent="0.25">
      <c r="A99" s="26"/>
      <c r="B99" s="11" t="str">
        <f>CONCATENATE("          ", "6399", " - ", "DONATION-ON CAMPUS")</f>
        <v xml:space="preserve">          6399 - DONATION-ON CAMPUS</v>
      </c>
      <c r="C99" s="11"/>
      <c r="D99" s="6"/>
      <c r="E99" s="2"/>
      <c r="F99" s="7">
        <f t="shared" si="42"/>
        <v>0</v>
      </c>
      <c r="G99" s="2"/>
      <c r="H99" s="6"/>
      <c r="I99" s="2"/>
      <c r="J99" s="7">
        <f t="shared" si="43"/>
        <v>0</v>
      </c>
      <c r="K99" s="2"/>
      <c r="L99" s="6">
        <f t="shared" si="44"/>
        <v>0</v>
      </c>
      <c r="M99" s="2"/>
      <c r="N99" s="7">
        <f t="shared" si="45"/>
        <v>0</v>
      </c>
      <c r="O99" s="11"/>
      <c r="P99" s="6"/>
      <c r="Q99" s="2"/>
      <c r="R99" s="7">
        <f t="shared" si="46"/>
        <v>0</v>
      </c>
      <c r="S99" s="2"/>
      <c r="T99" s="6">
        <v>124.88</v>
      </c>
      <c r="U99" s="2"/>
      <c r="V99" s="7">
        <f t="shared" si="47"/>
        <v>7.7725903385930331E-5</v>
      </c>
      <c r="W99" s="2"/>
      <c r="X99" s="6">
        <f t="shared" si="48"/>
        <v>-124.88</v>
      </c>
      <c r="Y99" s="2"/>
      <c r="Z99" s="7">
        <f t="shared" si="49"/>
        <v>-1</v>
      </c>
    </row>
    <row r="100" spans="1:26" s="27" customFormat="1" outlineLevel="1" collapsed="1" x14ac:dyDescent="0.25">
      <c r="A100" s="25"/>
      <c r="B100" s="13" t="str">
        <f>CONCATENATE("     ","Employees' Appreciation                           ")</f>
        <v xml:space="preserve">     Employees' Appreciation                           </v>
      </c>
      <c r="C100" s="13"/>
      <c r="D100" s="1">
        <f>SUM(OSRRefD22_7x_0)</f>
        <v>0</v>
      </c>
      <c r="E100" s="1"/>
      <c r="F100" s="5">
        <f t="shared" si="42"/>
        <v>0</v>
      </c>
      <c r="G100" s="1"/>
      <c r="H100" s="1">
        <f>SUM(OSRRefH22_7x_0)</f>
        <v>209.98</v>
      </c>
      <c r="I100" s="1"/>
      <c r="J100" s="5">
        <f t="shared" si="43"/>
        <v>5.6792879225606705E-4</v>
      </c>
      <c r="K100" s="1"/>
      <c r="L100" s="1">
        <f t="shared" si="44"/>
        <v>-209.98</v>
      </c>
      <c r="M100" s="1"/>
      <c r="N100" s="5">
        <f t="shared" si="45"/>
        <v>-1</v>
      </c>
      <c r="O100" s="13"/>
      <c r="P100" s="1">
        <f>SUM(OSRRefP22_7x_0)</f>
        <v>330.41</v>
      </c>
      <c r="Q100" s="1"/>
      <c r="R100" s="5">
        <f t="shared" si="46"/>
        <v>1.8866464918847425E-4</v>
      </c>
      <c r="S100" s="1"/>
      <c r="T100" s="1">
        <f>SUM(OSRRefT22_7x_0)</f>
        <v>374.27</v>
      </c>
      <c r="U100" s="1"/>
      <c r="V100" s="5">
        <f t="shared" si="47"/>
        <v>2.3294742040560652E-4</v>
      </c>
      <c r="W100" s="1"/>
      <c r="X100" s="1">
        <f t="shared" si="48"/>
        <v>-43.859999999999957</v>
      </c>
      <c r="Y100" s="1"/>
      <c r="Z100" s="5">
        <f t="shared" si="49"/>
        <v>-0.11718812621903962</v>
      </c>
    </row>
    <row r="101" spans="1:26" s="24" customFormat="1" hidden="1" outlineLevel="2" x14ac:dyDescent="0.25">
      <c r="A101" s="26"/>
      <c r="B101" s="11" t="str">
        <f>CONCATENATE("          ", "6277", " - ", "EMPLOYEE APPRECIATION")</f>
        <v xml:space="preserve">          6277 - EMPLOYEE APPRECIATION</v>
      </c>
      <c r="C101" s="11"/>
      <c r="D101" s="6"/>
      <c r="E101" s="2"/>
      <c r="F101" s="7">
        <f t="shared" si="42"/>
        <v>0</v>
      </c>
      <c r="G101" s="2"/>
      <c r="H101" s="6">
        <v>209.98</v>
      </c>
      <c r="I101" s="2"/>
      <c r="J101" s="7">
        <f t="shared" si="43"/>
        <v>5.6792879225606705E-4</v>
      </c>
      <c r="K101" s="2"/>
      <c r="L101" s="6">
        <f t="shared" si="44"/>
        <v>-209.98</v>
      </c>
      <c r="M101" s="2"/>
      <c r="N101" s="7">
        <f t="shared" si="45"/>
        <v>-1</v>
      </c>
      <c r="O101" s="11"/>
      <c r="P101" s="6">
        <v>330.41</v>
      </c>
      <c r="Q101" s="2"/>
      <c r="R101" s="7">
        <f t="shared" si="46"/>
        <v>1.8866464918847425E-4</v>
      </c>
      <c r="S101" s="2"/>
      <c r="T101" s="6">
        <v>374.27</v>
      </c>
      <c r="U101" s="2"/>
      <c r="V101" s="7">
        <f t="shared" si="47"/>
        <v>2.3294742040560652E-4</v>
      </c>
      <c r="W101" s="2"/>
      <c r="X101" s="6">
        <f t="shared" si="48"/>
        <v>-43.859999999999957</v>
      </c>
      <c r="Y101" s="2"/>
      <c r="Z101" s="7">
        <f t="shared" si="49"/>
        <v>-0.11718812621903962</v>
      </c>
    </row>
    <row r="102" spans="1:26" s="27" customFormat="1" outlineLevel="1" collapsed="1" x14ac:dyDescent="0.25">
      <c r="A102" s="25"/>
      <c r="B102" s="13" t="str">
        <f>CONCATENATE("     ","Freight out/Postage                               ")</f>
        <v xml:space="preserve">     Freight out/Postage                               </v>
      </c>
      <c r="C102" s="13"/>
      <c r="D102" s="1">
        <f>SUM(OSRRefD22_8x_0)</f>
        <v>0</v>
      </c>
      <c r="E102" s="1"/>
      <c r="F102" s="5">
        <f t="shared" si="42"/>
        <v>0</v>
      </c>
      <c r="G102" s="1"/>
      <c r="H102" s="1">
        <f>SUM(OSRRefH22_8x_0)</f>
        <v>3.71</v>
      </c>
      <c r="I102" s="1"/>
      <c r="J102" s="5">
        <f t="shared" si="43"/>
        <v>1.0034364316934989E-5</v>
      </c>
      <c r="K102" s="1"/>
      <c r="L102" s="1">
        <f t="shared" si="44"/>
        <v>-3.71</v>
      </c>
      <c r="M102" s="1"/>
      <c r="N102" s="5">
        <f t="shared" si="45"/>
        <v>-1</v>
      </c>
      <c r="O102" s="13"/>
      <c r="P102" s="1">
        <f>SUM(OSRRefP22_8x_0)</f>
        <v>70.5</v>
      </c>
      <c r="Q102" s="1"/>
      <c r="R102" s="5">
        <f t="shared" si="46"/>
        <v>4.0255615047327365E-5</v>
      </c>
      <c r="S102" s="1"/>
      <c r="T102" s="1">
        <f>SUM(OSRRefT22_8x_0)</f>
        <v>27.31</v>
      </c>
      <c r="U102" s="1"/>
      <c r="V102" s="5">
        <f t="shared" si="47"/>
        <v>1.6997873330155006E-5</v>
      </c>
      <c r="W102" s="1"/>
      <c r="X102" s="1">
        <f t="shared" si="48"/>
        <v>43.19</v>
      </c>
      <c r="Y102" s="1"/>
      <c r="Z102" s="5">
        <f t="shared" si="49"/>
        <v>1.5814719882826804</v>
      </c>
    </row>
    <row r="103" spans="1:26" s="24" customFormat="1" hidden="1" outlineLevel="2" x14ac:dyDescent="0.25">
      <c r="A103" s="26"/>
      <c r="B103" s="11" t="str">
        <f>CONCATENATE("          ", "6305", " - ", "FREIGHT OUT")</f>
        <v xml:space="preserve">          6305 - FREIGHT OUT</v>
      </c>
      <c r="C103" s="11"/>
      <c r="D103" s="6"/>
      <c r="E103" s="2"/>
      <c r="F103" s="7">
        <f t="shared" si="42"/>
        <v>0</v>
      </c>
      <c r="G103" s="2"/>
      <c r="H103" s="6">
        <v>3.71</v>
      </c>
      <c r="I103" s="2"/>
      <c r="J103" s="7">
        <f t="shared" si="43"/>
        <v>1.0034364316934989E-5</v>
      </c>
      <c r="K103" s="2"/>
      <c r="L103" s="6">
        <f t="shared" si="44"/>
        <v>-3.71</v>
      </c>
      <c r="M103" s="2"/>
      <c r="N103" s="7">
        <f t="shared" si="45"/>
        <v>-1</v>
      </c>
      <c r="O103" s="11"/>
      <c r="P103" s="6">
        <v>70</v>
      </c>
      <c r="Q103" s="2"/>
      <c r="R103" s="7">
        <f t="shared" si="46"/>
        <v>3.9970114231388873E-5</v>
      </c>
      <c r="S103" s="2"/>
      <c r="T103" s="6">
        <v>27.31</v>
      </c>
      <c r="U103" s="2"/>
      <c r="V103" s="7">
        <f t="shared" si="47"/>
        <v>1.6997873330155006E-5</v>
      </c>
      <c r="W103" s="2"/>
      <c r="X103" s="6">
        <f t="shared" si="48"/>
        <v>42.69</v>
      </c>
      <c r="Y103" s="2"/>
      <c r="Z103" s="7">
        <f t="shared" si="49"/>
        <v>1.5631636763090444</v>
      </c>
    </row>
    <row r="104" spans="1:26" s="24" customFormat="1" hidden="1" outlineLevel="2" x14ac:dyDescent="0.25">
      <c r="A104" s="26"/>
      <c r="B104" s="11" t="str">
        <f>CONCATENATE("          ", "6307", " - ", "POSTAGE")</f>
        <v xml:space="preserve">          6307 - POSTAGE</v>
      </c>
      <c r="C104" s="11"/>
      <c r="D104" s="6"/>
      <c r="E104" s="2"/>
      <c r="F104" s="7">
        <f t="shared" si="42"/>
        <v>0</v>
      </c>
      <c r="G104" s="2"/>
      <c r="H104" s="6"/>
      <c r="I104" s="2"/>
      <c r="J104" s="7">
        <f t="shared" si="43"/>
        <v>0</v>
      </c>
      <c r="K104" s="2"/>
      <c r="L104" s="6">
        <f t="shared" si="44"/>
        <v>0</v>
      </c>
      <c r="M104" s="2"/>
      <c r="N104" s="7">
        <f t="shared" si="45"/>
        <v>0</v>
      </c>
      <c r="O104" s="11"/>
      <c r="P104" s="6">
        <v>0.5</v>
      </c>
      <c r="Q104" s="2"/>
      <c r="R104" s="7">
        <f t="shared" si="46"/>
        <v>2.8550081593849191E-7</v>
      </c>
      <c r="S104" s="2"/>
      <c r="T104" s="6"/>
      <c r="U104" s="2"/>
      <c r="V104" s="7">
        <f t="shared" si="47"/>
        <v>0</v>
      </c>
      <c r="W104" s="2"/>
      <c r="X104" s="6">
        <f t="shared" si="48"/>
        <v>0.5</v>
      </c>
      <c r="Y104" s="2"/>
      <c r="Z104" s="7">
        <f t="shared" si="49"/>
        <v>0</v>
      </c>
    </row>
    <row r="105" spans="1:26" s="27" customFormat="1" outlineLevel="1" collapsed="1" x14ac:dyDescent="0.25">
      <c r="A105" s="25"/>
      <c r="B105" s="13" t="str">
        <f>CONCATENATE("     ","General                                           ")</f>
        <v xml:space="preserve">     General                                           </v>
      </c>
      <c r="C105" s="13"/>
      <c r="D105" s="1">
        <f>SUM(OSRRefD22_9x_0)</f>
        <v>160</v>
      </c>
      <c r="E105" s="1"/>
      <c r="F105" s="5">
        <f t="shared" ref="F105:F118" si="50">IF(D$12=0,0,D105/D$12)</f>
        <v>5.3418418189826115E-4</v>
      </c>
      <c r="G105" s="1"/>
      <c r="H105" s="1">
        <f>SUM(OSRRefH22_9x_0)</f>
        <v>160</v>
      </c>
      <c r="I105" s="1"/>
      <c r="J105" s="5">
        <f t="shared" ref="J105:J118" si="51">IF(H$12=0,0,H105/H$12)</f>
        <v>4.3274886542037691E-4</v>
      </c>
      <c r="K105" s="1"/>
      <c r="L105" s="1">
        <f t="shared" ref="L105:L118" si="52">+D105-H105</f>
        <v>0</v>
      </c>
      <c r="M105" s="1"/>
      <c r="N105" s="5">
        <f t="shared" ref="N105:N118" si="53">IF(H105=0,0,L105/H105)</f>
        <v>0</v>
      </c>
      <c r="O105" s="13"/>
      <c r="P105" s="1">
        <f>SUM(OSRRefP22_9x_0)</f>
        <v>1271.44</v>
      </c>
      <c r="Q105" s="1"/>
      <c r="R105" s="5">
        <f t="shared" ref="R105:R118" si="54">IF(P$12=0,0,P105/P$12)</f>
        <v>7.2599431483367236E-4</v>
      </c>
      <c r="S105" s="1"/>
      <c r="T105" s="1">
        <f>SUM(OSRRefT22_9x_0)</f>
        <v>1406.72</v>
      </c>
      <c r="U105" s="1"/>
      <c r="V105" s="5">
        <f t="shared" ref="V105:V118" si="55">IF(T$12=0,0,T105/T$12)</f>
        <v>8.7554918971056951E-4</v>
      </c>
      <c r="W105" s="1"/>
      <c r="X105" s="1">
        <f t="shared" ref="X105:X118" si="56">+P105-T105</f>
        <v>-135.27999999999997</v>
      </c>
      <c r="Y105" s="1"/>
      <c r="Z105" s="5">
        <f t="shared" ref="Z105:Z118" si="57">IF(T105=0,0,X105/T105)</f>
        <v>-9.6166969972702437E-2</v>
      </c>
    </row>
    <row r="106" spans="1:26" s="24" customFormat="1" hidden="1" outlineLevel="2" x14ac:dyDescent="0.25">
      <c r="A106" s="26"/>
      <c r="B106" s="11" t="str">
        <f>CONCATENATE("          ", "6279", " - ", "GENERAL EXPENSE")</f>
        <v xml:space="preserve">          6279 - GENERAL EXPENSE</v>
      </c>
      <c r="C106" s="11"/>
      <c r="D106" s="6">
        <v>160</v>
      </c>
      <c r="E106" s="2"/>
      <c r="F106" s="7">
        <f t="shared" si="50"/>
        <v>5.3418418189826115E-4</v>
      </c>
      <c r="G106" s="2"/>
      <c r="H106" s="6">
        <v>160</v>
      </c>
      <c r="I106" s="2"/>
      <c r="J106" s="7">
        <f t="shared" si="51"/>
        <v>4.3274886542037691E-4</v>
      </c>
      <c r="K106" s="2"/>
      <c r="L106" s="6">
        <f t="shared" si="52"/>
        <v>0</v>
      </c>
      <c r="M106" s="2"/>
      <c r="N106" s="7">
        <f t="shared" si="53"/>
        <v>0</v>
      </c>
      <c r="O106" s="11"/>
      <c r="P106" s="6">
        <v>1271.44</v>
      </c>
      <c r="Q106" s="2"/>
      <c r="R106" s="7">
        <f t="shared" si="54"/>
        <v>7.2599431483367236E-4</v>
      </c>
      <c r="S106" s="2"/>
      <c r="T106" s="6">
        <v>1406.72</v>
      </c>
      <c r="U106" s="2"/>
      <c r="V106" s="7">
        <f t="shared" si="55"/>
        <v>8.7554918971056951E-4</v>
      </c>
      <c r="W106" s="2"/>
      <c r="X106" s="6">
        <f t="shared" si="56"/>
        <v>-135.27999999999997</v>
      </c>
      <c r="Y106" s="2"/>
      <c r="Z106" s="7">
        <f t="shared" si="57"/>
        <v>-9.6166969972702437E-2</v>
      </c>
    </row>
    <row r="107" spans="1:26" s="27" customFormat="1" outlineLevel="1" collapsed="1" x14ac:dyDescent="0.25">
      <c r="A107" s="25"/>
      <c r="B107" s="13" t="str">
        <f>CONCATENATE("     ","Insurance                                         ")</f>
        <v xml:space="preserve">     Insurance                                         </v>
      </c>
      <c r="C107" s="13"/>
      <c r="D107" s="1">
        <f>SUM(OSRRefD22_10x_0)</f>
        <v>161.18</v>
      </c>
      <c r="E107" s="1"/>
      <c r="F107" s="5">
        <f t="shared" si="50"/>
        <v>5.3812379023976083E-4</v>
      </c>
      <c r="G107" s="1"/>
      <c r="H107" s="1">
        <f>SUM(OSRRefH22_10x_0)</f>
        <v>151.85</v>
      </c>
      <c r="I107" s="1"/>
      <c r="J107" s="5">
        <f t="shared" si="51"/>
        <v>4.1070572008802646E-4</v>
      </c>
      <c r="K107" s="1"/>
      <c r="L107" s="1">
        <f t="shared" si="52"/>
        <v>9.3300000000000125</v>
      </c>
      <c r="M107" s="1"/>
      <c r="N107" s="5">
        <f t="shared" si="53"/>
        <v>6.1442212709911181E-2</v>
      </c>
      <c r="O107" s="13"/>
      <c r="P107" s="1">
        <f>SUM(OSRRefP22_10x_0)</f>
        <v>967.08</v>
      </c>
      <c r="Q107" s="1"/>
      <c r="R107" s="5">
        <f t="shared" si="54"/>
        <v>5.5220425815559362E-4</v>
      </c>
      <c r="S107" s="1"/>
      <c r="T107" s="1">
        <f>SUM(OSRRefT22_10x_0)</f>
        <v>911.1</v>
      </c>
      <c r="U107" s="1"/>
      <c r="V107" s="5">
        <f t="shared" si="55"/>
        <v>5.6707295463581935E-4</v>
      </c>
      <c r="W107" s="1"/>
      <c r="X107" s="1">
        <f t="shared" si="56"/>
        <v>55.980000000000018</v>
      </c>
      <c r="Y107" s="1"/>
      <c r="Z107" s="5">
        <f t="shared" si="57"/>
        <v>6.1442212709911112E-2</v>
      </c>
    </row>
    <row r="108" spans="1:26" s="24" customFormat="1" hidden="1" outlineLevel="2" x14ac:dyDescent="0.25">
      <c r="A108" s="26"/>
      <c r="B108" s="11" t="str">
        <f>CONCATENATE("          ", "6314", " - ", "LIABILITY INSURANCE")</f>
        <v xml:space="preserve">          6314 - LIABILITY INSURANCE</v>
      </c>
      <c r="C108" s="11"/>
      <c r="D108" s="6">
        <v>161.18</v>
      </c>
      <c r="E108" s="2"/>
      <c r="F108" s="7">
        <f t="shared" si="50"/>
        <v>5.3812379023976083E-4</v>
      </c>
      <c r="G108" s="2"/>
      <c r="H108" s="6">
        <v>151.85</v>
      </c>
      <c r="I108" s="2"/>
      <c r="J108" s="7">
        <f t="shared" si="51"/>
        <v>4.1070572008802646E-4</v>
      </c>
      <c r="K108" s="2"/>
      <c r="L108" s="6">
        <f t="shared" si="52"/>
        <v>9.3300000000000125</v>
      </c>
      <c r="M108" s="2"/>
      <c r="N108" s="7">
        <f t="shared" si="53"/>
        <v>6.1442212709911181E-2</v>
      </c>
      <c r="O108" s="11"/>
      <c r="P108" s="6">
        <v>967.08</v>
      </c>
      <c r="Q108" s="2"/>
      <c r="R108" s="7">
        <f t="shared" si="54"/>
        <v>5.5220425815559362E-4</v>
      </c>
      <c r="S108" s="2"/>
      <c r="T108" s="6">
        <v>911.1</v>
      </c>
      <c r="U108" s="2"/>
      <c r="V108" s="7">
        <f t="shared" si="55"/>
        <v>5.6707295463581935E-4</v>
      </c>
      <c r="W108" s="2"/>
      <c r="X108" s="6">
        <f t="shared" si="56"/>
        <v>55.980000000000018</v>
      </c>
      <c r="Y108" s="2"/>
      <c r="Z108" s="7">
        <f t="shared" si="57"/>
        <v>6.1442212709911112E-2</v>
      </c>
    </row>
    <row r="109" spans="1:26" s="27" customFormat="1" outlineLevel="1" collapsed="1" x14ac:dyDescent="0.25">
      <c r="A109" s="25"/>
      <c r="B109" s="13" t="str">
        <f>CONCATENATE("     ","Inventory Adjustment                              ")</f>
        <v xml:space="preserve">     Inventory Adjustment                              </v>
      </c>
      <c r="C109" s="13"/>
      <c r="D109" s="1">
        <f>SUM(OSRRefD22_11x_0)</f>
        <v>3150</v>
      </c>
      <c r="E109" s="1"/>
      <c r="F109" s="5">
        <f t="shared" si="50"/>
        <v>1.0516751081122017E-2</v>
      </c>
      <c r="G109" s="1"/>
      <c r="H109" s="1">
        <f>SUM(OSRRefH22_11x_0)</f>
        <v>1300</v>
      </c>
      <c r="I109" s="1"/>
      <c r="J109" s="5">
        <f t="shared" si="51"/>
        <v>3.5160845315405625E-3</v>
      </c>
      <c r="K109" s="1"/>
      <c r="L109" s="1">
        <f t="shared" si="52"/>
        <v>1850</v>
      </c>
      <c r="M109" s="1"/>
      <c r="N109" s="5">
        <f t="shared" si="53"/>
        <v>1.4230769230769231</v>
      </c>
      <c r="O109" s="13"/>
      <c r="P109" s="1">
        <f>SUM(OSRRefP22_11x_0)</f>
        <v>18900</v>
      </c>
      <c r="Q109" s="1"/>
      <c r="R109" s="5">
        <f t="shared" si="54"/>
        <v>1.0791930842474994E-2</v>
      </c>
      <c r="S109" s="1"/>
      <c r="T109" s="1">
        <f>SUM(OSRRefT22_11x_0)</f>
        <v>7800</v>
      </c>
      <c r="U109" s="1"/>
      <c r="V109" s="5">
        <f t="shared" si="55"/>
        <v>4.8547569379424772E-3</v>
      </c>
      <c r="W109" s="1"/>
      <c r="X109" s="1">
        <f t="shared" si="56"/>
        <v>11100</v>
      </c>
      <c r="Y109" s="1"/>
      <c r="Z109" s="5">
        <f t="shared" si="57"/>
        <v>1.4230769230769231</v>
      </c>
    </row>
    <row r="110" spans="1:26" s="24" customFormat="1" hidden="1" outlineLevel="2" x14ac:dyDescent="0.25">
      <c r="A110" s="26"/>
      <c r="B110" s="11" t="str">
        <f>CONCATENATE("          ", "6408", " - ", "INVENTORY ADJUSTMENT")</f>
        <v xml:space="preserve">          6408 - INVENTORY ADJUSTMENT</v>
      </c>
      <c r="C110" s="11"/>
      <c r="D110" s="6">
        <v>3150</v>
      </c>
      <c r="E110" s="2"/>
      <c r="F110" s="7">
        <f t="shared" si="50"/>
        <v>1.0516751081122017E-2</v>
      </c>
      <c r="G110" s="2"/>
      <c r="H110" s="6">
        <v>1300</v>
      </c>
      <c r="I110" s="2"/>
      <c r="J110" s="7">
        <f t="shared" si="51"/>
        <v>3.5160845315405625E-3</v>
      </c>
      <c r="K110" s="2"/>
      <c r="L110" s="6">
        <f t="shared" si="52"/>
        <v>1850</v>
      </c>
      <c r="M110" s="2"/>
      <c r="N110" s="7">
        <f t="shared" si="53"/>
        <v>1.4230769230769231</v>
      </c>
      <c r="O110" s="11"/>
      <c r="P110" s="6">
        <v>18900</v>
      </c>
      <c r="Q110" s="2"/>
      <c r="R110" s="7">
        <f t="shared" si="54"/>
        <v>1.0791930842474994E-2</v>
      </c>
      <c r="S110" s="2"/>
      <c r="T110" s="6">
        <v>7800</v>
      </c>
      <c r="U110" s="2"/>
      <c r="V110" s="7">
        <f t="shared" si="55"/>
        <v>4.8547569379424772E-3</v>
      </c>
      <c r="W110" s="2"/>
      <c r="X110" s="6">
        <f t="shared" si="56"/>
        <v>11100</v>
      </c>
      <c r="Y110" s="2"/>
      <c r="Z110" s="7">
        <f t="shared" si="57"/>
        <v>1.4230769230769231</v>
      </c>
    </row>
    <row r="111" spans="1:26" s="27" customFormat="1" outlineLevel="1" collapsed="1" x14ac:dyDescent="0.25">
      <c r="A111" s="25"/>
      <c r="B111" s="13" t="str">
        <f>CONCATENATE("     ","Professional Services                             ")</f>
        <v xml:space="preserve">     Professional Services                             </v>
      </c>
      <c r="C111" s="13"/>
      <c r="D111" s="1">
        <f>SUM(OSRRefD22_12x_0)</f>
        <v>0</v>
      </c>
      <c r="E111" s="1"/>
      <c r="F111" s="5">
        <f t="shared" si="50"/>
        <v>0</v>
      </c>
      <c r="G111" s="1"/>
      <c r="H111" s="1">
        <f>SUM(OSRRefH22_12x_0)</f>
        <v>0</v>
      </c>
      <c r="I111" s="1"/>
      <c r="J111" s="5">
        <f t="shared" si="51"/>
        <v>0</v>
      </c>
      <c r="K111" s="1"/>
      <c r="L111" s="1">
        <f t="shared" si="52"/>
        <v>0</v>
      </c>
      <c r="M111" s="1"/>
      <c r="N111" s="5">
        <f t="shared" si="53"/>
        <v>0</v>
      </c>
      <c r="O111" s="13"/>
      <c r="P111" s="1">
        <f>SUM(OSRRefP22_12x_0)</f>
        <v>750</v>
      </c>
      <c r="Q111" s="1"/>
      <c r="R111" s="5">
        <f t="shared" si="54"/>
        <v>4.2825122390773788E-4</v>
      </c>
      <c r="S111" s="1"/>
      <c r="T111" s="1">
        <f>SUM(OSRRefT22_12x_0)</f>
        <v>750</v>
      </c>
      <c r="U111" s="1"/>
      <c r="V111" s="5">
        <f t="shared" si="55"/>
        <v>4.6680355172523821E-4</v>
      </c>
      <c r="W111" s="1"/>
      <c r="X111" s="1">
        <f t="shared" si="56"/>
        <v>0</v>
      </c>
      <c r="Y111" s="1"/>
      <c r="Z111" s="5">
        <f t="shared" si="57"/>
        <v>0</v>
      </c>
    </row>
    <row r="112" spans="1:26" s="24" customFormat="1" hidden="1" outlineLevel="2" x14ac:dyDescent="0.25">
      <c r="A112" s="26"/>
      <c r="B112" s="11" t="str">
        <f>CONCATENATE("          ", "6336", " - ", "PROFESSIONAL SERVICES")</f>
        <v xml:space="preserve">          6336 - PROFESSIONAL SERVICES</v>
      </c>
      <c r="C112" s="11"/>
      <c r="D112" s="6"/>
      <c r="E112" s="2"/>
      <c r="F112" s="7">
        <f t="shared" si="50"/>
        <v>0</v>
      </c>
      <c r="G112" s="2"/>
      <c r="H112" s="6"/>
      <c r="I112" s="2"/>
      <c r="J112" s="7">
        <f t="shared" si="51"/>
        <v>0</v>
      </c>
      <c r="K112" s="2"/>
      <c r="L112" s="6">
        <f t="shared" si="52"/>
        <v>0</v>
      </c>
      <c r="M112" s="2"/>
      <c r="N112" s="7">
        <f t="shared" si="53"/>
        <v>0</v>
      </c>
      <c r="O112" s="11"/>
      <c r="P112" s="6">
        <v>750</v>
      </c>
      <c r="Q112" s="2"/>
      <c r="R112" s="7">
        <f t="shared" si="54"/>
        <v>4.2825122390773788E-4</v>
      </c>
      <c r="S112" s="2"/>
      <c r="T112" s="6">
        <v>750</v>
      </c>
      <c r="U112" s="2"/>
      <c r="V112" s="7">
        <f t="shared" si="55"/>
        <v>4.6680355172523821E-4</v>
      </c>
      <c r="W112" s="2"/>
      <c r="X112" s="6">
        <f t="shared" si="56"/>
        <v>0</v>
      </c>
      <c r="Y112" s="2"/>
      <c r="Z112" s="7">
        <f t="shared" si="57"/>
        <v>0</v>
      </c>
    </row>
    <row r="113" spans="1:26" s="27" customFormat="1" outlineLevel="1" collapsed="1" x14ac:dyDescent="0.25">
      <c r="A113" s="25"/>
      <c r="B113" s="13" t="str">
        <f>CONCATENATE("     ","Rent                                              ")</f>
        <v xml:space="preserve">     Rent                                              </v>
      </c>
      <c r="C113" s="13"/>
      <c r="D113" s="1">
        <f>SUM(OSRRefD22_13x_0)</f>
        <v>6900</v>
      </c>
      <c r="E113" s="1"/>
      <c r="F113" s="5">
        <f t="shared" si="50"/>
        <v>2.3036692844362511E-2</v>
      </c>
      <c r="G113" s="1"/>
      <c r="H113" s="1">
        <f>SUM(OSRRefH22_13x_0)</f>
        <v>6900</v>
      </c>
      <c r="I113" s="1"/>
      <c r="J113" s="5">
        <f t="shared" si="51"/>
        <v>1.8662294821253755E-2</v>
      </c>
      <c r="K113" s="1"/>
      <c r="L113" s="1">
        <f t="shared" si="52"/>
        <v>0</v>
      </c>
      <c r="M113" s="1"/>
      <c r="N113" s="5">
        <f t="shared" si="53"/>
        <v>0</v>
      </c>
      <c r="O113" s="13"/>
      <c r="P113" s="1">
        <f>SUM(OSRRefP22_13x_0)</f>
        <v>41400</v>
      </c>
      <c r="Q113" s="1"/>
      <c r="R113" s="5">
        <f t="shared" si="54"/>
        <v>2.3639467559707132E-2</v>
      </c>
      <c r="S113" s="1"/>
      <c r="T113" s="1">
        <f>SUM(OSRRefT22_13x_0)</f>
        <v>41400</v>
      </c>
      <c r="U113" s="1"/>
      <c r="V113" s="5">
        <f t="shared" si="55"/>
        <v>2.5767556055233148E-2</v>
      </c>
      <c r="W113" s="1"/>
      <c r="X113" s="1">
        <f t="shared" si="56"/>
        <v>0</v>
      </c>
      <c r="Y113" s="1"/>
      <c r="Z113" s="5">
        <f t="shared" si="57"/>
        <v>0</v>
      </c>
    </row>
    <row r="114" spans="1:26" s="24" customFormat="1" hidden="1" outlineLevel="2" x14ac:dyDescent="0.25">
      <c r="A114" s="26"/>
      <c r="B114" s="11" t="str">
        <f>CONCATENATE("          ", "6273", " - ", "RENT")</f>
        <v xml:space="preserve">          6273 - RENT</v>
      </c>
      <c r="C114" s="11"/>
      <c r="D114" s="6">
        <v>6900</v>
      </c>
      <c r="E114" s="2"/>
      <c r="F114" s="7">
        <f t="shared" si="50"/>
        <v>2.3036692844362511E-2</v>
      </c>
      <c r="G114" s="2"/>
      <c r="H114" s="6">
        <v>6900</v>
      </c>
      <c r="I114" s="2"/>
      <c r="J114" s="7">
        <f t="shared" si="51"/>
        <v>1.8662294821253755E-2</v>
      </c>
      <c r="K114" s="2"/>
      <c r="L114" s="6">
        <f t="shared" si="52"/>
        <v>0</v>
      </c>
      <c r="M114" s="2"/>
      <c r="N114" s="7">
        <f t="shared" si="53"/>
        <v>0</v>
      </c>
      <c r="O114" s="11"/>
      <c r="P114" s="6">
        <v>41400</v>
      </c>
      <c r="Q114" s="2"/>
      <c r="R114" s="7">
        <f t="shared" si="54"/>
        <v>2.3639467559707132E-2</v>
      </c>
      <c r="S114" s="2"/>
      <c r="T114" s="6">
        <v>41400</v>
      </c>
      <c r="U114" s="2"/>
      <c r="V114" s="7">
        <f t="shared" si="55"/>
        <v>2.5767556055233148E-2</v>
      </c>
      <c r="W114" s="2"/>
      <c r="X114" s="6">
        <f t="shared" si="56"/>
        <v>0</v>
      </c>
      <c r="Y114" s="2"/>
      <c r="Z114" s="7">
        <f t="shared" si="57"/>
        <v>0</v>
      </c>
    </row>
    <row r="115" spans="1:26" s="27" customFormat="1" outlineLevel="1" collapsed="1" x14ac:dyDescent="0.25">
      <c r="A115" s="25"/>
      <c r="B115" s="13" t="str">
        <f>CONCATENATE("     ","Repair and Maintenance                            ")</f>
        <v xml:space="preserve">     Repair and Maintenance                            </v>
      </c>
      <c r="C115" s="13"/>
      <c r="D115" s="1">
        <f>SUM(OSRRefD22_14x_0)</f>
        <v>171.46</v>
      </c>
      <c r="E115" s="1"/>
      <c r="F115" s="5">
        <f t="shared" si="50"/>
        <v>5.7244512392672412E-4</v>
      </c>
      <c r="G115" s="1"/>
      <c r="H115" s="1">
        <f>SUM(OSRRefH22_14x_0)</f>
        <v>44.98</v>
      </c>
      <c r="I115" s="1"/>
      <c r="J115" s="5">
        <f t="shared" si="51"/>
        <v>1.2165652479130345E-4</v>
      </c>
      <c r="K115" s="1"/>
      <c r="L115" s="1">
        <f t="shared" si="52"/>
        <v>126.48000000000002</v>
      </c>
      <c r="M115" s="1"/>
      <c r="N115" s="5">
        <f t="shared" si="53"/>
        <v>2.8119164072921303</v>
      </c>
      <c r="O115" s="13"/>
      <c r="P115" s="1">
        <f>SUM(OSRRefP22_14x_0)</f>
        <v>275.75</v>
      </c>
      <c r="Q115" s="1"/>
      <c r="R115" s="5">
        <f t="shared" si="54"/>
        <v>1.574536999900783E-4</v>
      </c>
      <c r="S115" s="1"/>
      <c r="T115" s="1">
        <f>SUM(OSRRefT22_14x_0)</f>
        <v>715</v>
      </c>
      <c r="U115" s="1"/>
      <c r="V115" s="5">
        <f t="shared" si="55"/>
        <v>4.4501938597806044E-4</v>
      </c>
      <c r="W115" s="1"/>
      <c r="X115" s="1">
        <f t="shared" si="56"/>
        <v>-439.25</v>
      </c>
      <c r="Y115" s="1"/>
      <c r="Z115" s="5">
        <f t="shared" si="57"/>
        <v>-0.61433566433566433</v>
      </c>
    </row>
    <row r="116" spans="1:26" s="24" customFormat="1" hidden="1" outlineLevel="2" x14ac:dyDescent="0.25">
      <c r="A116" s="26"/>
      <c r="B116" s="11" t="str">
        <f>CONCATENATE("          ", "6371", " - ", "COMPUTER SOFTWARE MAINTENANCE")</f>
        <v xml:space="preserve">          6371 - COMPUTER SOFTWARE MAINTENANCE</v>
      </c>
      <c r="C116" s="11"/>
      <c r="D116" s="6"/>
      <c r="E116" s="2"/>
      <c r="F116" s="7">
        <f t="shared" si="50"/>
        <v>0</v>
      </c>
      <c r="G116" s="2"/>
      <c r="H116" s="6"/>
      <c r="I116" s="2"/>
      <c r="J116" s="7">
        <f t="shared" si="51"/>
        <v>0</v>
      </c>
      <c r="K116" s="2"/>
      <c r="L116" s="6">
        <f t="shared" si="52"/>
        <v>0</v>
      </c>
      <c r="M116" s="2"/>
      <c r="N116" s="7">
        <f t="shared" si="53"/>
        <v>0</v>
      </c>
      <c r="O116" s="11"/>
      <c r="P116" s="6"/>
      <c r="Q116" s="2"/>
      <c r="R116" s="7">
        <f t="shared" si="54"/>
        <v>0</v>
      </c>
      <c r="S116" s="2"/>
      <c r="T116" s="6">
        <v>186.58</v>
      </c>
      <c r="U116" s="2"/>
      <c r="V116" s="7">
        <f t="shared" si="55"/>
        <v>1.161282755745266E-4</v>
      </c>
      <c r="W116" s="2"/>
      <c r="X116" s="6">
        <f t="shared" si="56"/>
        <v>-186.58</v>
      </c>
      <c r="Y116" s="2"/>
      <c r="Z116" s="7">
        <f t="shared" si="57"/>
        <v>-1</v>
      </c>
    </row>
    <row r="117" spans="1:26" s="24" customFormat="1" hidden="1" outlineLevel="2" x14ac:dyDescent="0.25">
      <c r="A117" s="26"/>
      <c r="B117" s="11" t="str">
        <f>CONCATENATE("          ", "6373", " - ", "MAINTENANCE CONTRACTS")</f>
        <v xml:space="preserve">          6373 - MAINTENANCE CONTRACTS</v>
      </c>
      <c r="C117" s="11"/>
      <c r="D117" s="6">
        <v>47.57</v>
      </c>
      <c r="E117" s="2"/>
      <c r="F117" s="7">
        <f t="shared" si="50"/>
        <v>1.5881963458062677E-4</v>
      </c>
      <c r="G117" s="2"/>
      <c r="H117" s="6">
        <v>44.98</v>
      </c>
      <c r="I117" s="2"/>
      <c r="J117" s="7">
        <f t="shared" si="51"/>
        <v>1.2165652479130345E-4</v>
      </c>
      <c r="K117" s="2"/>
      <c r="L117" s="6">
        <f t="shared" si="52"/>
        <v>2.5900000000000034</v>
      </c>
      <c r="M117" s="2"/>
      <c r="N117" s="7">
        <f t="shared" si="53"/>
        <v>5.7581147176522976E-2</v>
      </c>
      <c r="O117" s="11"/>
      <c r="P117" s="6">
        <v>93.22</v>
      </c>
      <c r="Q117" s="2"/>
      <c r="R117" s="7">
        <f t="shared" si="54"/>
        <v>5.3228772123572435E-5</v>
      </c>
      <c r="S117" s="2"/>
      <c r="T117" s="6">
        <v>89.96</v>
      </c>
      <c r="U117" s="2"/>
      <c r="V117" s="7">
        <f t="shared" si="55"/>
        <v>5.5991530017603231E-5</v>
      </c>
      <c r="W117" s="2"/>
      <c r="X117" s="6">
        <f t="shared" si="56"/>
        <v>3.2600000000000051</v>
      </c>
      <c r="Y117" s="2"/>
      <c r="Z117" s="7">
        <f t="shared" si="57"/>
        <v>3.6238328145842658E-2</v>
      </c>
    </row>
    <row r="118" spans="1:26" s="24" customFormat="1" hidden="1" outlineLevel="2" x14ac:dyDescent="0.25">
      <c r="A118" s="26"/>
      <c r="B118" s="11" t="str">
        <f>CONCATENATE("          ", "6375", " - ", "OUTSIDE REPAIRS &amp; MAINTENANCE")</f>
        <v xml:space="preserve">          6375 - OUTSIDE REPAIRS &amp; MAINTENANCE</v>
      </c>
      <c r="C118" s="11"/>
      <c r="D118" s="6">
        <v>123.89</v>
      </c>
      <c r="E118" s="2"/>
      <c r="F118" s="7">
        <f t="shared" si="50"/>
        <v>4.1362548934609732E-4</v>
      </c>
      <c r="G118" s="2"/>
      <c r="H118" s="6"/>
      <c r="I118" s="2"/>
      <c r="J118" s="7">
        <f t="shared" si="51"/>
        <v>0</v>
      </c>
      <c r="K118" s="2"/>
      <c r="L118" s="6">
        <f t="shared" si="52"/>
        <v>123.89</v>
      </c>
      <c r="M118" s="2"/>
      <c r="N118" s="7">
        <f t="shared" si="53"/>
        <v>0</v>
      </c>
      <c r="O118" s="11"/>
      <c r="P118" s="6">
        <v>182.53</v>
      </c>
      <c r="Q118" s="2"/>
      <c r="R118" s="7">
        <f t="shared" si="54"/>
        <v>1.0422492786650586E-4</v>
      </c>
      <c r="S118" s="2"/>
      <c r="T118" s="6">
        <v>438.46</v>
      </c>
      <c r="U118" s="2"/>
      <c r="V118" s="7">
        <f t="shared" si="55"/>
        <v>2.7289958038593056E-4</v>
      </c>
      <c r="W118" s="2"/>
      <c r="X118" s="6">
        <f t="shared" si="56"/>
        <v>-255.92999999999998</v>
      </c>
      <c r="Y118" s="2"/>
      <c r="Z118" s="7">
        <f t="shared" si="57"/>
        <v>-0.5837020480773617</v>
      </c>
    </row>
    <row r="119" spans="1:26" s="27" customFormat="1" outlineLevel="1" collapsed="1" x14ac:dyDescent="0.25">
      <c r="A119" s="25"/>
      <c r="B119" s="13" t="str">
        <f>CONCATENATE("     ","Royalty &amp; Commissions                             ")</f>
        <v xml:space="preserve">     Royalty &amp; Commissions                             </v>
      </c>
      <c r="C119" s="13"/>
      <c r="D119" s="1">
        <f>SUM(OSRRefD22_15x_0)</f>
        <v>262.72000000000003</v>
      </c>
      <c r="E119" s="1"/>
      <c r="F119" s="5">
        <f t="shared" ref="F119:F121" si="58">IF(D$12=0,0,D119/D$12)</f>
        <v>8.7713042667694491E-4</v>
      </c>
      <c r="G119" s="1"/>
      <c r="H119" s="1">
        <f>SUM(OSRRefH22_15x_0)</f>
        <v>3416.52</v>
      </c>
      <c r="I119" s="1"/>
      <c r="J119" s="5">
        <f t="shared" ref="J119:J121" si="59">IF(H$12=0,0,H119/H$12)</f>
        <v>9.240594710537663E-3</v>
      </c>
      <c r="K119" s="1"/>
      <c r="L119" s="1">
        <f t="shared" ref="L119:L121" si="60">+D119-H119</f>
        <v>-3153.8</v>
      </c>
      <c r="M119" s="1"/>
      <c r="N119" s="5">
        <f t="shared" ref="N119:N121" si="61">IF(H119=0,0,L119/H119)</f>
        <v>-0.92310304052076386</v>
      </c>
      <c r="O119" s="13"/>
      <c r="P119" s="1">
        <f>SUM(OSRRefP22_15x_0)</f>
        <v>6930.79</v>
      </c>
      <c r="Q119" s="1"/>
      <c r="R119" s="5">
        <f t="shared" ref="R119:R121" si="62">IF(P$12=0,0,P119/P$12)</f>
        <v>3.9574924001966813E-3</v>
      </c>
      <c r="S119" s="1"/>
      <c r="T119" s="1">
        <f>SUM(OSRRefT22_15x_0)</f>
        <v>29149.73</v>
      </c>
      <c r="U119" s="1"/>
      <c r="V119" s="5">
        <f t="shared" ref="V119:V121" si="63">IF(T$12=0,0,T119/T$12)</f>
        <v>1.8142929994442305E-2</v>
      </c>
      <c r="W119" s="1"/>
      <c r="X119" s="1">
        <f t="shared" ref="X119:X121" si="64">+P119-T119</f>
        <v>-22218.94</v>
      </c>
      <c r="Y119" s="1"/>
      <c r="Z119" s="5">
        <f t="shared" ref="Z119:Z121" si="65">IF(T119=0,0,X119/T119)</f>
        <v>-0.7622348474582783</v>
      </c>
    </row>
    <row r="120" spans="1:26" s="24" customFormat="1" hidden="1" outlineLevel="2" x14ac:dyDescent="0.25">
      <c r="A120" s="26"/>
      <c r="B120" s="11" t="str">
        <f>CONCATENATE("          ", "6253", " - ", "ROYALTY DUE ATHLETICS-LRG")</f>
        <v xml:space="preserve">          6253 - ROYALTY DUE ATHLETICS-LRG</v>
      </c>
      <c r="C120" s="11"/>
      <c r="D120" s="6"/>
      <c r="E120" s="2"/>
      <c r="F120" s="7">
        <f t="shared" si="58"/>
        <v>0</v>
      </c>
      <c r="G120" s="2"/>
      <c r="H120" s="6">
        <v>3178</v>
      </c>
      <c r="I120" s="2"/>
      <c r="J120" s="7">
        <f t="shared" si="59"/>
        <v>8.5954743394122367E-3</v>
      </c>
      <c r="K120" s="2"/>
      <c r="L120" s="6">
        <f t="shared" si="60"/>
        <v>-3178</v>
      </c>
      <c r="M120" s="2"/>
      <c r="N120" s="7">
        <f t="shared" si="61"/>
        <v>-1</v>
      </c>
      <c r="O120" s="11"/>
      <c r="P120" s="6">
        <v>4366.95</v>
      </c>
      <c r="Q120" s="2"/>
      <c r="R120" s="7">
        <f t="shared" si="62"/>
        <v>2.4935355763251944E-3</v>
      </c>
      <c r="S120" s="2"/>
      <c r="T120" s="6">
        <v>26172.42</v>
      </c>
      <c r="U120" s="2"/>
      <c r="V120" s="7">
        <f t="shared" si="63"/>
        <v>1.6289838150992879E-2</v>
      </c>
      <c r="W120" s="2"/>
      <c r="X120" s="6">
        <f t="shared" si="64"/>
        <v>-21805.469999999998</v>
      </c>
      <c r="Y120" s="2"/>
      <c r="Z120" s="7">
        <f t="shared" si="65"/>
        <v>-0.8331468775145745</v>
      </c>
    </row>
    <row r="121" spans="1:26" s="24" customFormat="1" hidden="1" outlineLevel="2" x14ac:dyDescent="0.25">
      <c r="A121" s="26"/>
      <c r="B121" s="11" t="str">
        <f>CONCATENATE("          ", "6254", " - ", "ROYALTY &amp; COMMISSIONS")</f>
        <v xml:space="preserve">          6254 - ROYALTY &amp; COMMISSIONS</v>
      </c>
      <c r="C121" s="11"/>
      <c r="D121" s="6">
        <v>262.72000000000003</v>
      </c>
      <c r="E121" s="2"/>
      <c r="F121" s="7">
        <f t="shared" si="58"/>
        <v>8.7713042667694491E-4</v>
      </c>
      <c r="G121" s="2"/>
      <c r="H121" s="6">
        <v>238.52</v>
      </c>
      <c r="I121" s="2"/>
      <c r="J121" s="7">
        <f t="shared" si="59"/>
        <v>6.4512037112542694E-4</v>
      </c>
      <c r="K121" s="2"/>
      <c r="L121" s="6">
        <f t="shared" si="60"/>
        <v>24.200000000000017</v>
      </c>
      <c r="M121" s="2"/>
      <c r="N121" s="7">
        <f t="shared" si="61"/>
        <v>0.1014589971490861</v>
      </c>
      <c r="O121" s="11"/>
      <c r="P121" s="6">
        <v>2563.84</v>
      </c>
      <c r="Q121" s="2"/>
      <c r="R121" s="7">
        <f t="shared" si="62"/>
        <v>1.4639568238714864E-3</v>
      </c>
      <c r="S121" s="2"/>
      <c r="T121" s="6">
        <v>2977.31</v>
      </c>
      <c r="U121" s="2"/>
      <c r="V121" s="7">
        <f t="shared" si="63"/>
        <v>1.8530918434494252E-3</v>
      </c>
      <c r="W121" s="2"/>
      <c r="X121" s="6">
        <f t="shared" si="64"/>
        <v>-413.4699999999998</v>
      </c>
      <c r="Y121" s="2"/>
      <c r="Z121" s="7">
        <f t="shared" si="65"/>
        <v>-0.13887368127605113</v>
      </c>
    </row>
    <row r="122" spans="1:26" s="27" customFormat="1" outlineLevel="1" collapsed="1" x14ac:dyDescent="0.25">
      <c r="A122" s="25"/>
      <c r="B122" s="13" t="str">
        <f>CONCATENATE("     ","Services                                          ")</f>
        <v xml:space="preserve">     Services                                          </v>
      </c>
      <c r="C122" s="13"/>
      <c r="D122" s="1">
        <f>SUM(OSRRefD22_16x_0)</f>
        <v>181.82</v>
      </c>
      <c r="E122" s="1"/>
      <c r="F122" s="5">
        <f t="shared" ref="F122:F125" si="66">IF(D$12=0,0,D122/D$12)</f>
        <v>6.0703354970463651E-4</v>
      </c>
      <c r="G122" s="1"/>
      <c r="H122" s="1">
        <f>SUM(OSRRefH22_16x_0)</f>
        <v>316.73</v>
      </c>
      <c r="I122" s="1"/>
      <c r="J122" s="5">
        <f t="shared" ref="J122:J125" si="67">IF(H$12=0,0,H122/H$12)</f>
        <v>8.5665342590372491E-4</v>
      </c>
      <c r="K122" s="1"/>
      <c r="L122" s="1">
        <f t="shared" ref="L122:L125" si="68">+D122-H122</f>
        <v>-134.91000000000003</v>
      </c>
      <c r="M122" s="1"/>
      <c r="N122" s="5">
        <f t="shared" ref="N122:N125" si="69">IF(H122=0,0,L122/H122)</f>
        <v>-0.4259463896694346</v>
      </c>
      <c r="O122" s="13"/>
      <c r="P122" s="1">
        <f>SUM(OSRRefP22_16x_0)</f>
        <v>2002.28</v>
      </c>
      <c r="Q122" s="1"/>
      <c r="R122" s="5">
        <f t="shared" ref="R122:R125" si="70">IF(P$12=0,0,P122/P$12)</f>
        <v>1.1433051474746471E-3</v>
      </c>
      <c r="S122" s="1"/>
      <c r="T122" s="1">
        <f>SUM(OSRRefT22_16x_0)</f>
        <v>1313.21</v>
      </c>
      <c r="U122" s="1"/>
      <c r="V122" s="5">
        <f t="shared" ref="V122:V125" si="71">IF(T$12=0,0,T122/T$12)</f>
        <v>8.173481228814668E-4</v>
      </c>
      <c r="W122" s="1"/>
      <c r="X122" s="1">
        <f t="shared" ref="X122:X125" si="72">+P122-T122</f>
        <v>689.06999999999994</v>
      </c>
      <c r="Y122" s="1"/>
      <c r="Z122" s="5">
        <f t="shared" ref="Z122:Z125" si="73">IF(T122=0,0,X122/T122)</f>
        <v>0.52472186474364335</v>
      </c>
    </row>
    <row r="123" spans="1:26" s="24" customFormat="1" hidden="1" outlineLevel="2" x14ac:dyDescent="0.25">
      <c r="A123" s="26"/>
      <c r="B123" s="11" t="str">
        <f>CONCATENATE("          ", "6283", " - ", "PLANT SERVICE")</f>
        <v xml:space="preserve">          6283 - PLANT SERVICE</v>
      </c>
      <c r="C123" s="11"/>
      <c r="D123" s="6"/>
      <c r="E123" s="2"/>
      <c r="F123" s="7">
        <f t="shared" si="66"/>
        <v>0</v>
      </c>
      <c r="G123" s="2"/>
      <c r="H123" s="6">
        <v>56</v>
      </c>
      <c r="I123" s="2"/>
      <c r="J123" s="7">
        <f t="shared" si="67"/>
        <v>1.5146210289713192E-4</v>
      </c>
      <c r="K123" s="2"/>
      <c r="L123" s="6">
        <f t="shared" si="68"/>
        <v>-56</v>
      </c>
      <c r="M123" s="2"/>
      <c r="N123" s="7">
        <f t="shared" si="69"/>
        <v>-1</v>
      </c>
      <c r="O123" s="11"/>
      <c r="P123" s="6">
        <v>178.65</v>
      </c>
      <c r="Q123" s="2"/>
      <c r="R123" s="7">
        <f t="shared" si="70"/>
        <v>1.0200944153482317E-4</v>
      </c>
      <c r="S123" s="2"/>
      <c r="T123" s="6">
        <v>336</v>
      </c>
      <c r="U123" s="2"/>
      <c r="V123" s="7">
        <f t="shared" si="71"/>
        <v>2.0912799117290672E-4</v>
      </c>
      <c r="W123" s="2"/>
      <c r="X123" s="6">
        <f t="shared" si="72"/>
        <v>-157.35</v>
      </c>
      <c r="Y123" s="2"/>
      <c r="Z123" s="7">
        <f t="shared" si="73"/>
        <v>-0.46830357142857143</v>
      </c>
    </row>
    <row r="124" spans="1:26" s="24" customFormat="1" hidden="1" outlineLevel="2" x14ac:dyDescent="0.25">
      <c r="A124" s="26"/>
      <c r="B124" s="11" t="str">
        <f>CONCATENATE("          ", "6284", " - ", "TRASH REMOVAL EXPENSE")</f>
        <v xml:space="preserve">          6284 - TRASH REMOVAL EXPENSE</v>
      </c>
      <c r="C124" s="11"/>
      <c r="D124" s="6">
        <v>134.82</v>
      </c>
      <c r="E124" s="2"/>
      <c r="F124" s="7">
        <f t="shared" si="66"/>
        <v>4.5011694627202224E-4</v>
      </c>
      <c r="G124" s="2"/>
      <c r="H124" s="6">
        <v>121.46</v>
      </c>
      <c r="I124" s="2"/>
      <c r="J124" s="7">
        <f t="shared" si="67"/>
        <v>3.2851048246224362E-4</v>
      </c>
      <c r="K124" s="2"/>
      <c r="L124" s="6">
        <f t="shared" si="68"/>
        <v>13.36</v>
      </c>
      <c r="M124" s="2"/>
      <c r="N124" s="7">
        <f t="shared" si="69"/>
        <v>0.10999506010209123</v>
      </c>
      <c r="O124" s="11"/>
      <c r="P124" s="6">
        <v>808.92</v>
      </c>
      <c r="Q124" s="2"/>
      <c r="R124" s="7">
        <f t="shared" si="70"/>
        <v>4.6189464005792975E-4</v>
      </c>
      <c r="S124" s="2"/>
      <c r="T124" s="6">
        <v>728.76</v>
      </c>
      <c r="U124" s="2"/>
      <c r="V124" s="7">
        <f t="shared" si="71"/>
        <v>4.5358367514037945E-4</v>
      </c>
      <c r="W124" s="2"/>
      <c r="X124" s="6">
        <f t="shared" si="72"/>
        <v>80.159999999999968</v>
      </c>
      <c r="Y124" s="2"/>
      <c r="Z124" s="7">
        <f t="shared" si="73"/>
        <v>0.10999506010209117</v>
      </c>
    </row>
    <row r="125" spans="1:26" s="24" customFormat="1" hidden="1" outlineLevel="2" x14ac:dyDescent="0.25">
      <c r="A125" s="26"/>
      <c r="B125" s="11" t="str">
        <f>CONCATENATE("          ", "6285", " - ", "JANITORIAL SERVICES")</f>
        <v xml:space="preserve">          6285 - JANITORIAL SERVICES</v>
      </c>
      <c r="C125" s="11"/>
      <c r="D125" s="6">
        <v>47</v>
      </c>
      <c r="E125" s="2"/>
      <c r="F125" s="7">
        <f t="shared" si="66"/>
        <v>1.5691660343261421E-4</v>
      </c>
      <c r="G125" s="2"/>
      <c r="H125" s="6">
        <v>139.27000000000001</v>
      </c>
      <c r="I125" s="2"/>
      <c r="J125" s="7">
        <f t="shared" si="67"/>
        <v>3.7668084054434935E-4</v>
      </c>
      <c r="K125" s="2"/>
      <c r="L125" s="6">
        <f t="shared" si="68"/>
        <v>-92.27000000000001</v>
      </c>
      <c r="M125" s="2"/>
      <c r="N125" s="7">
        <f t="shared" si="69"/>
        <v>-0.66252602857758314</v>
      </c>
      <c r="O125" s="11"/>
      <c r="P125" s="6">
        <v>1014.71</v>
      </c>
      <c r="Q125" s="2"/>
      <c r="R125" s="7">
        <f t="shared" si="70"/>
        <v>5.7940106588189435E-4</v>
      </c>
      <c r="S125" s="2"/>
      <c r="T125" s="6">
        <v>248.45</v>
      </c>
      <c r="U125" s="2"/>
      <c r="V125" s="7">
        <f t="shared" si="71"/>
        <v>1.5463645656818058E-4</v>
      </c>
      <c r="W125" s="2"/>
      <c r="X125" s="6">
        <f t="shared" si="72"/>
        <v>766.26</v>
      </c>
      <c r="Y125" s="2"/>
      <c r="Z125" s="7">
        <f t="shared" si="73"/>
        <v>3.0841618031797142</v>
      </c>
    </row>
    <row r="126" spans="1:26" s="27" customFormat="1" outlineLevel="1" collapsed="1" x14ac:dyDescent="0.25">
      <c r="A126" s="25"/>
      <c r="B126" s="13" t="str">
        <f>CONCATENATE("     ","Subscriptions &amp; Dues                              ")</f>
        <v xml:space="preserve">     Subscriptions &amp; Dues                              </v>
      </c>
      <c r="C126" s="13"/>
      <c r="D126" s="1">
        <f>SUM(OSRRefD22_17x_0)</f>
        <v>0</v>
      </c>
      <c r="E126" s="1"/>
      <c r="F126" s="5">
        <f t="shared" ref="F126:F128" si="74">IF(D$12=0,0,D126/D$12)</f>
        <v>0</v>
      </c>
      <c r="G126" s="1"/>
      <c r="H126" s="1">
        <f>SUM(OSRRefH22_17x_0)</f>
        <v>204.98</v>
      </c>
      <c r="I126" s="1"/>
      <c r="J126" s="5">
        <f t="shared" ref="J126:J128" si="75">IF(H$12=0,0,H126/H$12)</f>
        <v>5.5440539021168035E-4</v>
      </c>
      <c r="K126" s="1"/>
      <c r="L126" s="1">
        <f t="shared" ref="L126:L128" si="76">+D126-H126</f>
        <v>-204.98</v>
      </c>
      <c r="M126" s="1"/>
      <c r="N126" s="5">
        <f t="shared" ref="N126:N128" si="77">IF(H126=0,0,L126/H126)</f>
        <v>-1</v>
      </c>
      <c r="O126" s="13"/>
      <c r="P126" s="1">
        <f>SUM(OSRRefP22_17x_0)</f>
        <v>385.06</v>
      </c>
      <c r="Q126" s="1"/>
      <c r="R126" s="5">
        <f t="shared" ref="R126:R128" si="78">IF(P$12=0,0,P126/P$12)</f>
        <v>2.1986988837055142E-4</v>
      </c>
      <c r="S126" s="1"/>
      <c r="T126" s="1">
        <f>SUM(OSRRefT22_17x_0)</f>
        <v>1339.8600000000001</v>
      </c>
      <c r="U126" s="1"/>
      <c r="V126" s="5">
        <f t="shared" ref="V126:V128" si="79">IF(T$12=0,0,T126/T$12)</f>
        <v>8.3393520908610363E-4</v>
      </c>
      <c r="W126" s="1"/>
      <c r="X126" s="1">
        <f t="shared" ref="X126:X128" si="80">+P126-T126</f>
        <v>-954.80000000000018</v>
      </c>
      <c r="Y126" s="1"/>
      <c r="Z126" s="5">
        <f t="shared" ref="Z126:Z128" si="81">IF(T126=0,0,X126/T126)</f>
        <v>-0.71261176540832627</v>
      </c>
    </row>
    <row r="127" spans="1:26" s="24" customFormat="1" hidden="1" outlineLevel="2" x14ac:dyDescent="0.25">
      <c r="A127" s="26"/>
      <c r="B127" s="11" t="str">
        <f>CONCATENATE("          ", "6258", " - ", "MEMBERSHIP DUES")</f>
        <v xml:space="preserve">          6258 - MEMBERSHIP DUES</v>
      </c>
      <c r="C127" s="11"/>
      <c r="D127" s="6"/>
      <c r="E127" s="2"/>
      <c r="F127" s="7">
        <f t="shared" si="74"/>
        <v>0</v>
      </c>
      <c r="G127" s="2"/>
      <c r="H127" s="6"/>
      <c r="I127" s="2"/>
      <c r="J127" s="7">
        <f t="shared" si="75"/>
        <v>0</v>
      </c>
      <c r="K127" s="2"/>
      <c r="L127" s="6">
        <f t="shared" si="76"/>
        <v>0</v>
      </c>
      <c r="M127" s="2"/>
      <c r="N127" s="7">
        <f t="shared" si="77"/>
        <v>0</v>
      </c>
      <c r="O127" s="11"/>
      <c r="P127" s="6"/>
      <c r="Q127" s="2"/>
      <c r="R127" s="7">
        <f t="shared" si="78"/>
        <v>0</v>
      </c>
      <c r="S127" s="2"/>
      <c r="T127" s="6">
        <v>51.48</v>
      </c>
      <c r="U127" s="2"/>
      <c r="V127" s="7">
        <f t="shared" si="79"/>
        <v>3.2041395790420349E-5</v>
      </c>
      <c r="W127" s="2"/>
      <c r="X127" s="6">
        <f t="shared" si="80"/>
        <v>-51.48</v>
      </c>
      <c r="Y127" s="2"/>
      <c r="Z127" s="7">
        <f t="shared" si="81"/>
        <v>-1</v>
      </c>
    </row>
    <row r="128" spans="1:26" s="24" customFormat="1" hidden="1" outlineLevel="2" x14ac:dyDescent="0.25">
      <c r="A128" s="26"/>
      <c r="B128" s="11" t="str">
        <f>CONCATENATE("          ", "6275", " - ", "SUBSCRIPTIONS")</f>
        <v xml:space="preserve">          6275 - SUBSCRIPTIONS</v>
      </c>
      <c r="C128" s="11"/>
      <c r="D128" s="6"/>
      <c r="E128" s="2"/>
      <c r="F128" s="7">
        <f t="shared" si="74"/>
        <v>0</v>
      </c>
      <c r="G128" s="2"/>
      <c r="H128" s="6">
        <v>204.98</v>
      </c>
      <c r="I128" s="2"/>
      <c r="J128" s="7">
        <f t="shared" si="75"/>
        <v>5.5440539021168035E-4</v>
      </c>
      <c r="K128" s="2"/>
      <c r="L128" s="6">
        <f t="shared" si="76"/>
        <v>-204.98</v>
      </c>
      <c r="M128" s="2"/>
      <c r="N128" s="7">
        <f t="shared" si="77"/>
        <v>-1</v>
      </c>
      <c r="O128" s="11"/>
      <c r="P128" s="6">
        <v>385.06</v>
      </c>
      <c r="Q128" s="2"/>
      <c r="R128" s="7">
        <f t="shared" si="78"/>
        <v>2.1986988837055142E-4</v>
      </c>
      <c r="S128" s="2"/>
      <c r="T128" s="6">
        <v>1288.3800000000001</v>
      </c>
      <c r="U128" s="2"/>
      <c r="V128" s="7">
        <f t="shared" si="79"/>
        <v>8.0189381329568322E-4</v>
      </c>
      <c r="W128" s="2"/>
      <c r="X128" s="6">
        <f t="shared" si="80"/>
        <v>-903.32000000000016</v>
      </c>
      <c r="Y128" s="2"/>
      <c r="Z128" s="7">
        <f t="shared" si="81"/>
        <v>-0.70112854903056554</v>
      </c>
    </row>
    <row r="129" spans="1:26" s="27" customFormat="1" outlineLevel="1" collapsed="1" x14ac:dyDescent="0.25">
      <c r="A129" s="25"/>
      <c r="B129" s="13" t="str">
        <f>CONCATENATE("     ","Supplies                                          ")</f>
        <v xml:space="preserve">     Supplies                                          </v>
      </c>
      <c r="C129" s="13"/>
      <c r="D129" s="1">
        <f>SUM(OSRRefD22_18x_0)</f>
        <v>772.12</v>
      </c>
      <c r="E129" s="1"/>
      <c r="F129" s="5">
        <f t="shared" ref="F129:F135" si="82">IF(D$12=0,0,D129/D$12)</f>
        <v>2.5778393157955336E-3</v>
      </c>
      <c r="G129" s="1"/>
      <c r="H129" s="1">
        <f>SUM(OSRRefH22_18x_0)</f>
        <v>216.26000000000002</v>
      </c>
      <c r="I129" s="1"/>
      <c r="J129" s="5">
        <f t="shared" ref="J129:J135" si="83">IF(H$12=0,0,H129/H$12)</f>
        <v>5.8491418522381693E-4</v>
      </c>
      <c r="K129" s="1"/>
      <c r="L129" s="1">
        <f t="shared" ref="L129:L135" si="84">+D129-H129</f>
        <v>555.86</v>
      </c>
      <c r="M129" s="1"/>
      <c r="N129" s="5">
        <f t="shared" ref="N129:N135" si="85">IF(H129=0,0,L129/H129)</f>
        <v>2.5703320077684269</v>
      </c>
      <c r="O129" s="13"/>
      <c r="P129" s="1">
        <f>SUM(OSRRefP22_18x_0)</f>
        <v>3910.84</v>
      </c>
      <c r="Q129" s="1"/>
      <c r="R129" s="5">
        <f t="shared" ref="R129:R135" si="86">IF(P$12=0,0,P129/P$12)</f>
        <v>2.2330960220097837E-3</v>
      </c>
      <c r="S129" s="1"/>
      <c r="T129" s="1">
        <f>SUM(OSRRefT22_18x_0)</f>
        <v>4020.21</v>
      </c>
      <c r="U129" s="1"/>
      <c r="V129" s="5">
        <f t="shared" ref="V129:V135" si="87">IF(T$12=0,0,T129/T$12)</f>
        <v>2.5021977422417596E-3</v>
      </c>
      <c r="W129" s="1"/>
      <c r="X129" s="1">
        <f t="shared" ref="X129:X135" si="88">+P129-T129</f>
        <v>-109.36999999999989</v>
      </c>
      <c r="Y129" s="1"/>
      <c r="Z129" s="5">
        <f t="shared" ref="Z129:Z135" si="89">IF(T129=0,0,X129/T129)</f>
        <v>-2.7205046502545859E-2</v>
      </c>
    </row>
    <row r="130" spans="1:26" s="24" customFormat="1" hidden="1" outlineLevel="2" x14ac:dyDescent="0.25">
      <c r="A130" s="26"/>
      <c r="B130" s="11" t="str">
        <f>CONCATENATE("          ", "6234", " - ", "EXPENDABLE SUPPLIES &amp; EQUIPMEN")</f>
        <v xml:space="preserve">          6234 - EXPENDABLE SUPPLIES &amp; EQUIPMEN</v>
      </c>
      <c r="C130" s="11"/>
      <c r="D130" s="6"/>
      <c r="E130" s="2"/>
      <c r="F130" s="7">
        <f t="shared" si="82"/>
        <v>0</v>
      </c>
      <c r="G130" s="2"/>
      <c r="H130" s="6">
        <v>16.46</v>
      </c>
      <c r="I130" s="2"/>
      <c r="J130" s="7">
        <f t="shared" si="83"/>
        <v>4.4519039530121274E-5</v>
      </c>
      <c r="K130" s="2"/>
      <c r="L130" s="6">
        <f t="shared" si="84"/>
        <v>-16.46</v>
      </c>
      <c r="M130" s="2"/>
      <c r="N130" s="7">
        <f t="shared" si="85"/>
        <v>-1</v>
      </c>
      <c r="O130" s="11"/>
      <c r="P130" s="6">
        <v>20.36</v>
      </c>
      <c r="Q130" s="2"/>
      <c r="R130" s="7">
        <f t="shared" si="86"/>
        <v>1.162559322501539E-5</v>
      </c>
      <c r="S130" s="2"/>
      <c r="T130" s="6">
        <v>324.18</v>
      </c>
      <c r="U130" s="2"/>
      <c r="V130" s="7">
        <f t="shared" si="87"/>
        <v>2.0177116719771696E-4</v>
      </c>
      <c r="W130" s="2"/>
      <c r="X130" s="6">
        <f t="shared" si="88"/>
        <v>-303.82</v>
      </c>
      <c r="Y130" s="2"/>
      <c r="Z130" s="7">
        <f t="shared" si="89"/>
        <v>-0.93719538527978274</v>
      </c>
    </row>
    <row r="131" spans="1:26" s="24" customFormat="1" hidden="1" outlineLevel="2" x14ac:dyDescent="0.25">
      <c r="A131" s="26"/>
      <c r="B131" s="11" t="str">
        <f>CONCATENATE("          ", "6237", " - ", "JANITORIAL SUPPLIES")</f>
        <v xml:space="preserve">          6237 - JANITORIAL SUPPLIES</v>
      </c>
      <c r="C131" s="11"/>
      <c r="D131" s="6"/>
      <c r="E131" s="2"/>
      <c r="F131" s="7">
        <f t="shared" si="82"/>
        <v>0</v>
      </c>
      <c r="G131" s="2"/>
      <c r="H131" s="6"/>
      <c r="I131" s="2"/>
      <c r="J131" s="7">
        <f t="shared" si="83"/>
        <v>0</v>
      </c>
      <c r="K131" s="2"/>
      <c r="L131" s="6">
        <f t="shared" si="84"/>
        <v>0</v>
      </c>
      <c r="M131" s="2"/>
      <c r="N131" s="7">
        <f t="shared" si="85"/>
        <v>0</v>
      </c>
      <c r="O131" s="11"/>
      <c r="P131" s="6">
        <v>287.72000000000003</v>
      </c>
      <c r="Q131" s="2"/>
      <c r="R131" s="7">
        <f t="shared" si="86"/>
        <v>1.6428858952364581E-4</v>
      </c>
      <c r="S131" s="2"/>
      <c r="T131" s="6">
        <v>177.88</v>
      </c>
      <c r="U131" s="2"/>
      <c r="V131" s="7">
        <f t="shared" si="87"/>
        <v>1.1071335437451382E-4</v>
      </c>
      <c r="W131" s="2"/>
      <c r="X131" s="6">
        <f t="shared" si="88"/>
        <v>109.84000000000003</v>
      </c>
      <c r="Y131" s="2"/>
      <c r="Z131" s="7">
        <f t="shared" si="89"/>
        <v>0.61749494040926489</v>
      </c>
    </row>
    <row r="132" spans="1:26" s="24" customFormat="1" hidden="1" outlineLevel="2" x14ac:dyDescent="0.25">
      <c r="A132" s="26"/>
      <c r="B132" s="11" t="str">
        <f>CONCATENATE("          ", "6241", " - ", "OFFICE EXPENSE")</f>
        <v xml:space="preserve">          6241 - OFFICE EXPENSE</v>
      </c>
      <c r="C132" s="11"/>
      <c r="D132" s="6">
        <v>772.12</v>
      </c>
      <c r="E132" s="2"/>
      <c r="F132" s="7">
        <f t="shared" si="82"/>
        <v>2.5778393157955336E-3</v>
      </c>
      <c r="G132" s="2"/>
      <c r="H132" s="6">
        <v>199.8</v>
      </c>
      <c r="I132" s="2"/>
      <c r="J132" s="7">
        <f t="shared" si="83"/>
        <v>5.4039514569369565E-4</v>
      </c>
      <c r="K132" s="2"/>
      <c r="L132" s="6">
        <f t="shared" si="84"/>
        <v>572.31999999999994</v>
      </c>
      <c r="M132" s="2"/>
      <c r="N132" s="7">
        <f t="shared" si="85"/>
        <v>2.8644644644644641</v>
      </c>
      <c r="O132" s="11"/>
      <c r="P132" s="6">
        <v>3877.97</v>
      </c>
      <c r="Q132" s="2"/>
      <c r="R132" s="7">
        <f t="shared" si="86"/>
        <v>2.214327198369987E-3</v>
      </c>
      <c r="S132" s="2"/>
      <c r="T132" s="6">
        <v>1785.69</v>
      </c>
      <c r="U132" s="2"/>
      <c r="V132" s="7">
        <f t="shared" si="87"/>
        <v>1.1114219123736541E-3</v>
      </c>
      <c r="W132" s="2"/>
      <c r="X132" s="6">
        <f t="shared" si="88"/>
        <v>2092.2799999999997</v>
      </c>
      <c r="Y132" s="2"/>
      <c r="Z132" s="7">
        <f t="shared" si="89"/>
        <v>1.1716927350211961</v>
      </c>
    </row>
    <row r="133" spans="1:26" s="24" customFormat="1" hidden="1" outlineLevel="2" x14ac:dyDescent="0.25">
      <c r="A133" s="26"/>
      <c r="B133" s="11" t="str">
        <f>CONCATENATE("          ", "6245", " - ", "PRINTING")</f>
        <v xml:space="preserve">          6245 - PRINTING</v>
      </c>
      <c r="C133" s="11"/>
      <c r="D133" s="6"/>
      <c r="E133" s="2"/>
      <c r="F133" s="7">
        <f t="shared" si="82"/>
        <v>0</v>
      </c>
      <c r="G133" s="2"/>
      <c r="H133" s="6"/>
      <c r="I133" s="2"/>
      <c r="J133" s="7">
        <f t="shared" si="83"/>
        <v>0</v>
      </c>
      <c r="K133" s="2"/>
      <c r="L133" s="6">
        <f t="shared" si="84"/>
        <v>0</v>
      </c>
      <c r="M133" s="2"/>
      <c r="N133" s="7">
        <f t="shared" si="85"/>
        <v>0</v>
      </c>
      <c r="O133" s="11"/>
      <c r="P133" s="6">
        <v>-617.17999999999995</v>
      </c>
      <c r="Q133" s="2"/>
      <c r="R133" s="7">
        <f t="shared" si="86"/>
        <v>-3.5241078716183685E-4</v>
      </c>
      <c r="S133" s="2"/>
      <c r="T133" s="6">
        <v>970.75</v>
      </c>
      <c r="U133" s="2"/>
      <c r="V133" s="7">
        <f t="shared" si="87"/>
        <v>6.0419939711636663E-4</v>
      </c>
      <c r="W133" s="2"/>
      <c r="X133" s="6">
        <f t="shared" si="88"/>
        <v>-1587.9299999999998</v>
      </c>
      <c r="Y133" s="2"/>
      <c r="Z133" s="7">
        <f t="shared" si="89"/>
        <v>-1.635776461498841</v>
      </c>
    </row>
    <row r="134" spans="1:26" s="24" customFormat="1" hidden="1" outlineLevel="2" x14ac:dyDescent="0.25">
      <c r="A134" s="26"/>
      <c r="B134" s="11" t="str">
        <f>CONCATENATE("          ", "6247", " - ", "STORE SUPPLIES")</f>
        <v xml:space="preserve">          6247 - STORE SUPPLIES</v>
      </c>
      <c r="C134" s="11"/>
      <c r="D134" s="6"/>
      <c r="E134" s="2"/>
      <c r="F134" s="7">
        <f t="shared" si="82"/>
        <v>0</v>
      </c>
      <c r="G134" s="2"/>
      <c r="H134" s="6"/>
      <c r="I134" s="2"/>
      <c r="J134" s="7">
        <f t="shared" si="83"/>
        <v>0</v>
      </c>
      <c r="K134" s="2"/>
      <c r="L134" s="6">
        <f t="shared" si="84"/>
        <v>0</v>
      </c>
      <c r="M134" s="2"/>
      <c r="N134" s="7">
        <f t="shared" si="85"/>
        <v>0</v>
      </c>
      <c r="O134" s="11"/>
      <c r="P134" s="6">
        <v>341.97</v>
      </c>
      <c r="Q134" s="2"/>
      <c r="R134" s="7">
        <f t="shared" si="86"/>
        <v>1.9526542805297219E-4</v>
      </c>
      <c r="S134" s="2"/>
      <c r="T134" s="6">
        <v>662.71</v>
      </c>
      <c r="U134" s="2"/>
      <c r="V134" s="7">
        <f t="shared" si="87"/>
        <v>4.1247384235177682E-4</v>
      </c>
      <c r="W134" s="2"/>
      <c r="X134" s="6">
        <f t="shared" si="88"/>
        <v>-320.74</v>
      </c>
      <c r="Y134" s="2"/>
      <c r="Z134" s="7">
        <f t="shared" si="89"/>
        <v>-0.48398243575621314</v>
      </c>
    </row>
    <row r="135" spans="1:26" s="24" customFormat="1" hidden="1" outlineLevel="2" x14ac:dyDescent="0.25">
      <c r="A135" s="26"/>
      <c r="B135" s="11" t="str">
        <f>CONCATENATE("          ", "6248", " - ", "UNIFORMS")</f>
        <v xml:space="preserve">          6248 - UNIFORMS</v>
      </c>
      <c r="C135" s="11"/>
      <c r="D135" s="6"/>
      <c r="E135" s="2"/>
      <c r="F135" s="7">
        <f t="shared" si="82"/>
        <v>0</v>
      </c>
      <c r="G135" s="2"/>
      <c r="H135" s="6"/>
      <c r="I135" s="2"/>
      <c r="J135" s="7">
        <f t="shared" si="83"/>
        <v>0</v>
      </c>
      <c r="K135" s="2"/>
      <c r="L135" s="6">
        <f t="shared" si="84"/>
        <v>0</v>
      </c>
      <c r="M135" s="2"/>
      <c r="N135" s="7">
        <f t="shared" si="85"/>
        <v>0</v>
      </c>
      <c r="O135" s="11"/>
      <c r="P135" s="6"/>
      <c r="Q135" s="2"/>
      <c r="R135" s="7">
        <f t="shared" si="86"/>
        <v>0</v>
      </c>
      <c r="S135" s="2"/>
      <c r="T135" s="6">
        <v>99</v>
      </c>
      <c r="U135" s="2"/>
      <c r="V135" s="7">
        <f t="shared" si="87"/>
        <v>6.1618068827731443E-5</v>
      </c>
      <c r="W135" s="2"/>
      <c r="X135" s="6">
        <f t="shared" si="88"/>
        <v>-99</v>
      </c>
      <c r="Y135" s="2"/>
      <c r="Z135" s="7">
        <f t="shared" si="89"/>
        <v>-1</v>
      </c>
    </row>
    <row r="136" spans="1:26" s="27" customFormat="1" outlineLevel="1" collapsed="1" x14ac:dyDescent="0.25">
      <c r="A136" s="25"/>
      <c r="B136" s="13" t="str">
        <f>CONCATENATE("     ","Telephone/Data Lines                              ")</f>
        <v xml:space="preserve">     Telephone/Data Lines                              </v>
      </c>
      <c r="C136" s="13"/>
      <c r="D136" s="1">
        <f>SUM(OSRRefD22_19x_0)</f>
        <v>584.54</v>
      </c>
      <c r="E136" s="1"/>
      <c r="F136" s="5">
        <f t="shared" ref="F136:F142" si="90">IF(D$12=0,0,D136/D$12)</f>
        <v>1.9515751355425597E-3</v>
      </c>
      <c r="G136" s="1"/>
      <c r="H136" s="1">
        <f>SUM(OSRRefH22_19x_0)</f>
        <v>604.69000000000005</v>
      </c>
      <c r="I136" s="1"/>
      <c r="J136" s="5">
        <f t="shared" ref="J136:J142" si="91">IF(H$12=0,0,H136/H$12)</f>
        <v>1.6354931964440483E-3</v>
      </c>
      <c r="K136" s="1"/>
      <c r="L136" s="1">
        <f t="shared" ref="L136:L142" si="92">+D136-H136</f>
        <v>-20.150000000000091</v>
      </c>
      <c r="M136" s="1"/>
      <c r="N136" s="5">
        <f t="shared" ref="N136:N142" si="93">IF(H136=0,0,L136/H136)</f>
        <v>-3.3322859647092043E-2</v>
      </c>
      <c r="O136" s="13"/>
      <c r="P136" s="1">
        <f>SUM(OSRRefP22_19x_0)</f>
        <v>5244.34</v>
      </c>
      <c r="Q136" s="1"/>
      <c r="R136" s="5">
        <f t="shared" ref="R136:R142" si="94">IF(P$12=0,0,P136/P$12)</f>
        <v>2.9945266981177415E-3</v>
      </c>
      <c r="S136" s="1"/>
      <c r="T136" s="1">
        <f>SUM(OSRRefT22_19x_0)</f>
        <v>5595.16</v>
      </c>
      <c r="U136" s="1"/>
      <c r="V136" s="5">
        <f t="shared" ref="V136:V142" si="95">IF(T$12=0,0,T136/T$12)</f>
        <v>3.4824540806279781E-3</v>
      </c>
      <c r="W136" s="1"/>
      <c r="X136" s="1">
        <f t="shared" ref="X136:X142" si="96">+P136-T136</f>
        <v>-350.81999999999971</v>
      </c>
      <c r="Y136" s="1"/>
      <c r="Z136" s="5">
        <f t="shared" ref="Z136:Z142" si="97">IF(T136=0,0,X136/T136)</f>
        <v>-6.2700619821417031E-2</v>
      </c>
    </row>
    <row r="137" spans="1:26" s="24" customFormat="1" hidden="1" outlineLevel="2" x14ac:dyDescent="0.25">
      <c r="A137" s="26"/>
      <c r="B137" s="11" t="str">
        <f>CONCATENATE("          ", "6309", " - ", "TELEPHONE")</f>
        <v xml:space="preserve">          6309 - TELEPHONE</v>
      </c>
      <c r="C137" s="11"/>
      <c r="D137" s="6">
        <v>584.54</v>
      </c>
      <c r="E137" s="2"/>
      <c r="F137" s="7">
        <f t="shared" si="90"/>
        <v>1.9515751355425597E-3</v>
      </c>
      <c r="G137" s="2"/>
      <c r="H137" s="6">
        <v>604.69000000000005</v>
      </c>
      <c r="I137" s="2"/>
      <c r="J137" s="7">
        <f t="shared" si="91"/>
        <v>1.6354931964440483E-3</v>
      </c>
      <c r="K137" s="2"/>
      <c r="L137" s="6">
        <f t="shared" si="92"/>
        <v>-20.150000000000091</v>
      </c>
      <c r="M137" s="2"/>
      <c r="N137" s="7">
        <f t="shared" si="93"/>
        <v>-3.3322859647092043E-2</v>
      </c>
      <c r="O137" s="11"/>
      <c r="P137" s="6">
        <v>5244.34</v>
      </c>
      <c r="Q137" s="2"/>
      <c r="R137" s="7">
        <f t="shared" si="94"/>
        <v>2.9945266981177415E-3</v>
      </c>
      <c r="S137" s="2"/>
      <c r="T137" s="6">
        <v>5595.16</v>
      </c>
      <c r="U137" s="2"/>
      <c r="V137" s="7">
        <f t="shared" si="95"/>
        <v>3.4824540806279781E-3</v>
      </c>
      <c r="W137" s="2"/>
      <c r="X137" s="6">
        <f t="shared" si="96"/>
        <v>-350.81999999999971</v>
      </c>
      <c r="Y137" s="2"/>
      <c r="Z137" s="7">
        <f t="shared" si="97"/>
        <v>-6.2700619821417031E-2</v>
      </c>
    </row>
    <row r="138" spans="1:26" s="27" customFormat="1" outlineLevel="1" collapsed="1" x14ac:dyDescent="0.25">
      <c r="A138" s="25"/>
      <c r="B138" s="13" t="str">
        <f>CONCATENATE("     ","Training                                          ")</f>
        <v xml:space="preserve">     Training                                          </v>
      </c>
      <c r="C138" s="13"/>
      <c r="D138" s="1">
        <f>SUM(OSRRefD22_20x_0)</f>
        <v>0</v>
      </c>
      <c r="E138" s="1"/>
      <c r="F138" s="5">
        <f t="shared" si="90"/>
        <v>0</v>
      </c>
      <c r="G138" s="1"/>
      <c r="H138" s="1">
        <f>SUM(OSRRefH22_20x_0)</f>
        <v>754.78</v>
      </c>
      <c r="I138" s="1"/>
      <c r="J138" s="5">
        <f t="shared" si="91"/>
        <v>2.0414386790124505E-3</v>
      </c>
      <c r="K138" s="1"/>
      <c r="L138" s="1">
        <f t="shared" si="92"/>
        <v>-754.78</v>
      </c>
      <c r="M138" s="1"/>
      <c r="N138" s="5">
        <f t="shared" si="93"/>
        <v>-1</v>
      </c>
      <c r="O138" s="13"/>
      <c r="P138" s="1">
        <f>SUM(OSRRefP22_20x_0)</f>
        <v>1379.18</v>
      </c>
      <c r="Q138" s="1"/>
      <c r="R138" s="5">
        <f t="shared" si="94"/>
        <v>7.875140306520986E-4</v>
      </c>
      <c r="S138" s="1"/>
      <c r="T138" s="1">
        <f>SUM(OSRRefT22_20x_0)</f>
        <v>1495.78</v>
      </c>
      <c r="U138" s="1"/>
      <c r="V138" s="5">
        <f t="shared" si="95"/>
        <v>9.3098055546610235E-4</v>
      </c>
      <c r="W138" s="1"/>
      <c r="X138" s="1">
        <f t="shared" si="96"/>
        <v>-116.59999999999991</v>
      </c>
      <c r="Y138" s="1"/>
      <c r="Z138" s="5">
        <f t="shared" si="97"/>
        <v>-7.7952640094131428E-2</v>
      </c>
    </row>
    <row r="139" spans="1:26" s="24" customFormat="1" hidden="1" outlineLevel="2" x14ac:dyDescent="0.25">
      <c r="A139" s="26"/>
      <c r="B139" s="11" t="str">
        <f>CONCATENATE("          ", "6376", " - ", "TRAINING")</f>
        <v xml:space="preserve">          6376 - TRAINING</v>
      </c>
      <c r="C139" s="11"/>
      <c r="D139" s="6"/>
      <c r="E139" s="2"/>
      <c r="F139" s="7">
        <f t="shared" si="90"/>
        <v>0</v>
      </c>
      <c r="G139" s="2"/>
      <c r="H139" s="6">
        <v>754.78</v>
      </c>
      <c r="I139" s="2"/>
      <c r="J139" s="7">
        <f t="shared" si="91"/>
        <v>2.0414386790124505E-3</v>
      </c>
      <c r="K139" s="2"/>
      <c r="L139" s="6">
        <f t="shared" si="92"/>
        <v>-754.78</v>
      </c>
      <c r="M139" s="2"/>
      <c r="N139" s="7">
        <f t="shared" si="93"/>
        <v>-1</v>
      </c>
      <c r="O139" s="11"/>
      <c r="P139" s="6">
        <v>1379.18</v>
      </c>
      <c r="Q139" s="2"/>
      <c r="R139" s="7">
        <f t="shared" si="94"/>
        <v>7.875140306520986E-4</v>
      </c>
      <c r="S139" s="2"/>
      <c r="T139" s="6">
        <v>1495.78</v>
      </c>
      <c r="U139" s="2"/>
      <c r="V139" s="7">
        <f t="shared" si="95"/>
        <v>9.3098055546610235E-4</v>
      </c>
      <c r="W139" s="2"/>
      <c r="X139" s="6">
        <f t="shared" si="96"/>
        <v>-116.59999999999991</v>
      </c>
      <c r="Y139" s="2"/>
      <c r="Z139" s="7">
        <f t="shared" si="97"/>
        <v>-7.7952640094131428E-2</v>
      </c>
    </row>
    <row r="140" spans="1:26" s="27" customFormat="1" outlineLevel="1" collapsed="1" x14ac:dyDescent="0.25">
      <c r="A140" s="25"/>
      <c r="B140" s="13" t="str">
        <f>CONCATENATE("     ","Travel                                            ")</f>
        <v xml:space="preserve">     Travel                                            </v>
      </c>
      <c r="C140" s="13"/>
      <c r="D140" s="1">
        <f>SUM(OSRRefD22_21x_0)</f>
        <v>125.14</v>
      </c>
      <c r="E140" s="1"/>
      <c r="F140" s="5">
        <f t="shared" si="90"/>
        <v>4.1779880326717748E-4</v>
      </c>
      <c r="G140" s="1"/>
      <c r="H140" s="1">
        <f>SUM(OSRRefH22_21x_0)</f>
        <v>38.18</v>
      </c>
      <c r="I140" s="1"/>
      <c r="J140" s="5">
        <f t="shared" si="91"/>
        <v>1.0326469801093744E-4</v>
      </c>
      <c r="K140" s="1"/>
      <c r="L140" s="1">
        <f t="shared" si="92"/>
        <v>86.960000000000008</v>
      </c>
      <c r="M140" s="1"/>
      <c r="N140" s="5">
        <f t="shared" si="93"/>
        <v>2.2776322682032482</v>
      </c>
      <c r="O140" s="13"/>
      <c r="P140" s="1">
        <f>SUM(OSRRefP22_21x_0)</f>
        <v>910.31</v>
      </c>
      <c r="Q140" s="1"/>
      <c r="R140" s="5">
        <f t="shared" si="94"/>
        <v>5.1978849551393715E-4</v>
      </c>
      <c r="S140" s="1"/>
      <c r="T140" s="1">
        <f>SUM(OSRRefT22_21x_0)</f>
        <v>431.48</v>
      </c>
      <c r="U140" s="1"/>
      <c r="V140" s="5">
        <f t="shared" si="95"/>
        <v>2.6855519533120772E-4</v>
      </c>
      <c r="W140" s="1"/>
      <c r="X140" s="1">
        <f t="shared" si="96"/>
        <v>478.82999999999993</v>
      </c>
      <c r="Y140" s="1"/>
      <c r="Z140" s="5">
        <f t="shared" si="97"/>
        <v>1.1097385742096966</v>
      </c>
    </row>
    <row r="141" spans="1:26" s="24" customFormat="1" hidden="1" outlineLevel="2" x14ac:dyDescent="0.25">
      <c r="A141" s="26"/>
      <c r="B141" s="11" t="str">
        <f>CONCATENATE("          ", "6292", " - ", "TRAVEL/CONFERENCE")</f>
        <v xml:space="preserve">          6292 - TRAVEL/CONFERENCE</v>
      </c>
      <c r="C141" s="11"/>
      <c r="D141" s="6"/>
      <c r="E141" s="2"/>
      <c r="F141" s="7">
        <f t="shared" si="90"/>
        <v>0</v>
      </c>
      <c r="G141" s="2"/>
      <c r="H141" s="6"/>
      <c r="I141" s="2"/>
      <c r="J141" s="7">
        <f t="shared" si="91"/>
        <v>0</v>
      </c>
      <c r="K141" s="2"/>
      <c r="L141" s="6">
        <f t="shared" si="92"/>
        <v>0</v>
      </c>
      <c r="M141" s="2"/>
      <c r="N141" s="7">
        <f t="shared" si="93"/>
        <v>0</v>
      </c>
      <c r="O141" s="11"/>
      <c r="P141" s="6">
        <v>107.04</v>
      </c>
      <c r="Q141" s="2"/>
      <c r="R141" s="7">
        <f t="shared" si="94"/>
        <v>6.112001467611236E-5</v>
      </c>
      <c r="S141" s="2"/>
      <c r="T141" s="6"/>
      <c r="U141" s="2"/>
      <c r="V141" s="7">
        <f t="shared" si="95"/>
        <v>0</v>
      </c>
      <c r="W141" s="2"/>
      <c r="X141" s="6">
        <f t="shared" si="96"/>
        <v>107.04</v>
      </c>
      <c r="Y141" s="2"/>
      <c r="Z141" s="7">
        <f t="shared" si="97"/>
        <v>0</v>
      </c>
    </row>
    <row r="142" spans="1:26" s="24" customFormat="1" hidden="1" outlineLevel="2" x14ac:dyDescent="0.25">
      <c r="A142" s="26"/>
      <c r="B142" s="11" t="str">
        <f>CONCATENATE("          ", "6294", " - ", "TRAVEL OPERATIONAL")</f>
        <v xml:space="preserve">          6294 - TRAVEL OPERATIONAL</v>
      </c>
      <c r="C142" s="11"/>
      <c r="D142" s="6">
        <v>125.14</v>
      </c>
      <c r="E142" s="2"/>
      <c r="F142" s="7">
        <f t="shared" si="90"/>
        <v>4.1779880326717748E-4</v>
      </c>
      <c r="G142" s="2"/>
      <c r="H142" s="6">
        <v>38.18</v>
      </c>
      <c r="I142" s="2"/>
      <c r="J142" s="7">
        <f t="shared" si="91"/>
        <v>1.0326469801093744E-4</v>
      </c>
      <c r="K142" s="2"/>
      <c r="L142" s="6">
        <f t="shared" si="92"/>
        <v>86.960000000000008</v>
      </c>
      <c r="M142" s="2"/>
      <c r="N142" s="7">
        <f t="shared" si="93"/>
        <v>2.2776322682032482</v>
      </c>
      <c r="O142" s="11"/>
      <c r="P142" s="6">
        <v>803.27</v>
      </c>
      <c r="Q142" s="2"/>
      <c r="R142" s="7">
        <f t="shared" si="94"/>
        <v>4.5866848083782482E-4</v>
      </c>
      <c r="S142" s="2"/>
      <c r="T142" s="6">
        <v>431.48</v>
      </c>
      <c r="U142" s="2"/>
      <c r="V142" s="7">
        <f t="shared" si="95"/>
        <v>2.6855519533120772E-4</v>
      </c>
      <c r="W142" s="2"/>
      <c r="X142" s="6">
        <f t="shared" si="96"/>
        <v>371.78999999999996</v>
      </c>
      <c r="Y142" s="2"/>
      <c r="Z142" s="7">
        <f t="shared" si="97"/>
        <v>0.86166218596458688</v>
      </c>
    </row>
    <row r="143" spans="1:26" s="27" customFormat="1" outlineLevel="1" collapsed="1" x14ac:dyDescent="0.25">
      <c r="A143" s="25"/>
      <c r="B143" s="13" t="str">
        <f>CONCATENATE("     ","Utilities                                         ")</f>
        <v xml:space="preserve">     Utilities                                         </v>
      </c>
      <c r="C143" s="13"/>
      <c r="D143" s="1">
        <f>SUM(OSRRefD22_22x_0)</f>
        <v>70.760000000000005</v>
      </c>
      <c r="E143" s="1"/>
      <c r="F143" s="5">
        <f t="shared" ref="F143:F144" si="98">IF(D$12=0,0,D143/D$12)</f>
        <v>2.3624295444450599E-4</v>
      </c>
      <c r="G143" s="1"/>
      <c r="H143" s="1">
        <f>SUM(OSRRefH22_22x_0)</f>
        <v>53.49</v>
      </c>
      <c r="I143" s="1"/>
      <c r="J143" s="5">
        <f t="shared" ref="J143:J144" si="99">IF(H$12=0,0,H143/H$12)</f>
        <v>1.4467335507084976E-4</v>
      </c>
      <c r="K143" s="1"/>
      <c r="L143" s="1">
        <f t="shared" ref="L143:L144" si="100">+D143-H143</f>
        <v>17.270000000000003</v>
      </c>
      <c r="M143" s="1"/>
      <c r="N143" s="5">
        <f t="shared" ref="N143:N144" si="101">IF(H143=0,0,L143/H143)</f>
        <v>0.32286408674518607</v>
      </c>
      <c r="O143" s="13"/>
      <c r="P143" s="1">
        <f>SUM(OSRRefP22_22x_0)</f>
        <v>297.68</v>
      </c>
      <c r="Q143" s="1"/>
      <c r="R143" s="5">
        <f t="shared" ref="R143:R144" si="102">IF(P$12=0,0,P143/P$12)</f>
        <v>1.6997576577714056E-4</v>
      </c>
      <c r="S143" s="1"/>
      <c r="T143" s="1">
        <f>SUM(OSRRefT22_22x_0)</f>
        <v>370.73</v>
      </c>
      <c r="U143" s="1"/>
      <c r="V143" s="5">
        <f t="shared" ref="V143:V144" si="103">IF(T$12=0,0,T143/T$12)</f>
        <v>2.3074410764146341E-4</v>
      </c>
      <c r="W143" s="1"/>
      <c r="X143" s="1">
        <f t="shared" ref="X143:X144" si="104">+P143-T143</f>
        <v>-73.050000000000011</v>
      </c>
      <c r="Y143" s="1"/>
      <c r="Z143" s="5">
        <f t="shared" ref="Z143:Z144" si="105">IF(T143=0,0,X143/T143)</f>
        <v>-0.19704367059585146</v>
      </c>
    </row>
    <row r="144" spans="1:26" s="24" customFormat="1" hidden="1" outlineLevel="2" x14ac:dyDescent="0.25">
      <c r="A144" s="26"/>
      <c r="B144" s="11" t="str">
        <f>CONCATENATE("          ", "6274", " - ", "UTILITIES")</f>
        <v xml:space="preserve">          6274 - UTILITIES</v>
      </c>
      <c r="C144" s="11"/>
      <c r="D144" s="6">
        <v>70.760000000000005</v>
      </c>
      <c r="E144" s="2"/>
      <c r="F144" s="7">
        <f t="shared" si="98"/>
        <v>2.3624295444450599E-4</v>
      </c>
      <c r="G144" s="2"/>
      <c r="H144" s="6">
        <v>53.49</v>
      </c>
      <c r="I144" s="2"/>
      <c r="J144" s="7">
        <f t="shared" si="99"/>
        <v>1.4467335507084976E-4</v>
      </c>
      <c r="K144" s="2"/>
      <c r="L144" s="6">
        <f t="shared" si="100"/>
        <v>17.270000000000003</v>
      </c>
      <c r="M144" s="2"/>
      <c r="N144" s="7">
        <f t="shared" si="101"/>
        <v>0.32286408674518607</v>
      </c>
      <c r="O144" s="11"/>
      <c r="P144" s="6">
        <v>297.68</v>
      </c>
      <c r="Q144" s="2"/>
      <c r="R144" s="7">
        <f t="shared" si="102"/>
        <v>1.6997576577714056E-4</v>
      </c>
      <c r="S144" s="2"/>
      <c r="T144" s="6">
        <v>370.73</v>
      </c>
      <c r="U144" s="2"/>
      <c r="V144" s="7">
        <f t="shared" si="103"/>
        <v>2.3074410764146341E-4</v>
      </c>
      <c r="W144" s="2"/>
      <c r="X144" s="6">
        <f t="shared" si="104"/>
        <v>-73.050000000000011</v>
      </c>
      <c r="Y144" s="2"/>
      <c r="Z144" s="7">
        <f t="shared" si="105"/>
        <v>-0.19704367059585146</v>
      </c>
    </row>
    <row r="145" spans="1:26" s="61" customFormat="1" x14ac:dyDescent="0.25">
      <c r="A145" s="37"/>
      <c r="B145" s="37"/>
      <c r="C145" s="37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7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collapsed="1" x14ac:dyDescent="0.25">
      <c r="A146" s="10"/>
      <c r="B146" s="28" t="s">
        <v>0</v>
      </c>
      <c r="C146" s="10"/>
      <c r="D146" s="4">
        <f>SUM(OSRRefD25x_0)</f>
        <v>0</v>
      </c>
      <c r="E146" s="4"/>
      <c r="F146" s="12">
        <f t="shared" ref="F146:F147" si="106">IF(D$12=0,0,D146/D$12)</f>
        <v>0</v>
      </c>
      <c r="G146" s="4"/>
      <c r="H146" s="4">
        <f>SUM(OSRRefH25x_0)</f>
        <v>0</v>
      </c>
      <c r="I146" s="4"/>
      <c r="J146" s="12">
        <f t="shared" ref="J146:J147" si="107">IF(H$12=0,0,H146/H$12)</f>
        <v>0</v>
      </c>
      <c r="K146" s="4"/>
      <c r="L146" s="4">
        <f t="shared" ref="L146:L147" si="108">+D146-H146</f>
        <v>0</v>
      </c>
      <c r="M146" s="4"/>
      <c r="N146" s="12">
        <f t="shared" ref="N146:N147" si="109">IF(H146=0,0,L146/H146)</f>
        <v>0</v>
      </c>
      <c r="O146" s="10"/>
      <c r="P146" s="4">
        <f>SUM(OSRRefP25x_0)</f>
        <v>14830.16</v>
      </c>
      <c r="Q146" s="4"/>
      <c r="R146" s="12">
        <f t="shared" ref="R146:R147" si="110">IF(P$12=0,0,P146/P$12)</f>
        <v>8.4680455609967703E-3</v>
      </c>
      <c r="S146" s="4"/>
      <c r="T146" s="4">
        <f>SUM(OSRRefT25x_0)</f>
        <v>45451.3</v>
      </c>
      <c r="U146" s="4"/>
      <c r="V146" s="12">
        <f t="shared" ref="V146:V147" si="111">IF(T$12=0,0,T146/T$12)</f>
        <v>2.8289104360705759E-2</v>
      </c>
      <c r="W146" s="4"/>
      <c r="X146" s="4">
        <f t="shared" ref="X146:X147" si="112">+P146-T146</f>
        <v>-30621.140000000003</v>
      </c>
      <c r="Y146" s="4"/>
      <c r="Z146" s="12">
        <f t="shared" ref="Z146:Z147" si="113">IF(T146=0,0,X146/T146)</f>
        <v>-0.67371318312127493</v>
      </c>
    </row>
    <row r="147" spans="1:26" s="24" customFormat="1" hidden="1" outlineLevel="1" x14ac:dyDescent="0.25">
      <c r="A147" s="44"/>
      <c r="B147" s="11" t="str">
        <f>CONCATENATE("          ", "9150", " - ", "MISC. INCOME")</f>
        <v xml:space="preserve">          9150 - MISC. INCOME</v>
      </c>
      <c r="C147" s="11"/>
      <c r="D147" s="2">
        <f>0</f>
        <v>0</v>
      </c>
      <c r="E147" s="2"/>
      <c r="F147" s="19">
        <f t="shared" si="106"/>
        <v>0</v>
      </c>
      <c r="G147" s="2"/>
      <c r="H147" s="2">
        <f>0</f>
        <v>0</v>
      </c>
      <c r="I147" s="2"/>
      <c r="J147" s="19">
        <f t="shared" si="107"/>
        <v>0</v>
      </c>
      <c r="K147" s="2"/>
      <c r="L147" s="2">
        <f t="shared" si="108"/>
        <v>0</v>
      </c>
      <c r="M147" s="2"/>
      <c r="N147" s="19">
        <f t="shared" si="109"/>
        <v>0</v>
      </c>
      <c r="O147" s="11"/>
      <c r="P147" s="2">
        <f>--14830.16</f>
        <v>14830.16</v>
      </c>
      <c r="Q147" s="2"/>
      <c r="R147" s="19">
        <f t="shared" si="110"/>
        <v>8.4680455609967703E-3</v>
      </c>
      <c r="S147" s="2"/>
      <c r="T147" s="2">
        <f>--45451.3</f>
        <v>45451.3</v>
      </c>
      <c r="U147" s="2"/>
      <c r="V147" s="19">
        <f t="shared" si="111"/>
        <v>2.8289104360705759E-2</v>
      </c>
      <c r="W147" s="2"/>
      <c r="X147" s="2">
        <f t="shared" si="112"/>
        <v>-30621.140000000003</v>
      </c>
      <c r="Y147" s="2"/>
      <c r="Z147" s="19">
        <f t="shared" si="113"/>
        <v>-0.67371318312127493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25">
      <c r="A149" s="10"/>
      <c r="B149" s="29" t="s">
        <v>3</v>
      </c>
      <c r="C149" s="29"/>
      <c r="D149" s="20">
        <f>+D70-D72+D146</f>
        <v>68835.649999999907</v>
      </c>
      <c r="E149" s="14"/>
      <c r="F149" s="21">
        <f>IF(D$12=0,0,D149/D$12)</f>
        <v>0.22981822112928119</v>
      </c>
      <c r="G149" s="14"/>
      <c r="H149" s="20">
        <f>+H70-H72+H146</f>
        <v>103390.15000000005</v>
      </c>
      <c r="I149" s="14"/>
      <c r="J149" s="21">
        <f>IF(H$12=0,0,H149/H$12)</f>
        <v>0.27963731317589124</v>
      </c>
      <c r="K149" s="15"/>
      <c r="L149" s="20">
        <f>+D149-H149</f>
        <v>-34554.500000000146</v>
      </c>
      <c r="M149" s="15"/>
      <c r="N149" s="21">
        <f>IF(H149=0,0,L149/H149)</f>
        <v>-0.33421462295973192</v>
      </c>
      <c r="O149" s="28"/>
      <c r="P149" s="20">
        <f>+P70-P72+P146</f>
        <v>411989.45999999979</v>
      </c>
      <c r="Q149" s="14"/>
      <c r="R149" s="21">
        <f>IF(P$12=0,0,P149/P$12)</f>
        <v>0.23524665397611724</v>
      </c>
      <c r="S149" s="14"/>
      <c r="T149" s="20">
        <f>+T70-T72+T146</f>
        <v>441958.01999999955</v>
      </c>
      <c r="U149" s="14"/>
      <c r="V149" s="21">
        <f>IF(T$12=0,0,T149/T$12)</f>
        <v>0.27507676459927155</v>
      </c>
      <c r="W149" s="15"/>
      <c r="X149" s="20">
        <f>+P149-T149</f>
        <v>-29968.559999999765</v>
      </c>
      <c r="Y149" s="15"/>
      <c r="Z149" s="21">
        <f>IF(T149=0,0,X149/T149)</f>
        <v>-6.7808612229731224E-2</v>
      </c>
    </row>
    <row r="150" spans="1:26" x14ac:dyDescent="0.25">
      <c r="A150" s="9"/>
      <c r="B150" s="10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51"/>
      <c r="B151" s="10" t="s">
        <v>13</v>
      </c>
      <c r="C151" s="10"/>
      <c r="D151" s="4">
        <v>35420.460000000006</v>
      </c>
      <c r="E151" s="4"/>
      <c r="F151" s="12">
        <f>IF(D$12=0,0,D151/D$12)</f>
        <v>0.11825655904725053</v>
      </c>
      <c r="G151" s="4"/>
      <c r="H151" s="4">
        <v>43230.18</v>
      </c>
      <c r="I151" s="4"/>
      <c r="J151" s="12">
        <f>IF(H$12=0,0,H151/H$12)</f>
        <v>0.11692382091824169</v>
      </c>
      <c r="K151" s="4"/>
      <c r="L151" s="4">
        <f>+D151-H151</f>
        <v>-7809.7199999999939</v>
      </c>
      <c r="M151" s="4"/>
      <c r="N151" s="12">
        <f>IF(H151=0,0,L151/H151)</f>
        <v>-0.18065434842047834</v>
      </c>
      <c r="O151" s="10"/>
      <c r="P151" s="4">
        <v>189154.81</v>
      </c>
      <c r="Q151" s="4"/>
      <c r="R151" s="12">
        <f>IF(P$12=0,0,P151/P$12)</f>
        <v>0.10800770518738083</v>
      </c>
      <c r="S151" s="4"/>
      <c r="T151" s="4">
        <v>173384.19</v>
      </c>
      <c r="U151" s="4"/>
      <c r="V151" s="12">
        <f>IF(T$12=0,0,T151/T$12)</f>
        <v>0.10791514094000471</v>
      </c>
      <c r="W151" s="4"/>
      <c r="X151" s="4">
        <f>+P151-T151</f>
        <v>15770.619999999995</v>
      </c>
      <c r="Y151" s="4"/>
      <c r="Z151" s="12">
        <f>IF(T151=0,0,X151/T151)</f>
        <v>9.0957658826909163E-2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ht="15.75" thickBot="1" x14ac:dyDescent="0.3">
      <c r="A153" s="10"/>
      <c r="B153" s="29" t="s">
        <v>4</v>
      </c>
      <c r="C153" s="29"/>
      <c r="D153" s="32">
        <f>+D149-D151</f>
        <v>33415.1899999999</v>
      </c>
      <c r="E153" s="14"/>
      <c r="F153" s="30">
        <f>IF(D$12=0,0,D153/D$12)</f>
        <v>0.11156166208203065</v>
      </c>
      <c r="G153" s="14"/>
      <c r="H153" s="32">
        <f>+H149-H151</f>
        <v>60159.970000000052</v>
      </c>
      <c r="I153" s="14"/>
      <c r="J153" s="30">
        <f>IF(H$12=0,0,H153/H$12)</f>
        <v>0.16271349225764958</v>
      </c>
      <c r="K153" s="15"/>
      <c r="L153" s="32">
        <f>D153-H153</f>
        <v>-26744.780000000152</v>
      </c>
      <c r="M153" s="15"/>
      <c r="N153" s="30">
        <f>IF(H153=0,0,L153/H153)</f>
        <v>-0.44456105945531771</v>
      </c>
      <c r="O153" s="28"/>
      <c r="P153" s="32">
        <f>+P149-P151</f>
        <v>222834.64999999979</v>
      </c>
      <c r="Q153" s="14"/>
      <c r="R153" s="30">
        <f>IF(P$12=0,0,P153/P$12)</f>
        <v>0.12723894878873643</v>
      </c>
      <c r="S153" s="14"/>
      <c r="T153" s="32">
        <f>+T149-T151</f>
        <v>268573.82999999955</v>
      </c>
      <c r="U153" s="14"/>
      <c r="V153" s="30">
        <f>IF(T$12=0,0,T153/T$12)</f>
        <v>0.16716162365926682</v>
      </c>
      <c r="W153" s="15"/>
      <c r="X153" s="32">
        <f>P153-T153</f>
        <v>-45739.17999999976</v>
      </c>
      <c r="Y153" s="15"/>
      <c r="Z153" s="30">
        <f>IF(T153=0,0,X153/T153)</f>
        <v>-0.17030393467598773</v>
      </c>
    </row>
    <row r="154" spans="1:26" ht="15.75" thickTop="1" x14ac:dyDescent="0.2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x14ac:dyDescent="0.2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ht="15.75" thickBot="1" x14ac:dyDescent="0.3">
      <c r="A156" s="10"/>
      <c r="B156" s="29" t="s">
        <v>5</v>
      </c>
      <c r="C156" s="29"/>
      <c r="D156" s="36">
        <f>SUM(D153:D155)</f>
        <v>33415.1899999999</v>
      </c>
      <c r="E156" s="14"/>
      <c r="F156" s="31">
        <f>IF(D$12=0,0,D156/D$12)</f>
        <v>0.11156166208203065</v>
      </c>
      <c r="G156" s="14"/>
      <c r="H156" s="36">
        <f>SUM(H153:H155)</f>
        <v>60159.970000000052</v>
      </c>
      <c r="I156" s="14"/>
      <c r="J156" s="31">
        <f>IF(H$12=0,0,H156/H$12)</f>
        <v>0.16271349225764958</v>
      </c>
      <c r="K156" s="15"/>
      <c r="L156" s="36">
        <f>+D156-H156</f>
        <v>-26744.780000000152</v>
      </c>
      <c r="M156" s="15"/>
      <c r="N156" s="31">
        <f>IF(H156=0,0,L156/H156)</f>
        <v>-0.44456105945531771</v>
      </c>
      <c r="O156" s="28"/>
      <c r="P156" s="36">
        <f>SUM(P153:P155)</f>
        <v>222834.64999999979</v>
      </c>
      <c r="Q156" s="14"/>
      <c r="R156" s="31">
        <f>IF(P$12=0,0,P156/P$12)</f>
        <v>0.12723894878873643</v>
      </c>
      <c r="S156" s="14"/>
      <c r="T156" s="36">
        <f>SUM(T153:T155)</f>
        <v>268573.82999999955</v>
      </c>
      <c r="U156" s="14"/>
      <c r="V156" s="31">
        <f>IF(T$12=0,0,T156/T$12)</f>
        <v>0.16716162365926682</v>
      </c>
      <c r="W156" s="15"/>
      <c r="X156" s="36">
        <f>+P156-T156</f>
        <v>-45739.17999999976</v>
      </c>
      <c r="Y156" s="15"/>
      <c r="Z156" s="31">
        <f>IF(T156=0,0,X156/T156)</f>
        <v>-0.17030393467598773</v>
      </c>
    </row>
    <row r="157" spans="1:26" ht="15.75" thickTop="1" x14ac:dyDescent="0.25">
      <c r="A157" s="9"/>
      <c r="C157" s="9"/>
      <c r="D157" s="17"/>
      <c r="E157" s="17"/>
      <c r="G157" s="17"/>
      <c r="H157" s="17"/>
      <c r="I157" s="17"/>
      <c r="J157" s="42"/>
      <c r="K157" s="17"/>
      <c r="L157" s="17"/>
      <c r="M157" s="17"/>
      <c r="P157" s="17"/>
      <c r="Q157" s="17"/>
      <c r="R157" s="42"/>
      <c r="S157" s="17"/>
      <c r="T157" s="17"/>
      <c r="U157" s="17"/>
      <c r="V157" s="42"/>
      <c r="W157" s="17"/>
      <c r="X157" s="17"/>
    </row>
    <row r="158" spans="1:26" x14ac:dyDescent="0.25">
      <c r="A158" s="9"/>
      <c r="B158" s="62">
        <v>43847.45326412037</v>
      </c>
      <c r="D158" s="17"/>
      <c r="E158" s="17"/>
      <c r="G158" s="17"/>
      <c r="H158" s="17"/>
      <c r="I158" s="17"/>
      <c r="J158" s="42"/>
      <c r="K158" s="17"/>
      <c r="L158" s="17"/>
      <c r="M158" s="17"/>
      <c r="P158" s="17"/>
      <c r="Q158" s="17"/>
      <c r="R158" s="42"/>
      <c r="S158" s="17"/>
      <c r="T158" s="17"/>
      <c r="U158" s="17"/>
      <c r="V158" s="42"/>
      <c r="W158" s="17"/>
      <c r="X158" s="17"/>
    </row>
    <row r="159" spans="1:26" x14ac:dyDescent="0.25">
      <c r="A159" s="9"/>
      <c r="B159" s="56" t="s">
        <v>313</v>
      </c>
      <c r="D159" s="17"/>
      <c r="E159" s="17"/>
      <c r="G159" s="17"/>
      <c r="H159" s="17"/>
      <c r="I159" s="17"/>
      <c r="J159" s="42"/>
      <c r="K159" s="17"/>
      <c r="L159" s="17"/>
      <c r="M159" s="17"/>
      <c r="P159" s="17"/>
      <c r="Q159" s="17"/>
      <c r="R159" s="42"/>
      <c r="S159" s="17"/>
      <c r="T159" s="17"/>
      <c r="U159" s="17"/>
      <c r="V159" s="42"/>
      <c r="W159" s="17"/>
      <c r="X159" s="17"/>
    </row>
    <row r="160" spans="1:26" x14ac:dyDescent="0.25">
      <c r="A160" s="9"/>
      <c r="B160" s="54"/>
      <c r="D160" s="17"/>
      <c r="E160" s="17"/>
      <c r="G160" s="17"/>
      <c r="H160" s="17"/>
      <c r="I160" s="17"/>
      <c r="J160" s="42"/>
      <c r="K160" s="17"/>
      <c r="L160" s="17"/>
      <c r="M160" s="17"/>
      <c r="P160" s="17"/>
      <c r="Q160" s="17"/>
      <c r="R160" s="42"/>
      <c r="S160" s="17"/>
      <c r="T160" s="17"/>
      <c r="U160" s="17"/>
      <c r="V160" s="42"/>
      <c r="W160" s="17"/>
      <c r="X160" s="17"/>
    </row>
    <row r="161" spans="4:24" x14ac:dyDescent="0.25">
      <c r="D161" s="17"/>
      <c r="E161" s="17"/>
      <c r="G161" s="17"/>
      <c r="H161" s="17"/>
      <c r="I161" s="17"/>
      <c r="J161" s="42"/>
      <c r="K161" s="17"/>
      <c r="L161" s="17"/>
      <c r="M161" s="17"/>
      <c r="P161" s="17"/>
      <c r="Q161" s="17"/>
      <c r="R161" s="42"/>
      <c r="S161" s="17"/>
      <c r="T161" s="17"/>
      <c r="U161" s="17"/>
      <c r="V161" s="42"/>
      <c r="W161" s="17"/>
      <c r="X161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","315", " - ", "Beach Shop")</f>
        <v>Department 315 - Beach Shop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247466.47999999998</v>
      </c>
      <c r="E12" s="4"/>
      <c r="F12" s="12"/>
      <c r="G12" s="4"/>
      <c r="H12" s="4">
        <f>SUM(OSRRefH13x_0)</f>
        <v>316112.23000000004</v>
      </c>
      <c r="I12" s="4"/>
      <c r="J12" s="12"/>
      <c r="K12" s="4"/>
      <c r="L12" s="4">
        <f t="shared" ref="L12:L32" si="0">+D12-H12</f>
        <v>-68645.750000000058</v>
      </c>
      <c r="M12" s="4"/>
      <c r="N12" s="12">
        <f t="shared" ref="N12:N32" si="1">IF(H12=0,0,L12/H12)</f>
        <v>-0.21715626124304033</v>
      </c>
      <c r="O12" s="10"/>
      <c r="P12" s="4">
        <f>SUM(OSRRefP13x_0)</f>
        <v>1466945.3599999999</v>
      </c>
      <c r="Q12" s="4"/>
      <c r="R12" s="12"/>
      <c r="S12" s="4"/>
      <c r="T12" s="4">
        <f>SUM(OSRRefT13x_0)</f>
        <v>1344517.4699999995</v>
      </c>
      <c r="U12" s="4"/>
      <c r="V12" s="12"/>
      <c r="W12" s="4"/>
      <c r="X12" s="4">
        <f t="shared" ref="X12:X32" si="2">+P12-T12</f>
        <v>122427.89000000036</v>
      </c>
      <c r="Y12" s="4"/>
      <c r="Z12" s="12">
        <f t="shared" ref="Z12:Z32" si="3">IF(T12=0,0,X12/T12)</f>
        <v>9.1057121035400465E-2</v>
      </c>
    </row>
    <row r="13" spans="1:26" s="24" customFormat="1" hidden="1" outlineLevel="1" x14ac:dyDescent="0.2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--152006.21</f>
        <v>152006.21</v>
      </c>
      <c r="E13" s="2"/>
      <c r="F13" s="19"/>
      <c r="G13" s="2"/>
      <c r="H13" s="2">
        <f>--243410.39</f>
        <v>243410.39</v>
      </c>
      <c r="I13" s="2"/>
      <c r="J13" s="19"/>
      <c r="K13" s="2"/>
      <c r="L13" s="2">
        <f t="shared" si="0"/>
        <v>-91404.180000000022</v>
      </c>
      <c r="M13" s="2"/>
      <c r="N13" s="19">
        <f t="shared" si="1"/>
        <v>-0.37551470173479456</v>
      </c>
      <c r="O13" s="11"/>
      <c r="P13" s="2">
        <f>--1053376.58</f>
        <v>1053376.58</v>
      </c>
      <c r="Q13" s="2"/>
      <c r="R13" s="19"/>
      <c r="S13" s="2"/>
      <c r="T13" s="2">
        <f>--979334.77</f>
        <v>979334.77</v>
      </c>
      <c r="U13" s="2"/>
      <c r="V13" s="19"/>
      <c r="W13" s="2"/>
      <c r="X13" s="2">
        <f t="shared" si="2"/>
        <v>74041.810000000056</v>
      </c>
      <c r="Y13" s="2"/>
      <c r="Z13" s="19">
        <f t="shared" si="3"/>
        <v>7.5604187932590258E-2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--31955.67</f>
        <v>31955.67</v>
      </c>
      <c r="E14" s="2"/>
      <c r="F14" s="19"/>
      <c r="G14" s="2"/>
      <c r="H14" s="2">
        <f>--39759.55</f>
        <v>39759.550000000003</v>
      </c>
      <c r="I14" s="2"/>
      <c r="J14" s="19"/>
      <c r="K14" s="2"/>
      <c r="L14" s="2">
        <f t="shared" si="0"/>
        <v>-7803.8800000000047</v>
      </c>
      <c r="M14" s="2"/>
      <c r="N14" s="19">
        <f t="shared" si="1"/>
        <v>-0.19627686933076466</v>
      </c>
      <c r="O14" s="11"/>
      <c r="P14" s="2">
        <f>--168087.19</f>
        <v>168087.19</v>
      </c>
      <c r="Q14" s="2"/>
      <c r="R14" s="19"/>
      <c r="S14" s="2"/>
      <c r="T14" s="2">
        <f>--173030.23</f>
        <v>173030.23</v>
      </c>
      <c r="U14" s="2"/>
      <c r="V14" s="19"/>
      <c r="W14" s="2"/>
      <c r="X14" s="2">
        <f t="shared" si="2"/>
        <v>-4943.0400000000081</v>
      </c>
      <c r="Y14" s="2"/>
      <c r="Z14" s="19">
        <f t="shared" si="3"/>
        <v>-2.8567493668591945E-2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--31090.94</f>
        <v>31090.94</v>
      </c>
      <c r="E15" s="2"/>
      <c r="F15" s="19"/>
      <c r="G15" s="2"/>
      <c r="H15" s="2">
        <f>--22499.14</f>
        <v>22499.14</v>
      </c>
      <c r="I15" s="2"/>
      <c r="J15" s="19"/>
      <c r="K15" s="2"/>
      <c r="L15" s="2">
        <f t="shared" si="0"/>
        <v>8591.7999999999993</v>
      </c>
      <c r="M15" s="2"/>
      <c r="N15" s="19">
        <f t="shared" si="1"/>
        <v>0.38187237378850925</v>
      </c>
      <c r="O15" s="11"/>
      <c r="P15" s="2">
        <f>--130266.78</f>
        <v>130266.78</v>
      </c>
      <c r="Q15" s="2"/>
      <c r="R15" s="19"/>
      <c r="S15" s="2"/>
      <c r="T15" s="2">
        <f>--97519.03</f>
        <v>97519.03</v>
      </c>
      <c r="U15" s="2"/>
      <c r="V15" s="19"/>
      <c r="W15" s="2"/>
      <c r="X15" s="2">
        <f t="shared" si="2"/>
        <v>32747.75</v>
      </c>
      <c r="Y15" s="2"/>
      <c r="Z15" s="19">
        <f t="shared" si="3"/>
        <v>0.33580881598186529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--9247.62</f>
        <v>9247.6200000000008</v>
      </c>
      <c r="E16" s="2"/>
      <c r="F16" s="19"/>
      <c r="G16" s="2"/>
      <c r="H16" s="2">
        <f>--430.32</f>
        <v>430.32</v>
      </c>
      <c r="I16" s="2"/>
      <c r="J16" s="19"/>
      <c r="K16" s="2"/>
      <c r="L16" s="2">
        <f t="shared" si="0"/>
        <v>8817.3000000000011</v>
      </c>
      <c r="M16" s="2"/>
      <c r="N16" s="19">
        <f t="shared" si="1"/>
        <v>20.490100390407143</v>
      </c>
      <c r="O16" s="11"/>
      <c r="P16" s="2">
        <f>--13936.68</f>
        <v>13936.68</v>
      </c>
      <c r="Q16" s="2"/>
      <c r="R16" s="19"/>
      <c r="S16" s="2"/>
      <c r="T16" s="2">
        <f>--1315.4</f>
        <v>1315.4</v>
      </c>
      <c r="U16" s="2"/>
      <c r="V16" s="19"/>
      <c r="W16" s="2"/>
      <c r="X16" s="2">
        <f t="shared" si="2"/>
        <v>12621.28</v>
      </c>
      <c r="Y16" s="2"/>
      <c r="Z16" s="19">
        <f t="shared" si="3"/>
        <v>9.5950129238254522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--4836.71</f>
        <v>4836.71</v>
      </c>
      <c r="E17" s="2"/>
      <c r="F17" s="19"/>
      <c r="G17" s="2"/>
      <c r="H17" s="2">
        <f>--5384.85</f>
        <v>5384.85</v>
      </c>
      <c r="I17" s="2"/>
      <c r="J17" s="19"/>
      <c r="K17" s="2"/>
      <c r="L17" s="2">
        <f t="shared" si="0"/>
        <v>-548.14000000000033</v>
      </c>
      <c r="M17" s="2"/>
      <c r="N17" s="19">
        <f t="shared" si="1"/>
        <v>-0.10179299330529175</v>
      </c>
      <c r="O17" s="11"/>
      <c r="P17" s="2">
        <f>--44197.15</f>
        <v>44197.15</v>
      </c>
      <c r="Q17" s="2"/>
      <c r="R17" s="19"/>
      <c r="S17" s="2"/>
      <c r="T17" s="2">
        <f>--42102.56</f>
        <v>42102.559999999998</v>
      </c>
      <c r="U17" s="2"/>
      <c r="V17" s="19"/>
      <c r="W17" s="2"/>
      <c r="X17" s="2">
        <f t="shared" si="2"/>
        <v>2094.5900000000038</v>
      </c>
      <c r="Y17" s="2"/>
      <c r="Z17" s="19">
        <f t="shared" si="3"/>
        <v>4.9749706431152972E-2</v>
      </c>
    </row>
    <row r="18" spans="1:26" s="24" customFormat="1" hidden="1" outlineLevel="1" x14ac:dyDescent="0.2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--6487.38</f>
        <v>6487.38</v>
      </c>
      <c r="E18" s="2"/>
      <c r="F18" s="19"/>
      <c r="G18" s="2"/>
      <c r="H18" s="2">
        <f>--4823.27</f>
        <v>4823.2700000000004</v>
      </c>
      <c r="I18" s="2"/>
      <c r="J18" s="19"/>
      <c r="K18" s="2"/>
      <c r="L18" s="2">
        <f t="shared" si="0"/>
        <v>1664.1099999999997</v>
      </c>
      <c r="M18" s="2"/>
      <c r="N18" s="19">
        <f t="shared" si="1"/>
        <v>0.34501696981508384</v>
      </c>
      <c r="O18" s="11"/>
      <c r="P18" s="2">
        <f>--60548.21</f>
        <v>60548.21</v>
      </c>
      <c r="Q18" s="2"/>
      <c r="R18" s="19"/>
      <c r="S18" s="2"/>
      <c r="T18" s="2">
        <f>--67320.64</f>
        <v>67320.639999999999</v>
      </c>
      <c r="U18" s="2"/>
      <c r="V18" s="19"/>
      <c r="W18" s="2"/>
      <c r="X18" s="2">
        <f t="shared" si="2"/>
        <v>-6772.43</v>
      </c>
      <c r="Y18" s="2"/>
      <c r="Z18" s="19">
        <f t="shared" si="3"/>
        <v>-0.10059960808453396</v>
      </c>
    </row>
    <row r="19" spans="1:26" s="24" customFormat="1" hidden="1" outlineLevel="1" x14ac:dyDescent="0.2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--18815.05</f>
        <v>18815.05</v>
      </c>
      <c r="E19" s="2"/>
      <c r="F19" s="19"/>
      <c r="G19" s="2"/>
      <c r="H19" s="2">
        <f>--5726.91</f>
        <v>5726.91</v>
      </c>
      <c r="I19" s="2"/>
      <c r="J19" s="19"/>
      <c r="K19" s="2"/>
      <c r="L19" s="2">
        <f t="shared" si="0"/>
        <v>13088.14</v>
      </c>
      <c r="M19" s="2"/>
      <c r="N19" s="19">
        <f t="shared" si="1"/>
        <v>2.2853755341012869</v>
      </c>
      <c r="O19" s="11"/>
      <c r="P19" s="2">
        <f>--38823.84</f>
        <v>38823.839999999997</v>
      </c>
      <c r="Q19" s="2"/>
      <c r="R19" s="19"/>
      <c r="S19" s="2"/>
      <c r="T19" s="2">
        <f>--20388.07</f>
        <v>20388.07</v>
      </c>
      <c r="U19" s="2"/>
      <c r="V19" s="19"/>
      <c r="W19" s="2"/>
      <c r="X19" s="2">
        <f t="shared" si="2"/>
        <v>18435.769999999997</v>
      </c>
      <c r="Y19" s="2"/>
      <c r="Z19" s="19">
        <f t="shared" si="3"/>
        <v>0.90424302055074346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--699.6</f>
        <v>699.6</v>
      </c>
      <c r="E20" s="2"/>
      <c r="F20" s="19"/>
      <c r="G20" s="2"/>
      <c r="H20" s="2">
        <f>--699.55</f>
        <v>699.55</v>
      </c>
      <c r="I20" s="2"/>
      <c r="J20" s="19"/>
      <c r="K20" s="2"/>
      <c r="L20" s="2">
        <f t="shared" si="0"/>
        <v>5.0000000000068212E-2</v>
      </c>
      <c r="M20" s="2"/>
      <c r="N20" s="19">
        <f t="shared" si="1"/>
        <v>7.1474519333954991E-5</v>
      </c>
      <c r="O20" s="11"/>
      <c r="P20" s="2">
        <f>--2377.13</f>
        <v>2377.13</v>
      </c>
      <c r="Q20" s="2"/>
      <c r="R20" s="19"/>
      <c r="S20" s="2"/>
      <c r="T20" s="2">
        <f>--2184.88</f>
        <v>2184.88</v>
      </c>
      <c r="U20" s="2"/>
      <c r="V20" s="19"/>
      <c r="W20" s="2"/>
      <c r="X20" s="2">
        <f t="shared" si="2"/>
        <v>192.25</v>
      </c>
      <c r="Y20" s="2"/>
      <c r="Z20" s="19">
        <f t="shared" si="3"/>
        <v>8.7991102486177725E-2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--1180.46</f>
        <v>1180.46</v>
      </c>
      <c r="E21" s="2"/>
      <c r="F21" s="19"/>
      <c r="G21" s="2"/>
      <c r="H21" s="2">
        <f>--2477.07</f>
        <v>2477.0700000000002</v>
      </c>
      <c r="I21" s="2"/>
      <c r="J21" s="19"/>
      <c r="K21" s="2"/>
      <c r="L21" s="2">
        <f t="shared" si="0"/>
        <v>-1296.6100000000001</v>
      </c>
      <c r="M21" s="2"/>
      <c r="N21" s="19">
        <f t="shared" si="1"/>
        <v>-0.52344503788750418</v>
      </c>
      <c r="O21" s="11"/>
      <c r="P21" s="2">
        <f>--3437.46</f>
        <v>3437.46</v>
      </c>
      <c r="Q21" s="2"/>
      <c r="R21" s="19"/>
      <c r="S21" s="2"/>
      <c r="T21" s="2">
        <f>--4096.78</f>
        <v>4096.78</v>
      </c>
      <c r="U21" s="2"/>
      <c r="V21" s="19"/>
      <c r="W21" s="2"/>
      <c r="X21" s="2">
        <f t="shared" si="2"/>
        <v>-659.31999999999971</v>
      </c>
      <c r="Y21" s="2"/>
      <c r="Z21" s="19">
        <f t="shared" si="3"/>
        <v>-0.16093614985427573</v>
      </c>
    </row>
    <row r="22" spans="1:26" s="24" customFormat="1" hidden="1" outlineLevel="1" x14ac:dyDescent="0.25">
      <c r="A22" s="44"/>
      <c r="B22" s="11" t="str">
        <f>CONCATENATE("          ", "4144", " - ", "NON-TAXABLE SALES-ACCESSORIES")</f>
        <v xml:space="preserve">          4144 - NON-TAXABLE SALES-ACCESSORIES</v>
      </c>
      <c r="C22" s="11"/>
      <c r="D22" s="2">
        <f>--351.29</f>
        <v>351.29</v>
      </c>
      <c r="E22" s="2"/>
      <c r="F22" s="19"/>
      <c r="G22" s="2"/>
      <c r="H22" s="2">
        <f>--19.94</f>
        <v>19.940000000000001</v>
      </c>
      <c r="I22" s="2"/>
      <c r="J22" s="19"/>
      <c r="K22" s="2"/>
      <c r="L22" s="2">
        <f t="shared" si="0"/>
        <v>331.35</v>
      </c>
      <c r="M22" s="2"/>
      <c r="N22" s="19">
        <f t="shared" si="1"/>
        <v>16.617352056168507</v>
      </c>
      <c r="O22" s="11"/>
      <c r="P22" s="2">
        <f>--592.85</f>
        <v>592.85</v>
      </c>
      <c r="Q22" s="2"/>
      <c r="R22" s="19"/>
      <c r="S22" s="2"/>
      <c r="T22" s="2">
        <f>--360.54</f>
        <v>360.54</v>
      </c>
      <c r="U22" s="2"/>
      <c r="V22" s="19"/>
      <c r="W22" s="2"/>
      <c r="X22" s="2">
        <f t="shared" si="2"/>
        <v>232.31</v>
      </c>
      <c r="Y22" s="2"/>
      <c r="Z22" s="19">
        <f t="shared" si="3"/>
        <v>0.64433904698507793</v>
      </c>
    </row>
    <row r="23" spans="1:26" s="24" customFormat="1" hidden="1" outlineLevel="1" x14ac:dyDescent="0.25">
      <c r="A23" s="44"/>
      <c r="B23" s="11" t="str">
        <f>CONCATENATE("          ", "4145", " - ", "NON-TAXABLE SALES-SPECIAL ORDE")</f>
        <v xml:space="preserve">          4145 - NON-TAXABLE SALES-SPECIAL ORDE</v>
      </c>
      <c r="C23" s="11"/>
      <c r="D23" s="2">
        <f>0</f>
        <v>0</v>
      </c>
      <c r="E23" s="2"/>
      <c r="F23" s="19"/>
      <c r="G23" s="2"/>
      <c r="H23" s="2">
        <f>--89.8</f>
        <v>89.8</v>
      </c>
      <c r="I23" s="2"/>
      <c r="J23" s="19"/>
      <c r="K23" s="2"/>
      <c r="L23" s="2">
        <f t="shared" si="0"/>
        <v>-89.8</v>
      </c>
      <c r="M23" s="2"/>
      <c r="N23" s="19">
        <f t="shared" si="1"/>
        <v>-1</v>
      </c>
      <c r="O23" s="11"/>
      <c r="P23" s="2">
        <f>--140</f>
        <v>140</v>
      </c>
      <c r="Q23" s="2"/>
      <c r="R23" s="19"/>
      <c r="S23" s="2"/>
      <c r="T23" s="2">
        <f>--1747.4</f>
        <v>1747.4</v>
      </c>
      <c r="U23" s="2"/>
      <c r="V23" s="19"/>
      <c r="W23" s="2"/>
      <c r="X23" s="2">
        <f t="shared" si="2"/>
        <v>-1607.4</v>
      </c>
      <c r="Y23" s="2"/>
      <c r="Z23" s="19">
        <f t="shared" si="3"/>
        <v>-0.91988096600663849</v>
      </c>
    </row>
    <row r="24" spans="1:26" s="24" customFormat="1" hidden="1" outlineLevel="1" x14ac:dyDescent="0.25">
      <c r="A24" s="44"/>
      <c r="B24" s="11" t="str">
        <f>CONCATENATE("          ", "4240", " - ", "SALES RETURN TAXABLE-LOGO CLOT")</f>
        <v xml:space="preserve">          4240 - SALES RETURN TAXABLE-LOGO CLOT</v>
      </c>
      <c r="C24" s="11"/>
      <c r="D24" s="2">
        <f>-6412.85</f>
        <v>-6412.85</v>
      </c>
      <c r="E24" s="2"/>
      <c r="F24" s="19"/>
      <c r="G24" s="2"/>
      <c r="H24" s="2">
        <f>-7949.94</f>
        <v>-7949.94</v>
      </c>
      <c r="I24" s="2"/>
      <c r="J24" s="19"/>
      <c r="K24" s="2"/>
      <c r="L24" s="2">
        <f t="shared" si="0"/>
        <v>1537.0899999999992</v>
      </c>
      <c r="M24" s="2"/>
      <c r="N24" s="19">
        <f t="shared" si="1"/>
        <v>-0.1933461133039997</v>
      </c>
      <c r="O24" s="11"/>
      <c r="P24" s="2">
        <f>-40870.78</f>
        <v>-40870.78</v>
      </c>
      <c r="Q24" s="2"/>
      <c r="R24" s="19"/>
      <c r="S24" s="2"/>
      <c r="T24" s="2">
        <f>-36913.6</f>
        <v>-36913.599999999999</v>
      </c>
      <c r="U24" s="2"/>
      <c r="V24" s="19"/>
      <c r="W24" s="2"/>
      <c r="X24" s="2">
        <f t="shared" si="2"/>
        <v>-3957.1800000000003</v>
      </c>
      <c r="Y24" s="2"/>
      <c r="Z24" s="19">
        <f t="shared" si="3"/>
        <v>0.10720113995925622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-839.58</f>
        <v>-839.58</v>
      </c>
      <c r="E25" s="2"/>
      <c r="F25" s="19"/>
      <c r="G25" s="2"/>
      <c r="H25" s="2">
        <f>-696.57</f>
        <v>-696.57</v>
      </c>
      <c r="I25" s="2"/>
      <c r="J25" s="19"/>
      <c r="K25" s="2"/>
      <c r="L25" s="2">
        <f t="shared" si="0"/>
        <v>-143.01</v>
      </c>
      <c r="M25" s="2"/>
      <c r="N25" s="19">
        <f t="shared" si="1"/>
        <v>0.2053059993970455</v>
      </c>
      <c r="O25" s="11"/>
      <c r="P25" s="2">
        <f>-2545.01</f>
        <v>-2545.0100000000002</v>
      </c>
      <c r="Q25" s="2"/>
      <c r="R25" s="19"/>
      <c r="S25" s="2"/>
      <c r="T25" s="2">
        <f>-3302.37</f>
        <v>-3302.37</v>
      </c>
      <c r="U25" s="2"/>
      <c r="V25" s="19"/>
      <c r="W25" s="2"/>
      <c r="X25" s="2">
        <f t="shared" si="2"/>
        <v>757.35999999999967</v>
      </c>
      <c r="Y25" s="2"/>
      <c r="Z25" s="19">
        <f t="shared" si="3"/>
        <v>-0.22933832368874466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-854.18</f>
        <v>-854.18</v>
      </c>
      <c r="E26" s="2"/>
      <c r="F26" s="19"/>
      <c r="G26" s="2"/>
      <c r="H26" s="2">
        <f>-268.05</f>
        <v>-268.05</v>
      </c>
      <c r="I26" s="2"/>
      <c r="J26" s="19"/>
      <c r="K26" s="2"/>
      <c r="L26" s="2">
        <f t="shared" si="0"/>
        <v>-586.12999999999988</v>
      </c>
      <c r="M26" s="2"/>
      <c r="N26" s="19">
        <f t="shared" si="1"/>
        <v>2.1866442827830621</v>
      </c>
      <c r="O26" s="11"/>
      <c r="P26" s="2">
        <f>-2014.76</f>
        <v>-2014.76</v>
      </c>
      <c r="Q26" s="2"/>
      <c r="R26" s="19"/>
      <c r="S26" s="2"/>
      <c r="T26" s="2">
        <f>-1429.61</f>
        <v>-1429.61</v>
      </c>
      <c r="U26" s="2"/>
      <c r="V26" s="19"/>
      <c r="W26" s="2"/>
      <c r="X26" s="2">
        <f t="shared" si="2"/>
        <v>-585.15000000000009</v>
      </c>
      <c r="Y26" s="2"/>
      <c r="Z26" s="19">
        <f t="shared" si="3"/>
        <v>0.40930743349584858</v>
      </c>
    </row>
    <row r="27" spans="1:26" s="24" customFormat="1" hidden="1" outlineLevel="1" x14ac:dyDescent="0.25">
      <c r="A27" s="44"/>
      <c r="B27" s="11" t="str">
        <f>CONCATENATE("          ", "4243", " - ", "SALES RETURN TAXABLE-CARDS")</f>
        <v xml:space="preserve">          4243 - SALES RETURN TAXABLE-CARDS</v>
      </c>
      <c r="C27" s="11"/>
      <c r="D27" s="2">
        <f>-558.63</f>
        <v>-558.63</v>
      </c>
      <c r="E27" s="2"/>
      <c r="F27" s="19"/>
      <c r="G27" s="2"/>
      <c r="H27" s="2">
        <f>-5.99</f>
        <v>-5.99</v>
      </c>
      <c r="I27" s="2"/>
      <c r="J27" s="19"/>
      <c r="K27" s="2"/>
      <c r="L27" s="2">
        <f t="shared" si="0"/>
        <v>-552.64</v>
      </c>
      <c r="M27" s="2"/>
      <c r="N27" s="19">
        <f t="shared" si="1"/>
        <v>92.26043405676127</v>
      </c>
      <c r="O27" s="11"/>
      <c r="P27" s="2">
        <f>-879.47</f>
        <v>-879.47</v>
      </c>
      <c r="Q27" s="2"/>
      <c r="R27" s="19"/>
      <c r="S27" s="2"/>
      <c r="T27" s="2">
        <f>-25.94</f>
        <v>-25.94</v>
      </c>
      <c r="U27" s="2"/>
      <c r="V27" s="19"/>
      <c r="W27" s="2"/>
      <c r="X27" s="2">
        <f t="shared" si="2"/>
        <v>-853.53</v>
      </c>
      <c r="Y27" s="2"/>
      <c r="Z27" s="19">
        <f t="shared" si="3"/>
        <v>32.904009252120275</v>
      </c>
    </row>
    <row r="28" spans="1:26" s="24" customFormat="1" hidden="1" outlineLevel="1" x14ac:dyDescent="0.25">
      <c r="A28" s="44"/>
      <c r="B28" s="11" t="str">
        <f>CONCATENATE("          ", "4244", " - ", "SALES RETURN TAXABLE-ACCESSORI")</f>
        <v xml:space="preserve">          4244 - SALES RETURN TAXABLE-ACCESSORI</v>
      </c>
      <c r="C28" s="11"/>
      <c r="D28" s="2">
        <f>-137.76</f>
        <v>-137.76</v>
      </c>
      <c r="E28" s="2"/>
      <c r="F28" s="19"/>
      <c r="G28" s="2"/>
      <c r="H28" s="2">
        <f>-154.5</f>
        <v>-154.5</v>
      </c>
      <c r="I28" s="2"/>
      <c r="J28" s="19"/>
      <c r="K28" s="2"/>
      <c r="L28" s="2">
        <f t="shared" si="0"/>
        <v>16.740000000000009</v>
      </c>
      <c r="M28" s="2"/>
      <c r="N28" s="19">
        <f t="shared" si="1"/>
        <v>-0.10834951456310686</v>
      </c>
      <c r="O28" s="11"/>
      <c r="P28" s="2">
        <f>-1600.97</f>
        <v>-1600.97</v>
      </c>
      <c r="Q28" s="2"/>
      <c r="R28" s="19"/>
      <c r="S28" s="2"/>
      <c r="T28" s="2">
        <f>-2544.47</f>
        <v>-2544.4699999999998</v>
      </c>
      <c r="U28" s="2"/>
      <c r="V28" s="19"/>
      <c r="W28" s="2"/>
      <c r="X28" s="2">
        <f t="shared" si="2"/>
        <v>943.49999999999977</v>
      </c>
      <c r="Y28" s="2"/>
      <c r="Z28" s="19">
        <f t="shared" si="3"/>
        <v>-0.37080413602832801</v>
      </c>
    </row>
    <row r="29" spans="1:26" s="24" customFormat="1" hidden="1" outlineLevel="1" x14ac:dyDescent="0.25">
      <c r="A29" s="44"/>
      <c r="B29" s="11" t="str">
        <f>CONCATENATE("          ", "4245", " - ", "SALES RETURN TAXABLE-SPECIAL O")</f>
        <v xml:space="preserve">          4245 - SALES RETURN TAXABLE-SPECIAL O</v>
      </c>
      <c r="C29" s="11"/>
      <c r="D29" s="2">
        <f>0</f>
        <v>0</v>
      </c>
      <c r="E29" s="2"/>
      <c r="F29" s="19"/>
      <c r="G29" s="2"/>
      <c r="H29" s="2">
        <f>-5.91</f>
        <v>-5.91</v>
      </c>
      <c r="I29" s="2"/>
      <c r="J29" s="19"/>
      <c r="K29" s="2"/>
      <c r="L29" s="2">
        <f t="shared" si="0"/>
        <v>5.91</v>
      </c>
      <c r="M29" s="2"/>
      <c r="N29" s="19">
        <f t="shared" si="1"/>
        <v>-1</v>
      </c>
      <c r="O29" s="11"/>
      <c r="P29" s="2">
        <f>-81.97</f>
        <v>-81.97</v>
      </c>
      <c r="Q29" s="2"/>
      <c r="R29" s="19"/>
      <c r="S29" s="2"/>
      <c r="T29" s="2">
        <f>-185.8</f>
        <v>-185.8</v>
      </c>
      <c r="U29" s="2"/>
      <c r="V29" s="19"/>
      <c r="W29" s="2"/>
      <c r="X29" s="2">
        <f t="shared" si="2"/>
        <v>103.83000000000001</v>
      </c>
      <c r="Y29" s="2"/>
      <c r="Z29" s="19">
        <f t="shared" si="3"/>
        <v>-0.55882669537136709</v>
      </c>
    </row>
    <row r="30" spans="1:26" s="24" customFormat="1" hidden="1" outlineLevel="1" x14ac:dyDescent="0.25">
      <c r="A30" s="44"/>
      <c r="B30" s="11" t="str">
        <f>CONCATENATE("          ", "4340", " - ", "SALES RETURN NON TAXABLE-LOGO")</f>
        <v xml:space="preserve">          4340 - SALES RETURN NON TAXABLE-LOGO</v>
      </c>
      <c r="C30" s="11"/>
      <c r="D30" s="2">
        <f>-391.5</f>
        <v>-391.5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-391.5</v>
      </c>
      <c r="M30" s="2"/>
      <c r="N30" s="19">
        <f t="shared" si="1"/>
        <v>0</v>
      </c>
      <c r="O30" s="11"/>
      <c r="P30" s="2">
        <f>-714.9</f>
        <v>-714.9</v>
      </c>
      <c r="Q30" s="2"/>
      <c r="R30" s="19"/>
      <c r="S30" s="2"/>
      <c r="T30" s="2">
        <f>-301.59</f>
        <v>-301.58999999999997</v>
      </c>
      <c r="U30" s="2"/>
      <c r="V30" s="19"/>
      <c r="W30" s="2"/>
      <c r="X30" s="2">
        <f t="shared" si="2"/>
        <v>-413.31</v>
      </c>
      <c r="Y30" s="2"/>
      <c r="Z30" s="19">
        <f t="shared" si="3"/>
        <v>1.3704366855664978</v>
      </c>
    </row>
    <row r="31" spans="1:26" s="24" customFormat="1" hidden="1" outlineLevel="1" x14ac:dyDescent="0.25">
      <c r="A31" s="44"/>
      <c r="B31" s="11" t="str">
        <f>CONCATENATE("          ", "4341", " - ", "SALES RETURN NON TAXABLE-LOGO")</f>
        <v xml:space="preserve">          4341 - SALES RETURN NON TAXABLE-LOGO</v>
      </c>
      <c r="C31" s="11"/>
      <c r="D31" s="2">
        <f>-9.95</f>
        <v>-9.9499999999999993</v>
      </c>
      <c r="E31" s="2"/>
      <c r="F31" s="19"/>
      <c r="G31" s="2"/>
      <c r="H31" s="2">
        <f>-58.85</f>
        <v>-58.85</v>
      </c>
      <c r="I31" s="2"/>
      <c r="J31" s="19"/>
      <c r="K31" s="2"/>
      <c r="L31" s="2">
        <f t="shared" si="0"/>
        <v>48.900000000000006</v>
      </c>
      <c r="M31" s="2"/>
      <c r="N31" s="19">
        <f t="shared" si="1"/>
        <v>-0.83092608326253192</v>
      </c>
      <c r="O31" s="11"/>
      <c r="P31" s="2">
        <f>-20.85</f>
        <v>-20.85</v>
      </c>
      <c r="Q31" s="2"/>
      <c r="R31" s="19"/>
      <c r="S31" s="2"/>
      <c r="T31" s="2">
        <f>-110.7</f>
        <v>-110.7</v>
      </c>
      <c r="U31" s="2"/>
      <c r="V31" s="19"/>
      <c r="W31" s="2"/>
      <c r="X31" s="2">
        <f t="shared" si="2"/>
        <v>89.85</v>
      </c>
      <c r="Y31" s="2"/>
      <c r="Z31" s="19">
        <f t="shared" si="3"/>
        <v>-0.81165311653116523</v>
      </c>
    </row>
    <row r="32" spans="1:26" s="24" customFormat="1" hidden="1" outlineLevel="1" x14ac:dyDescent="0.25">
      <c r="A32" s="44"/>
      <c r="B32" s="11" t="str">
        <f>CONCATENATE("          ", "4342", " - ", "SALES RETURN NON TAXABLE-EVERY")</f>
        <v xml:space="preserve">          4342 - SALES RETURN NON TAXABLE-EVERY</v>
      </c>
      <c r="C32" s="11"/>
      <c r="D32" s="2">
        <f>0</f>
        <v>0</v>
      </c>
      <c r="E32" s="2"/>
      <c r="F32" s="19"/>
      <c r="G32" s="2"/>
      <c r="H32" s="2">
        <f>-68.75</f>
        <v>-68.75</v>
      </c>
      <c r="I32" s="2"/>
      <c r="J32" s="19"/>
      <c r="K32" s="2"/>
      <c r="L32" s="2">
        <f t="shared" si="0"/>
        <v>68.75</v>
      </c>
      <c r="M32" s="2"/>
      <c r="N32" s="19">
        <f t="shared" si="1"/>
        <v>-1</v>
      </c>
      <c r="O32" s="11"/>
      <c r="P32" s="2">
        <f>-109.8</f>
        <v>-109.8</v>
      </c>
      <c r="Q32" s="2"/>
      <c r="R32" s="19"/>
      <c r="S32" s="2"/>
      <c r="T32" s="2">
        <f>-68.75</f>
        <v>-68.75</v>
      </c>
      <c r="U32" s="2"/>
      <c r="V32" s="19"/>
      <c r="W32" s="2"/>
      <c r="X32" s="2">
        <f t="shared" si="2"/>
        <v>-41.05</v>
      </c>
      <c r="Y32" s="2"/>
      <c r="Z32" s="19">
        <f t="shared" si="3"/>
        <v>0.59709090909090901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8" t="s">
        <v>8</v>
      </c>
      <c r="C34" s="10"/>
      <c r="D34" s="4">
        <f>SUM(OSRRefD16x_0)</f>
        <v>116910.49999999997</v>
      </c>
      <c r="E34" s="4"/>
      <c r="F34" s="12">
        <f t="shared" ref="F34:F49" si="4">IF(D$12=0,0,D34/D$12)</f>
        <v>0.47242963976373681</v>
      </c>
      <c r="G34" s="4"/>
      <c r="H34" s="4">
        <f>SUM(OSRRefH16x_0)</f>
        <v>142125.78999999998</v>
      </c>
      <c r="I34" s="4"/>
      <c r="J34" s="12">
        <f t="shared" ref="J34:J49" si="5">IF(H$12=0,0,H34/H$12)</f>
        <v>0.44960547714335497</v>
      </c>
      <c r="K34" s="4"/>
      <c r="L34" s="4">
        <f t="shared" ref="L34:L49" si="6">+D34-H34</f>
        <v>-25215.290000000008</v>
      </c>
      <c r="M34" s="4"/>
      <c r="N34" s="12">
        <f t="shared" ref="N34:N49" si="7">IF(H34=0,0,L34/H34)</f>
        <v>-0.17741530231775676</v>
      </c>
      <c r="O34" s="10"/>
      <c r="P34" s="4">
        <f>SUM(OSRRefP16x_0)</f>
        <v>684492.40999999992</v>
      </c>
      <c r="Q34" s="4"/>
      <c r="R34" s="12">
        <f t="shared" ref="R34:R49" si="8">IF(P$12=0,0,P34/P$12)</f>
        <v>0.46661070593658649</v>
      </c>
      <c r="S34" s="4"/>
      <c r="T34" s="4">
        <f>SUM(OSRRefT16x_0)</f>
        <v>622063.5</v>
      </c>
      <c r="U34" s="4"/>
      <c r="V34" s="12">
        <f t="shared" ref="V34:V49" si="9">IF(T$12=0,0,T34/T$12)</f>
        <v>0.46266672905336087</v>
      </c>
      <c r="W34" s="4"/>
      <c r="X34" s="4">
        <f t="shared" ref="X34:X49" si="10">+P34-T34</f>
        <v>62428.909999999916</v>
      </c>
      <c r="Y34" s="4"/>
      <c r="Z34" s="12">
        <f t="shared" ref="Z34:Z49" si="11">IF(T34=0,0,X34/T34)</f>
        <v>0.10035777697935969</v>
      </c>
    </row>
    <row r="35" spans="1:26" s="24" customFormat="1" hidden="1" outlineLevel="1" x14ac:dyDescent="0.25">
      <c r="A35" s="44"/>
      <c r="B35" s="11" t="str">
        <f>CONCATENATE("          ", "5040", " - ", "PURCHASES @ COST-LOGO CLOTHING")</f>
        <v xml:space="preserve">          5040 - PURCHASES @ COST-LOGO CLOTHING</v>
      </c>
      <c r="C35" s="11"/>
      <c r="D35" s="2">
        <v>67271.37</v>
      </c>
      <c r="E35" s="2"/>
      <c r="F35" s="19">
        <f t="shared" si="4"/>
        <v>0.27184033166835364</v>
      </c>
      <c r="G35" s="2"/>
      <c r="H35" s="2">
        <v>41572.03</v>
      </c>
      <c r="I35" s="2"/>
      <c r="J35" s="19">
        <f t="shared" si="5"/>
        <v>0.13151034997918301</v>
      </c>
      <c r="K35" s="2"/>
      <c r="L35" s="2">
        <f t="shared" si="6"/>
        <v>25699.339999999997</v>
      </c>
      <c r="M35" s="2"/>
      <c r="N35" s="19">
        <f t="shared" si="7"/>
        <v>0.61818823858252769</v>
      </c>
      <c r="O35" s="11"/>
      <c r="P35" s="2">
        <v>560191.49</v>
      </c>
      <c r="Q35" s="2"/>
      <c r="R35" s="19">
        <f t="shared" si="8"/>
        <v>0.3818761797644597</v>
      </c>
      <c r="S35" s="2"/>
      <c r="T35" s="2">
        <v>485308.06000000006</v>
      </c>
      <c r="U35" s="2"/>
      <c r="V35" s="19">
        <f t="shared" si="9"/>
        <v>0.36095333145801389</v>
      </c>
      <c r="W35" s="2"/>
      <c r="X35" s="2">
        <f t="shared" si="10"/>
        <v>74883.429999999935</v>
      </c>
      <c r="Y35" s="2"/>
      <c r="Z35" s="19">
        <f t="shared" si="11"/>
        <v>0.15430081668126411</v>
      </c>
    </row>
    <row r="36" spans="1:26" s="24" customFormat="1" hidden="1" outlineLevel="1" x14ac:dyDescent="0.25">
      <c r="A36" s="44"/>
      <c r="B36" s="11" t="str">
        <f>CONCATENATE("          ", "5041", " - ", "PURCHASES @ COST-LOGO GIFTS")</f>
        <v xml:space="preserve">          5041 - PURCHASES @ COST-LOGO GIFTS</v>
      </c>
      <c r="C36" s="11"/>
      <c r="D36" s="2">
        <v>15542.009999999998</v>
      </c>
      <c r="E36" s="2"/>
      <c r="F36" s="19">
        <f t="shared" si="4"/>
        <v>6.2804505887019524E-2</v>
      </c>
      <c r="G36" s="2"/>
      <c r="H36" s="2">
        <v>3699.95</v>
      </c>
      <c r="I36" s="2"/>
      <c r="J36" s="19">
        <f t="shared" si="5"/>
        <v>1.1704545565984586E-2</v>
      </c>
      <c r="K36" s="2"/>
      <c r="L36" s="2">
        <f t="shared" si="6"/>
        <v>11842.059999999998</v>
      </c>
      <c r="M36" s="2"/>
      <c r="N36" s="19">
        <f t="shared" si="7"/>
        <v>3.2006000081082173</v>
      </c>
      <c r="O36" s="11"/>
      <c r="P36" s="2">
        <v>89624.2</v>
      </c>
      <c r="Q36" s="2"/>
      <c r="R36" s="19">
        <f t="shared" si="8"/>
        <v>6.1095799778118527E-2</v>
      </c>
      <c r="S36" s="2"/>
      <c r="T36" s="2">
        <v>86496.47</v>
      </c>
      <c r="U36" s="2"/>
      <c r="V36" s="19">
        <f t="shared" si="9"/>
        <v>6.4332723025160868E-2</v>
      </c>
      <c r="W36" s="2"/>
      <c r="X36" s="2">
        <f t="shared" si="10"/>
        <v>3127.7299999999959</v>
      </c>
      <c r="Y36" s="2"/>
      <c r="Z36" s="19">
        <f t="shared" si="11"/>
        <v>3.6160203994451981E-2</v>
      </c>
    </row>
    <row r="37" spans="1:26" s="24" customFormat="1" hidden="1" outlineLevel="1" x14ac:dyDescent="0.25">
      <c r="A37" s="44"/>
      <c r="B37" s="11" t="str">
        <f>CONCATENATE("          ", "5042", " - ", "PURCHASES @ COST-EVERYDAY GIFT")</f>
        <v xml:space="preserve">          5042 - PURCHASES @ COST-EVERYDAY GIFT</v>
      </c>
      <c r="C37" s="11"/>
      <c r="D37" s="2">
        <v>5128.7</v>
      </c>
      <c r="E37" s="2"/>
      <c r="F37" s="19">
        <f t="shared" si="4"/>
        <v>2.0724827055365238E-2</v>
      </c>
      <c r="G37" s="2"/>
      <c r="H37" s="2">
        <v>2291.77</v>
      </c>
      <c r="I37" s="2"/>
      <c r="J37" s="19">
        <f t="shared" si="5"/>
        <v>7.2498618607701442E-3</v>
      </c>
      <c r="K37" s="2"/>
      <c r="L37" s="2">
        <f t="shared" si="6"/>
        <v>2836.93</v>
      </c>
      <c r="M37" s="2"/>
      <c r="N37" s="19">
        <f t="shared" si="7"/>
        <v>1.2378772738974679</v>
      </c>
      <c r="O37" s="11"/>
      <c r="P37" s="2">
        <v>71825.069999999992</v>
      </c>
      <c r="Q37" s="2"/>
      <c r="R37" s="19">
        <f t="shared" si="8"/>
        <v>4.8962334902507891E-2</v>
      </c>
      <c r="S37" s="2"/>
      <c r="T37" s="2">
        <v>67695.069999999992</v>
      </c>
      <c r="U37" s="2"/>
      <c r="V37" s="19">
        <f t="shared" si="9"/>
        <v>5.0348970177382685E-2</v>
      </c>
      <c r="W37" s="2"/>
      <c r="X37" s="2">
        <f t="shared" si="10"/>
        <v>4130</v>
      </c>
      <c r="Y37" s="2"/>
      <c r="Z37" s="19">
        <f t="shared" si="11"/>
        <v>6.1008874058332468E-2</v>
      </c>
    </row>
    <row r="38" spans="1:26" s="24" customFormat="1" hidden="1" outlineLevel="1" x14ac:dyDescent="0.25">
      <c r="A38" s="44"/>
      <c r="B38" s="11" t="str">
        <f>CONCATENATE("          ", "5043", " - ", "PURCHASES @ COST-CARDS")</f>
        <v xml:space="preserve">          5043 - PURCHASES @ COST-CARDS</v>
      </c>
      <c r="C38" s="11"/>
      <c r="D38" s="2">
        <v>3010.23</v>
      </c>
      <c r="E38" s="2"/>
      <c r="F38" s="19">
        <f t="shared" si="4"/>
        <v>1.2164192904024821E-2</v>
      </c>
      <c r="G38" s="2"/>
      <c r="H38" s="2">
        <v>280.19</v>
      </c>
      <c r="I38" s="2"/>
      <c r="J38" s="19">
        <f t="shared" si="5"/>
        <v>8.8636241628487443E-4</v>
      </c>
      <c r="K38" s="2"/>
      <c r="L38" s="2">
        <f t="shared" si="6"/>
        <v>2730.04</v>
      </c>
      <c r="M38" s="2"/>
      <c r="N38" s="19">
        <f t="shared" si="7"/>
        <v>9.7435311752739207</v>
      </c>
      <c r="O38" s="11"/>
      <c r="P38" s="2">
        <v>6445.57</v>
      </c>
      <c r="Q38" s="2"/>
      <c r="R38" s="19">
        <f t="shared" si="8"/>
        <v>4.3938719026317382E-3</v>
      </c>
      <c r="S38" s="2"/>
      <c r="T38" s="2">
        <v>2399.06</v>
      </c>
      <c r="U38" s="2"/>
      <c r="V38" s="19">
        <f t="shared" si="9"/>
        <v>1.784327874891801E-3</v>
      </c>
      <c r="W38" s="2"/>
      <c r="X38" s="2">
        <f t="shared" si="10"/>
        <v>4046.5099999999998</v>
      </c>
      <c r="Y38" s="2"/>
      <c r="Z38" s="19">
        <f t="shared" si="11"/>
        <v>1.6867064600301784</v>
      </c>
    </row>
    <row r="39" spans="1:26" s="24" customFormat="1" hidden="1" outlineLevel="1" x14ac:dyDescent="0.25">
      <c r="A39" s="44"/>
      <c r="B39" s="11" t="str">
        <f>CONCATENATE("          ", "5044", " - ", "PURCHASES @ COST-ACCESSORIES")</f>
        <v xml:space="preserve">          5044 - PURCHASES @ COST-ACCESSORIES</v>
      </c>
      <c r="C39" s="11"/>
      <c r="D39" s="2">
        <v>1021.26</v>
      </c>
      <c r="E39" s="2"/>
      <c r="F39" s="19">
        <f t="shared" si="4"/>
        <v>4.1268619491415569E-3</v>
      </c>
      <c r="G39" s="2"/>
      <c r="H39" s="2">
        <v>697.23</v>
      </c>
      <c r="I39" s="2"/>
      <c r="J39" s="19">
        <f t="shared" si="5"/>
        <v>2.205640699190917E-3</v>
      </c>
      <c r="K39" s="2"/>
      <c r="L39" s="2">
        <f t="shared" si="6"/>
        <v>324.02999999999997</v>
      </c>
      <c r="M39" s="2"/>
      <c r="N39" s="19">
        <f t="shared" si="7"/>
        <v>0.46473903876769496</v>
      </c>
      <c r="O39" s="11"/>
      <c r="P39" s="2">
        <v>23642</v>
      </c>
      <c r="Q39" s="2"/>
      <c r="R39" s="19">
        <f t="shared" si="8"/>
        <v>1.6116483029742841E-2</v>
      </c>
      <c r="S39" s="2"/>
      <c r="T39" s="2">
        <v>18792.46</v>
      </c>
      <c r="U39" s="2"/>
      <c r="V39" s="19">
        <f t="shared" si="9"/>
        <v>1.397710362216417E-2</v>
      </c>
      <c r="W39" s="2"/>
      <c r="X39" s="2">
        <f t="shared" si="10"/>
        <v>4849.5400000000009</v>
      </c>
      <c r="Y39" s="2"/>
      <c r="Z39" s="19">
        <f t="shared" si="11"/>
        <v>0.25805775294985334</v>
      </c>
    </row>
    <row r="40" spans="1:26" s="24" customFormat="1" hidden="1" outlineLevel="1" x14ac:dyDescent="0.25">
      <c r="A40" s="44"/>
      <c r="B40" s="11" t="str">
        <f>CONCATENATE("          ", "5045", " - ", "PURCHASES @ COST-SPECIAL ORDER")</f>
        <v xml:space="preserve">          5045 - PURCHASES @ COST-SPECIAL ORDER</v>
      </c>
      <c r="C40" s="11"/>
      <c r="D40" s="2">
        <v>-1057.6600000000001</v>
      </c>
      <c r="E40" s="2"/>
      <c r="F40" s="19">
        <f t="shared" si="4"/>
        <v>-4.2739525773349187E-3</v>
      </c>
      <c r="G40" s="2"/>
      <c r="H40" s="2">
        <v>2360.23</v>
      </c>
      <c r="I40" s="2"/>
      <c r="J40" s="19">
        <f t="shared" si="5"/>
        <v>7.4664305142512193E-3</v>
      </c>
      <c r="K40" s="2"/>
      <c r="L40" s="2">
        <f t="shared" si="6"/>
        <v>-3417.8900000000003</v>
      </c>
      <c r="M40" s="2"/>
      <c r="N40" s="19">
        <f t="shared" si="7"/>
        <v>-1.4481173444960873</v>
      </c>
      <c r="O40" s="11"/>
      <c r="P40" s="2">
        <v>42152.03</v>
      </c>
      <c r="Q40" s="2"/>
      <c r="R40" s="19">
        <f t="shared" si="8"/>
        <v>2.8734560365629436E-2</v>
      </c>
      <c r="S40" s="2"/>
      <c r="T40" s="2">
        <v>51167.93</v>
      </c>
      <c r="U40" s="2"/>
      <c r="V40" s="19">
        <f t="shared" si="9"/>
        <v>3.8056723799951828E-2</v>
      </c>
      <c r="W40" s="2"/>
      <c r="X40" s="2">
        <f t="shared" si="10"/>
        <v>-9015.9000000000015</v>
      </c>
      <c r="Y40" s="2"/>
      <c r="Z40" s="19">
        <f t="shared" si="11"/>
        <v>-0.17620216412897691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-96286</v>
      </c>
      <c r="E41" s="2"/>
      <c r="F41" s="19">
        <f t="shared" si="4"/>
        <v>-0.38908703918203391</v>
      </c>
      <c r="G41" s="2"/>
      <c r="H41" s="2">
        <v>-55849</v>
      </c>
      <c r="I41" s="2"/>
      <c r="J41" s="19">
        <f t="shared" si="5"/>
        <v>-0.1766745943363216</v>
      </c>
      <c r="K41" s="2"/>
      <c r="L41" s="2">
        <f t="shared" si="6"/>
        <v>-40437</v>
      </c>
      <c r="M41" s="2"/>
      <c r="N41" s="19">
        <f t="shared" si="7"/>
        <v>0.72404161220433672</v>
      </c>
      <c r="O41" s="11"/>
      <c r="P41" s="2">
        <v>-824822</v>
      </c>
      <c r="Q41" s="2"/>
      <c r="R41" s="19">
        <f t="shared" si="8"/>
        <v>-0.562271794499558</v>
      </c>
      <c r="S41" s="2"/>
      <c r="T41" s="2">
        <v>-735972</v>
      </c>
      <c r="U41" s="2"/>
      <c r="V41" s="19">
        <f t="shared" si="9"/>
        <v>-0.54738745789595455</v>
      </c>
      <c r="W41" s="2"/>
      <c r="X41" s="2">
        <f t="shared" si="10"/>
        <v>-88850</v>
      </c>
      <c r="Y41" s="2"/>
      <c r="Z41" s="19">
        <f t="shared" si="11"/>
        <v>0.1207247014832086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116911</v>
      </c>
      <c r="E42" s="2"/>
      <c r="F42" s="19">
        <f t="shared" si="4"/>
        <v>0.47243166023939892</v>
      </c>
      <c r="G42" s="2"/>
      <c r="H42" s="2">
        <v>142125</v>
      </c>
      <c r="I42" s="2"/>
      <c r="J42" s="19">
        <f t="shared" si="5"/>
        <v>0.44960297803093535</v>
      </c>
      <c r="K42" s="2"/>
      <c r="L42" s="2">
        <f t="shared" si="6"/>
        <v>-25214</v>
      </c>
      <c r="M42" s="2"/>
      <c r="N42" s="19">
        <f t="shared" si="7"/>
        <v>-0.17740721196130166</v>
      </c>
      <c r="O42" s="11"/>
      <c r="P42" s="2">
        <v>684465</v>
      </c>
      <c r="Q42" s="2"/>
      <c r="R42" s="19">
        <f t="shared" si="8"/>
        <v>0.46659202085072893</v>
      </c>
      <c r="S42" s="2"/>
      <c r="T42" s="2">
        <v>622062</v>
      </c>
      <c r="U42" s="2"/>
      <c r="V42" s="19">
        <f t="shared" si="9"/>
        <v>0.46266561341147933</v>
      </c>
      <c r="W42" s="2"/>
      <c r="X42" s="2">
        <f t="shared" si="10"/>
        <v>62403</v>
      </c>
      <c r="Y42" s="2"/>
      <c r="Z42" s="19">
        <f t="shared" si="11"/>
        <v>0.10031636717883427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/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29.23</v>
      </c>
      <c r="Q43" s="2"/>
      <c r="R43" s="19">
        <f t="shared" si="8"/>
        <v>1.9925759198011305E-5</v>
      </c>
      <c r="S43" s="2"/>
      <c r="T43" s="2"/>
      <c r="U43" s="2"/>
      <c r="V43" s="19">
        <f t="shared" si="9"/>
        <v>0</v>
      </c>
      <c r="W43" s="2"/>
      <c r="X43" s="2">
        <f t="shared" si="10"/>
        <v>29.23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"5540", " - ", "FREIGHT-IN-LOGO CLOTHING")</f>
        <v xml:space="preserve">          5540 - FREIGHT-IN-LOGO CLOTHING</v>
      </c>
      <c r="C44" s="11"/>
      <c r="D44" s="2">
        <v>4036.06</v>
      </c>
      <c r="E44" s="2"/>
      <c r="F44" s="19">
        <f t="shared" si="4"/>
        <v>1.6309522000717027E-2</v>
      </c>
      <c r="G44" s="2"/>
      <c r="H44" s="2">
        <v>4053.14</v>
      </c>
      <c r="I44" s="2"/>
      <c r="J44" s="19">
        <f t="shared" si="5"/>
        <v>1.2821838623579985E-2</v>
      </c>
      <c r="K44" s="2"/>
      <c r="L44" s="2">
        <f t="shared" si="6"/>
        <v>-17.079999999999927</v>
      </c>
      <c r="M44" s="2"/>
      <c r="N44" s="19">
        <f t="shared" si="7"/>
        <v>-4.214016786984888E-3</v>
      </c>
      <c r="O44" s="11"/>
      <c r="P44" s="2">
        <v>24277.390000000003</v>
      </c>
      <c r="Q44" s="2"/>
      <c r="R44" s="19">
        <f t="shared" si="8"/>
        <v>1.6549621180164478E-2</v>
      </c>
      <c r="S44" s="2"/>
      <c r="T44" s="2">
        <v>16240.369999999999</v>
      </c>
      <c r="U44" s="2"/>
      <c r="V44" s="19">
        <f t="shared" si="9"/>
        <v>1.2078957962517218E-2</v>
      </c>
      <c r="W44" s="2"/>
      <c r="X44" s="2">
        <f t="shared" si="10"/>
        <v>8037.0200000000041</v>
      </c>
      <c r="Y44" s="2"/>
      <c r="Z44" s="19">
        <f t="shared" si="11"/>
        <v>0.49487911913336979</v>
      </c>
    </row>
    <row r="45" spans="1:26" s="24" customFormat="1" hidden="1" outlineLevel="1" x14ac:dyDescent="0.25">
      <c r="A45" s="44"/>
      <c r="B45" s="11" t="str">
        <f>CONCATENATE("          ", "5541", " - ", "FREIGHT-IN-LOGO GIFTS")</f>
        <v xml:space="preserve">          5541 - FREIGHT-IN-LOGO GIFTS</v>
      </c>
      <c r="C45" s="11"/>
      <c r="D45" s="2">
        <v>709.94</v>
      </c>
      <c r="E45" s="2"/>
      <c r="F45" s="19">
        <f t="shared" si="4"/>
        <v>2.8688329829559141E-3</v>
      </c>
      <c r="G45" s="2"/>
      <c r="H45" s="2">
        <v>788.21</v>
      </c>
      <c r="I45" s="2"/>
      <c r="J45" s="19">
        <f t="shared" si="5"/>
        <v>2.4934498737995679E-3</v>
      </c>
      <c r="K45" s="2"/>
      <c r="L45" s="2">
        <f t="shared" si="6"/>
        <v>-78.269999999999982</v>
      </c>
      <c r="M45" s="2"/>
      <c r="N45" s="19">
        <f t="shared" si="7"/>
        <v>-9.9300947716978949E-2</v>
      </c>
      <c r="O45" s="11"/>
      <c r="P45" s="2">
        <v>3562.77</v>
      </c>
      <c r="Q45" s="2"/>
      <c r="R45" s="19">
        <f t="shared" si="8"/>
        <v>2.4286998665035489E-3</v>
      </c>
      <c r="S45" s="2"/>
      <c r="T45" s="2">
        <v>4756.21</v>
      </c>
      <c r="U45" s="2"/>
      <c r="V45" s="19">
        <f t="shared" si="9"/>
        <v>3.537484715613254E-3</v>
      </c>
      <c r="W45" s="2"/>
      <c r="X45" s="2">
        <f t="shared" si="10"/>
        <v>-1193.44</v>
      </c>
      <c r="Y45" s="2"/>
      <c r="Z45" s="19">
        <f t="shared" si="11"/>
        <v>-0.25092247819166941</v>
      </c>
    </row>
    <row r="46" spans="1:26" s="24" customFormat="1" hidden="1" outlineLevel="1" x14ac:dyDescent="0.25">
      <c r="A46" s="44"/>
      <c r="B46" s="11" t="str">
        <f>CONCATENATE("          ", "5542", " - ", "FREIGHT-IN-EVERYDAY GIFTS")</f>
        <v xml:space="preserve">          5542 - FREIGHT-IN-EVERYDAY GIFTS</v>
      </c>
      <c r="C46" s="11"/>
      <c r="D46" s="2">
        <v>194.82</v>
      </c>
      <c r="E46" s="2"/>
      <c r="F46" s="19">
        <f t="shared" si="4"/>
        <v>7.8725813694040508E-4</v>
      </c>
      <c r="G46" s="2"/>
      <c r="H46" s="2">
        <v>92.11</v>
      </c>
      <c r="I46" s="2"/>
      <c r="J46" s="19">
        <f t="shared" si="5"/>
        <v>2.9138385439880001E-4</v>
      </c>
      <c r="K46" s="2"/>
      <c r="L46" s="2">
        <f t="shared" si="6"/>
        <v>102.71</v>
      </c>
      <c r="M46" s="2"/>
      <c r="N46" s="19">
        <f t="shared" si="7"/>
        <v>1.1150797958962111</v>
      </c>
      <c r="O46" s="11"/>
      <c r="P46" s="2">
        <v>1708.33</v>
      </c>
      <c r="Q46" s="2"/>
      <c r="R46" s="19">
        <f t="shared" si="8"/>
        <v>1.1645491690297177E-3</v>
      </c>
      <c r="S46" s="2"/>
      <c r="T46" s="2">
        <v>1192.42</v>
      </c>
      <c r="U46" s="2"/>
      <c r="V46" s="19">
        <f t="shared" si="9"/>
        <v>8.8687579492738051E-4</v>
      </c>
      <c r="W46" s="2"/>
      <c r="X46" s="2">
        <f t="shared" si="10"/>
        <v>515.90999999999985</v>
      </c>
      <c r="Y46" s="2"/>
      <c r="Z46" s="19">
        <f t="shared" si="11"/>
        <v>0.43265795608929725</v>
      </c>
    </row>
    <row r="47" spans="1:26" s="24" customFormat="1" hidden="1" outlineLevel="1" x14ac:dyDescent="0.25">
      <c r="A47" s="44"/>
      <c r="B47" s="11" t="str">
        <f>CONCATENATE("          ", "5543", " - ", "FREIGHT-IN-CARDS")</f>
        <v xml:space="preserve">          5543 - FREIGHT-IN-CARDS</v>
      </c>
      <c r="C47" s="11"/>
      <c r="D47" s="2">
        <v>77.760000000000005</v>
      </c>
      <c r="E47" s="2"/>
      <c r="F47" s="19">
        <f t="shared" si="4"/>
        <v>3.1422437495373114E-4</v>
      </c>
      <c r="G47" s="2"/>
      <c r="H47" s="2"/>
      <c r="I47" s="2"/>
      <c r="J47" s="19">
        <f t="shared" si="5"/>
        <v>0</v>
      </c>
      <c r="K47" s="2"/>
      <c r="L47" s="2">
        <f t="shared" si="6"/>
        <v>77.760000000000005</v>
      </c>
      <c r="M47" s="2"/>
      <c r="N47" s="19">
        <f t="shared" si="7"/>
        <v>0</v>
      </c>
      <c r="O47" s="11"/>
      <c r="P47" s="2">
        <v>121.35</v>
      </c>
      <c r="Q47" s="2"/>
      <c r="R47" s="19">
        <f t="shared" si="8"/>
        <v>8.2722917505257328E-5</v>
      </c>
      <c r="S47" s="2"/>
      <c r="T47" s="2">
        <v>12.47</v>
      </c>
      <c r="U47" s="2"/>
      <c r="V47" s="19">
        <f t="shared" si="9"/>
        <v>9.2747028419050623E-6</v>
      </c>
      <c r="W47" s="2"/>
      <c r="X47" s="2">
        <f t="shared" si="10"/>
        <v>108.88</v>
      </c>
      <c r="Y47" s="2"/>
      <c r="Z47" s="19">
        <f t="shared" si="11"/>
        <v>8.7313552526062548</v>
      </c>
    </row>
    <row r="48" spans="1:26" s="24" customFormat="1" hidden="1" outlineLevel="1" x14ac:dyDescent="0.25">
      <c r="A48" s="44"/>
      <c r="B48" s="11" t="str">
        <f>CONCATENATE("          ", "5544", " - ", "FREIGHT-IN-ACCESSORIES")</f>
        <v xml:space="preserve">          5544 - FREIGHT-IN-ACCESSORIES</v>
      </c>
      <c r="C48" s="11"/>
      <c r="D48" s="2">
        <v>28.4</v>
      </c>
      <c r="E48" s="2"/>
      <c r="F48" s="19">
        <f t="shared" si="4"/>
        <v>1.1476301760141414E-4</v>
      </c>
      <c r="G48" s="2"/>
      <c r="H48" s="2"/>
      <c r="I48" s="2"/>
      <c r="J48" s="19">
        <f t="shared" si="5"/>
        <v>0</v>
      </c>
      <c r="K48" s="2"/>
      <c r="L48" s="2">
        <f t="shared" si="6"/>
        <v>28.4</v>
      </c>
      <c r="M48" s="2"/>
      <c r="N48" s="19">
        <f t="shared" si="7"/>
        <v>0</v>
      </c>
      <c r="O48" s="11"/>
      <c r="P48" s="2">
        <v>442.31</v>
      </c>
      <c r="Q48" s="2"/>
      <c r="R48" s="19">
        <f t="shared" si="8"/>
        <v>3.015177061536907E-4</v>
      </c>
      <c r="S48" s="2"/>
      <c r="T48" s="2">
        <v>590.45000000000005</v>
      </c>
      <c r="U48" s="2"/>
      <c r="V48" s="19">
        <f t="shared" si="9"/>
        <v>4.3915383263856011E-4</v>
      </c>
      <c r="W48" s="2"/>
      <c r="X48" s="2">
        <f t="shared" si="10"/>
        <v>-148.14000000000004</v>
      </c>
      <c r="Y48" s="2"/>
      <c r="Z48" s="19">
        <f t="shared" si="11"/>
        <v>-0.25089338640020331</v>
      </c>
    </row>
    <row r="49" spans="1:26" s="24" customFormat="1" hidden="1" outlineLevel="1" x14ac:dyDescent="0.25">
      <c r="A49" s="44"/>
      <c r="B49" s="11" t="str">
        <f>CONCATENATE("          ", "5545", " - ", "FREIGHT-IN-SPECIAL ORDERS")</f>
        <v xml:space="preserve">          5545 - FREIGHT-IN-SPECIAL ORDERS</v>
      </c>
      <c r="C49" s="11"/>
      <c r="D49" s="2">
        <v>322.61</v>
      </c>
      <c r="E49" s="2"/>
      <c r="F49" s="19">
        <f t="shared" si="4"/>
        <v>1.303651306633529E-3</v>
      </c>
      <c r="G49" s="2"/>
      <c r="H49" s="2">
        <v>14.93</v>
      </c>
      <c r="I49" s="2"/>
      <c r="J49" s="19">
        <f t="shared" si="5"/>
        <v>4.7230061298166155E-5</v>
      </c>
      <c r="K49" s="2"/>
      <c r="L49" s="2">
        <f t="shared" si="6"/>
        <v>307.68</v>
      </c>
      <c r="M49" s="2"/>
      <c r="N49" s="19">
        <f t="shared" si="7"/>
        <v>20.608171466845278</v>
      </c>
      <c r="O49" s="11"/>
      <c r="P49" s="2">
        <v>827.67</v>
      </c>
      <c r="Q49" s="2"/>
      <c r="R49" s="19">
        <f t="shared" si="8"/>
        <v>5.6421324377071557E-4</v>
      </c>
      <c r="S49" s="2"/>
      <c r="T49" s="2">
        <v>1322.53</v>
      </c>
      <c r="U49" s="2"/>
      <c r="V49" s="19">
        <f t="shared" si="9"/>
        <v>9.8364657173253428E-4</v>
      </c>
      <c r="W49" s="2"/>
      <c r="X49" s="2">
        <f t="shared" si="10"/>
        <v>-494.86</v>
      </c>
      <c r="Y49" s="2"/>
      <c r="Z49" s="19">
        <f t="shared" si="11"/>
        <v>-0.37417676725669741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9" t="s">
        <v>6</v>
      </c>
      <c r="C51" s="29"/>
      <c r="D51" s="20">
        <f>D12-D34</f>
        <v>130555.98000000001</v>
      </c>
      <c r="E51" s="14"/>
      <c r="F51" s="21">
        <f>IF(D$12=0,0,D51/D$12)</f>
        <v>0.52757036023626314</v>
      </c>
      <c r="G51" s="14"/>
      <c r="H51" s="20">
        <f>H12-H34</f>
        <v>173986.44000000006</v>
      </c>
      <c r="I51" s="14"/>
      <c r="J51" s="21">
        <f>IF(H$12=0,0,H51/H$12)</f>
        <v>0.55039452285664503</v>
      </c>
      <c r="K51" s="15"/>
      <c r="L51" s="20">
        <f>+D51-H51</f>
        <v>-43430.46000000005</v>
      </c>
      <c r="M51" s="15"/>
      <c r="N51" s="21">
        <f>IF(H51=0,0,L51/H51)</f>
        <v>-0.24961979795666855</v>
      </c>
      <c r="O51" s="28"/>
      <c r="P51" s="20">
        <f>P12-P34</f>
        <v>782452.95</v>
      </c>
      <c r="Q51" s="14"/>
      <c r="R51" s="21">
        <f>IF(P$12=0,0,P51/P$12)</f>
        <v>0.53338929406341351</v>
      </c>
      <c r="S51" s="14"/>
      <c r="T51" s="20">
        <f>T12-T34</f>
        <v>722453.96999999951</v>
      </c>
      <c r="U51" s="14"/>
      <c r="V51" s="21">
        <f>IF(T$12=0,0,T51/T$12)</f>
        <v>0.53733327094663919</v>
      </c>
      <c r="W51" s="15"/>
      <c r="X51" s="20">
        <f>+P51-T51</f>
        <v>59998.980000000447</v>
      </c>
      <c r="Y51" s="15"/>
      <c r="Z51" s="21">
        <f>IF(T51=0,0,X51/T51)</f>
        <v>8.3048861922650222E-2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8" t="s">
        <v>9</v>
      </c>
      <c r="C53" s="10"/>
      <c r="D53" s="22">
        <f>SUM(OSRRefD22x_0)</f>
        <v>56280.330000000009</v>
      </c>
      <c r="E53" s="22"/>
      <c r="F53" s="33">
        <f t="shared" ref="F53:F62" si="12">IF(D$12=0,0,D53/D$12)</f>
        <v>0.22742607402828866</v>
      </c>
      <c r="G53" s="22"/>
      <c r="H53" s="22">
        <f>SUM(OSRRefH22x_0)</f>
        <v>69685.260000000009</v>
      </c>
      <c r="I53" s="22"/>
      <c r="J53" s="33">
        <f t="shared" ref="J53:J62" si="13">IF(H$12=0,0,H53/H$12)</f>
        <v>0.22044468194096761</v>
      </c>
      <c r="K53" s="4"/>
      <c r="L53" s="22">
        <f t="shared" ref="L53:L62" si="14">+D53-H53</f>
        <v>-13404.93</v>
      </c>
      <c r="M53" s="4"/>
      <c r="N53" s="33">
        <f t="shared" ref="N53:N62" si="15">IF(H53=0,0,L53/H53)</f>
        <v>-0.19236392315964665</v>
      </c>
      <c r="O53" s="10"/>
      <c r="P53" s="22">
        <f>SUM(OSRRefP22x_0)</f>
        <v>360915.1399999999</v>
      </c>
      <c r="Q53" s="22"/>
      <c r="R53" s="33">
        <f t="shared" ref="R53:R62" si="16">IF(P$12=0,0,P53/P$12)</f>
        <v>0.2460317540388825</v>
      </c>
      <c r="S53" s="22"/>
      <c r="T53" s="22">
        <f>SUM(OSRRefT22x_0)</f>
        <v>303610.98000000004</v>
      </c>
      <c r="U53" s="22"/>
      <c r="V53" s="33">
        <f t="shared" ref="V53:V62" si="17">IF(T$12=0,0,T53/T$12)</f>
        <v>0.22581408332314207</v>
      </c>
      <c r="W53" s="4"/>
      <c r="X53" s="22">
        <f t="shared" ref="X53:X62" si="18">+P53-T53</f>
        <v>57304.159999999858</v>
      </c>
      <c r="Y53" s="4"/>
      <c r="Z53" s="33">
        <f t="shared" ref="Z53:Z62" si="19">IF(T53=0,0,X53/T53)</f>
        <v>0.18874205405878222</v>
      </c>
    </row>
    <row r="54" spans="1:26" s="27" customFormat="1" outlineLevel="1" collapsed="1" x14ac:dyDescent="0.25">
      <c r="A54" s="25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4192.8100000000004</v>
      </c>
      <c r="E54" s="1"/>
      <c r="F54" s="5">
        <f t="shared" si="12"/>
        <v>1.6942941120753004E-2</v>
      </c>
      <c r="G54" s="1"/>
      <c r="H54" s="1">
        <f>SUM(OSRRefH22_0x_0)</f>
        <v>4748.99</v>
      </c>
      <c r="I54" s="1"/>
      <c r="J54" s="5">
        <f t="shared" si="13"/>
        <v>1.5023113784620099E-2</v>
      </c>
      <c r="K54" s="1"/>
      <c r="L54" s="1">
        <f t="shared" si="14"/>
        <v>-556.17999999999938</v>
      </c>
      <c r="M54" s="1"/>
      <c r="N54" s="5">
        <f t="shared" si="15"/>
        <v>-0.11711542875432449</v>
      </c>
      <c r="O54" s="13"/>
      <c r="P54" s="1">
        <f>SUM(OSRRefP22_0x_0)</f>
        <v>40282.639999999999</v>
      </c>
      <c r="Q54" s="1"/>
      <c r="R54" s="5">
        <f t="shared" si="16"/>
        <v>2.7460218422859325E-2</v>
      </c>
      <c r="S54" s="1"/>
      <c r="T54" s="1">
        <f>SUM(OSRRefT22_0x_0)</f>
        <v>31753.440000000002</v>
      </c>
      <c r="U54" s="1"/>
      <c r="V54" s="5">
        <f t="shared" si="17"/>
        <v>2.3616978364736321E-2</v>
      </c>
      <c r="W54" s="1"/>
      <c r="X54" s="1">
        <f t="shared" si="18"/>
        <v>8529.1999999999971</v>
      </c>
      <c r="Y54" s="1"/>
      <c r="Z54" s="5">
        <f t="shared" si="19"/>
        <v>0.26860711784298003</v>
      </c>
    </row>
    <row r="55" spans="1:26" s="24" customFormat="1" hidden="1" outlineLevel="2" x14ac:dyDescent="0.25">
      <c r="A55" s="26"/>
      <c r="B55" s="11" t="str">
        <f>CONCATENATE("          ", "6111", " - ", "F.I.C.A.")</f>
        <v xml:space="preserve">          6111 - F.I.C.A.</v>
      </c>
      <c r="C55" s="11"/>
      <c r="D55" s="6">
        <v>714.22</v>
      </c>
      <c r="E55" s="2"/>
      <c r="F55" s="7">
        <f t="shared" si="12"/>
        <v>2.8861282546226064E-3</v>
      </c>
      <c r="G55" s="2"/>
      <c r="H55" s="6">
        <v>928.64</v>
      </c>
      <c r="I55" s="2"/>
      <c r="J55" s="7">
        <f t="shared" si="13"/>
        <v>2.9376908321452791E-3</v>
      </c>
      <c r="K55" s="2"/>
      <c r="L55" s="6">
        <f t="shared" si="14"/>
        <v>-214.41999999999996</v>
      </c>
      <c r="M55" s="2"/>
      <c r="N55" s="7">
        <f t="shared" si="15"/>
        <v>-0.23089679531357679</v>
      </c>
      <c r="O55" s="11"/>
      <c r="P55" s="6">
        <v>8578.17</v>
      </c>
      <c r="Q55" s="2"/>
      <c r="R55" s="7">
        <f t="shared" si="16"/>
        <v>5.8476411145947527E-3</v>
      </c>
      <c r="S55" s="2"/>
      <c r="T55" s="6">
        <v>7529.61</v>
      </c>
      <c r="U55" s="2"/>
      <c r="V55" s="7">
        <f t="shared" si="17"/>
        <v>5.6002321784632539E-3</v>
      </c>
      <c r="W55" s="2"/>
      <c r="X55" s="6">
        <f t="shared" si="18"/>
        <v>1048.5600000000004</v>
      </c>
      <c r="Y55" s="2"/>
      <c r="Z55" s="7">
        <f t="shared" si="19"/>
        <v>0.13925820859247695</v>
      </c>
    </row>
    <row r="56" spans="1:26" s="24" customFormat="1" hidden="1" outlineLevel="2" x14ac:dyDescent="0.25">
      <c r="A56" s="26"/>
      <c r="B56" s="11" t="str">
        <f>CONCATENATE("          ", "6112", " - ", "COMPENSATION INSURANCE")</f>
        <v xml:space="preserve">          6112 - COMPENSATION INSURANCE</v>
      </c>
      <c r="C56" s="11"/>
      <c r="D56" s="6">
        <v>534.55999999999995</v>
      </c>
      <c r="E56" s="2"/>
      <c r="F56" s="7">
        <f t="shared" si="12"/>
        <v>2.1601309397539415E-3</v>
      </c>
      <c r="G56" s="2"/>
      <c r="H56" s="6">
        <v>321.45</v>
      </c>
      <c r="I56" s="2"/>
      <c r="J56" s="7">
        <f t="shared" si="13"/>
        <v>1.0168856801269599E-3</v>
      </c>
      <c r="K56" s="2"/>
      <c r="L56" s="6">
        <f t="shared" si="14"/>
        <v>213.10999999999996</v>
      </c>
      <c r="M56" s="2"/>
      <c r="N56" s="7">
        <f t="shared" si="15"/>
        <v>0.66296469124280588</v>
      </c>
      <c r="O56" s="11"/>
      <c r="P56" s="6">
        <v>2647.79</v>
      </c>
      <c r="Q56" s="2"/>
      <c r="R56" s="7">
        <f t="shared" si="16"/>
        <v>1.8049683868252599E-3</v>
      </c>
      <c r="S56" s="2"/>
      <c r="T56" s="6">
        <v>1630.91</v>
      </c>
      <c r="U56" s="2"/>
      <c r="V56" s="7">
        <f t="shared" si="17"/>
        <v>1.2130076673529579E-3</v>
      </c>
      <c r="W56" s="2"/>
      <c r="X56" s="6">
        <f t="shared" si="18"/>
        <v>1016.8799999999999</v>
      </c>
      <c r="Y56" s="2"/>
      <c r="Z56" s="7">
        <f t="shared" si="19"/>
        <v>0.62350466917242509</v>
      </c>
    </row>
    <row r="57" spans="1:26" s="24" customFormat="1" hidden="1" outlineLevel="2" x14ac:dyDescent="0.25">
      <c r="A57" s="26"/>
      <c r="B57" s="11" t="str">
        <f>CONCATENATE("          ", "6113", " - ", "GROUP INSURANCE")</f>
        <v xml:space="preserve">          6113 - GROUP INSURANCE</v>
      </c>
      <c r="C57" s="11"/>
      <c r="D57" s="6">
        <v>1351.03</v>
      </c>
      <c r="E57" s="2"/>
      <c r="F57" s="7">
        <f t="shared" si="12"/>
        <v>5.4594464672548786E-3</v>
      </c>
      <c r="G57" s="2"/>
      <c r="H57" s="6">
        <v>1774.1</v>
      </c>
      <c r="I57" s="2"/>
      <c r="J57" s="7">
        <f t="shared" si="13"/>
        <v>5.612247270534265E-3</v>
      </c>
      <c r="K57" s="2"/>
      <c r="L57" s="6">
        <f t="shared" si="14"/>
        <v>-423.06999999999994</v>
      </c>
      <c r="M57" s="2"/>
      <c r="N57" s="7">
        <f t="shared" si="15"/>
        <v>-0.23847021024744938</v>
      </c>
      <c r="O57" s="11"/>
      <c r="P57" s="6">
        <v>13780.2</v>
      </c>
      <c r="Q57" s="2"/>
      <c r="R57" s="7">
        <f t="shared" si="16"/>
        <v>9.3938059151705573E-3</v>
      </c>
      <c r="S57" s="2"/>
      <c r="T57" s="6">
        <v>9312.7999999999993</v>
      </c>
      <c r="U57" s="2"/>
      <c r="V57" s="7">
        <f t="shared" si="17"/>
        <v>6.92649980963059E-3</v>
      </c>
      <c r="W57" s="2"/>
      <c r="X57" s="6">
        <f t="shared" si="18"/>
        <v>4467.4000000000015</v>
      </c>
      <c r="Y57" s="2"/>
      <c r="Z57" s="7">
        <f t="shared" si="19"/>
        <v>0.47970535177390278</v>
      </c>
    </row>
    <row r="58" spans="1:26" s="24" customFormat="1" hidden="1" outlineLevel="2" x14ac:dyDescent="0.25">
      <c r="A58" s="26"/>
      <c r="B58" s="11" t="str">
        <f>CONCATENATE("          ", "6114", " - ", "STATE UNEMPLOYMENT INSURANCE")</f>
        <v xml:space="preserve">          6114 - STATE UNEMPLOYMENT INSURANCE</v>
      </c>
      <c r="C58" s="11"/>
      <c r="D58" s="6">
        <v>73.150000000000006</v>
      </c>
      <c r="E58" s="2"/>
      <c r="F58" s="7">
        <f t="shared" si="12"/>
        <v>2.9559558935012134E-4</v>
      </c>
      <c r="G58" s="2"/>
      <c r="H58" s="6">
        <v>70.23</v>
      </c>
      <c r="I58" s="2"/>
      <c r="J58" s="7">
        <f t="shared" si="13"/>
        <v>2.2216793067449494E-4</v>
      </c>
      <c r="K58" s="2"/>
      <c r="L58" s="6">
        <f t="shared" si="14"/>
        <v>2.9200000000000017</v>
      </c>
      <c r="M58" s="2"/>
      <c r="N58" s="7">
        <f t="shared" si="15"/>
        <v>4.1577673358963431E-2</v>
      </c>
      <c r="O58" s="11"/>
      <c r="P58" s="6">
        <v>414.92</v>
      </c>
      <c r="Q58" s="2"/>
      <c r="R58" s="7">
        <f t="shared" si="16"/>
        <v>2.8284625406906777E-4</v>
      </c>
      <c r="S58" s="2"/>
      <c r="T58" s="6">
        <v>356.33</v>
      </c>
      <c r="U58" s="2"/>
      <c r="V58" s="7">
        <f t="shared" si="17"/>
        <v>2.6502444776712355E-4</v>
      </c>
      <c r="W58" s="2"/>
      <c r="X58" s="6">
        <f t="shared" si="18"/>
        <v>58.590000000000032</v>
      </c>
      <c r="Y58" s="2"/>
      <c r="Z58" s="7">
        <f t="shared" si="19"/>
        <v>0.16442623410883181</v>
      </c>
    </row>
    <row r="59" spans="1:26" s="24" customFormat="1" hidden="1" outlineLevel="2" x14ac:dyDescent="0.25">
      <c r="A59" s="26"/>
      <c r="B59" s="11" t="str">
        <f>CONCATENATE("          ", "6115", " - ", "P.E.R.S.")</f>
        <v xml:space="preserve">          6115 - P.E.R.S.</v>
      </c>
      <c r="C59" s="11"/>
      <c r="D59" s="6">
        <v>621.85</v>
      </c>
      <c r="E59" s="2"/>
      <c r="F59" s="7">
        <f t="shared" si="12"/>
        <v>2.5128655808253305E-3</v>
      </c>
      <c r="G59" s="2"/>
      <c r="H59" s="6">
        <v>616.73</v>
      </c>
      <c r="I59" s="2"/>
      <c r="J59" s="7">
        <f t="shared" si="13"/>
        <v>1.950984307060818E-3</v>
      </c>
      <c r="K59" s="2"/>
      <c r="L59" s="6">
        <f t="shared" si="14"/>
        <v>5.1200000000000045</v>
      </c>
      <c r="M59" s="2"/>
      <c r="N59" s="7">
        <f t="shared" si="15"/>
        <v>8.3018500802620344E-3</v>
      </c>
      <c r="O59" s="11"/>
      <c r="P59" s="6">
        <v>5221.1400000000003</v>
      </c>
      <c r="Q59" s="2"/>
      <c r="R59" s="7">
        <f t="shared" si="16"/>
        <v>3.5591918706501793E-3</v>
      </c>
      <c r="S59" s="2"/>
      <c r="T59" s="6">
        <v>4541.66</v>
      </c>
      <c r="U59" s="2"/>
      <c r="V59" s="7">
        <f t="shared" si="17"/>
        <v>3.3779107384896987E-3</v>
      </c>
      <c r="W59" s="2"/>
      <c r="X59" s="6">
        <f t="shared" si="18"/>
        <v>679.48000000000047</v>
      </c>
      <c r="Y59" s="2"/>
      <c r="Z59" s="7">
        <f t="shared" si="19"/>
        <v>0.14961049484109346</v>
      </c>
    </row>
    <row r="60" spans="1:26" s="24" customFormat="1" hidden="1" outlineLevel="2" x14ac:dyDescent="0.25">
      <c r="A60" s="26"/>
      <c r="B60" s="11" t="str">
        <f>CONCATENATE("          ", "6118", " - ", "VACATION")</f>
        <v xml:space="preserve">          6118 - VACATION</v>
      </c>
      <c r="C60" s="11"/>
      <c r="D60" s="6">
        <v>491.28</v>
      </c>
      <c r="E60" s="2"/>
      <c r="F60" s="7">
        <f t="shared" si="12"/>
        <v>1.9852385664515049E-3</v>
      </c>
      <c r="G60" s="2"/>
      <c r="H60" s="6">
        <v>548.74</v>
      </c>
      <c r="I60" s="2"/>
      <c r="J60" s="7">
        <f t="shared" si="13"/>
        <v>1.7359024672977694E-3</v>
      </c>
      <c r="K60" s="2"/>
      <c r="L60" s="6">
        <f t="shared" si="14"/>
        <v>-57.460000000000036</v>
      </c>
      <c r="M60" s="2"/>
      <c r="N60" s="7">
        <f t="shared" si="15"/>
        <v>-0.10471261435288121</v>
      </c>
      <c r="O60" s="11"/>
      <c r="P60" s="6">
        <v>4516.7299999999996</v>
      </c>
      <c r="Q60" s="2"/>
      <c r="R60" s="7">
        <f t="shared" si="16"/>
        <v>3.0790035697035095E-3</v>
      </c>
      <c r="S60" s="2"/>
      <c r="T60" s="6">
        <v>4072.72</v>
      </c>
      <c r="U60" s="2"/>
      <c r="V60" s="7">
        <f t="shared" si="17"/>
        <v>3.0291313358687716E-3</v>
      </c>
      <c r="W60" s="2"/>
      <c r="X60" s="6">
        <f t="shared" si="18"/>
        <v>444.00999999999976</v>
      </c>
      <c r="Y60" s="2"/>
      <c r="Z60" s="7">
        <f t="shared" si="19"/>
        <v>0.10902050717947705</v>
      </c>
    </row>
    <row r="61" spans="1:26" s="24" customFormat="1" hidden="1" outlineLevel="2" x14ac:dyDescent="0.25">
      <c r="A61" s="26"/>
      <c r="B61" s="11" t="str">
        <f>CONCATENATE("          ", "6119", " - ", "SICK LEAVE")</f>
        <v xml:space="preserve">          6119 - SICK LEAVE</v>
      </c>
      <c r="C61" s="11"/>
      <c r="D61" s="6">
        <v>280.62</v>
      </c>
      <c r="E61" s="2"/>
      <c r="F61" s="7">
        <f t="shared" si="12"/>
        <v>1.1339717605390435E-3</v>
      </c>
      <c r="G61" s="2"/>
      <c r="H61" s="6">
        <v>339.1</v>
      </c>
      <c r="I61" s="2"/>
      <c r="J61" s="7">
        <f t="shared" si="13"/>
        <v>1.072720280389025E-3</v>
      </c>
      <c r="K61" s="2"/>
      <c r="L61" s="6">
        <f t="shared" si="14"/>
        <v>-58.480000000000018</v>
      </c>
      <c r="M61" s="2"/>
      <c r="N61" s="7">
        <f t="shared" si="15"/>
        <v>-0.17245650250663525</v>
      </c>
      <c r="O61" s="11"/>
      <c r="P61" s="6">
        <v>4198.53</v>
      </c>
      <c r="Q61" s="2"/>
      <c r="R61" s="7">
        <f t="shared" si="16"/>
        <v>2.8620902417251588E-3</v>
      </c>
      <c r="S61" s="2"/>
      <c r="T61" s="6">
        <v>3532.79</v>
      </c>
      <c r="U61" s="2"/>
      <c r="V61" s="7">
        <f t="shared" si="17"/>
        <v>2.6275523218006244E-3</v>
      </c>
      <c r="W61" s="2"/>
      <c r="X61" s="6">
        <f t="shared" si="18"/>
        <v>665.73999999999978</v>
      </c>
      <c r="Y61" s="2"/>
      <c r="Z61" s="7">
        <f t="shared" si="19"/>
        <v>0.18844595914277379</v>
      </c>
    </row>
    <row r="62" spans="1:26" s="24" customFormat="1" hidden="1" outlineLevel="2" x14ac:dyDescent="0.25">
      <c r="A62" s="26"/>
      <c r="B62" s="11" t="str">
        <f>CONCATENATE("          ", "6156", " - ", "EMPLOYEE MEALS")</f>
        <v xml:space="preserve">          6156 - EMPLOYEE MEALS</v>
      </c>
      <c r="C62" s="11"/>
      <c r="D62" s="6">
        <v>126.1</v>
      </c>
      <c r="E62" s="2"/>
      <c r="F62" s="7">
        <f t="shared" si="12"/>
        <v>5.0956396195557475E-4</v>
      </c>
      <c r="G62" s="2"/>
      <c r="H62" s="6">
        <v>150</v>
      </c>
      <c r="I62" s="2"/>
      <c r="J62" s="7">
        <f t="shared" si="13"/>
        <v>4.7451501639148849E-4</v>
      </c>
      <c r="K62" s="2"/>
      <c r="L62" s="6">
        <f t="shared" si="14"/>
        <v>-23.900000000000006</v>
      </c>
      <c r="M62" s="2"/>
      <c r="N62" s="7">
        <f t="shared" si="15"/>
        <v>-0.15933333333333338</v>
      </c>
      <c r="O62" s="11"/>
      <c r="P62" s="6">
        <v>925.16</v>
      </c>
      <c r="Q62" s="2"/>
      <c r="R62" s="7">
        <f t="shared" si="16"/>
        <v>6.3067107012083944E-4</v>
      </c>
      <c r="S62" s="2"/>
      <c r="T62" s="6">
        <v>776.62</v>
      </c>
      <c r="U62" s="2"/>
      <c r="V62" s="7">
        <f t="shared" si="17"/>
        <v>5.7761986536329667E-4</v>
      </c>
      <c r="W62" s="2"/>
      <c r="X62" s="6">
        <f t="shared" si="18"/>
        <v>148.53999999999996</v>
      </c>
      <c r="Y62" s="2"/>
      <c r="Z62" s="7">
        <f t="shared" si="19"/>
        <v>0.19126471118436297</v>
      </c>
    </row>
    <row r="63" spans="1:26" s="27" customFormat="1" outlineLevel="1" collapsed="1" x14ac:dyDescent="0.25">
      <c r="A63" s="25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18497.89</v>
      </c>
      <c r="E63" s="1"/>
      <c r="F63" s="5">
        <f t="shared" ref="F63:F69" si="20">IF(D$12=0,0,D63/D$12)</f>
        <v>7.4749073086585308E-2</v>
      </c>
      <c r="G63" s="1"/>
      <c r="H63" s="1">
        <f>SUM(OSRRefH22_1x_0)</f>
        <v>17792.560000000001</v>
      </c>
      <c r="I63" s="1"/>
      <c r="J63" s="5">
        <f t="shared" ref="J63:J69" si="21">IF(H$12=0,0,H63/H$12)</f>
        <v>5.6285579333643622E-2</v>
      </c>
      <c r="K63" s="1"/>
      <c r="L63" s="1">
        <f t="shared" ref="L63:L69" si="22">+D63-H63</f>
        <v>705.32999999999811</v>
      </c>
      <c r="M63" s="1"/>
      <c r="N63" s="5">
        <f t="shared" ref="N63:N69" si="23">IF(H63=0,0,L63/H63)</f>
        <v>3.9641850301474213E-2</v>
      </c>
      <c r="O63" s="13"/>
      <c r="P63" s="1">
        <f>SUM(OSRRefP22_1x_0)</f>
        <v>146846.65999999997</v>
      </c>
      <c r="Q63" s="1"/>
      <c r="R63" s="5">
        <f t="shared" ref="R63:R69" si="24">IF(P$12=0,0,P63/P$12)</f>
        <v>0.10010370120397667</v>
      </c>
      <c r="S63" s="1"/>
      <c r="T63" s="1">
        <f>SUM(OSRRefT22_1x_0)</f>
        <v>115201.93</v>
      </c>
      <c r="U63" s="1"/>
      <c r="V63" s="5">
        <f t="shared" ref="V63:V69" si="25">IF(T$12=0,0,T63/T$12)</f>
        <v>8.5682731961824216E-2</v>
      </c>
      <c r="W63" s="1"/>
      <c r="X63" s="1">
        <f t="shared" ref="X63:X69" si="26">+P63-T63</f>
        <v>31644.729999999981</v>
      </c>
      <c r="Y63" s="1"/>
      <c r="Z63" s="5">
        <f t="shared" ref="Z63:Z69" si="27">IF(T63=0,0,X63/T63)</f>
        <v>0.27468923480709034</v>
      </c>
    </row>
    <row r="64" spans="1:26" s="24" customFormat="1" hidden="1" outlineLevel="2" x14ac:dyDescent="0.25">
      <c r="A64" s="26"/>
      <c r="B64" s="11" t="str">
        <f>CONCATENATE("          ", "6002", " - ", "STAFF SALARIES")</f>
        <v xml:space="preserve">          6002 - STAFF SALARIES</v>
      </c>
      <c r="C64" s="11"/>
      <c r="D64" s="6">
        <v>4943.32</v>
      </c>
      <c r="E64" s="2"/>
      <c r="F64" s="7">
        <f t="shared" si="20"/>
        <v>1.9975715498923328E-2</v>
      </c>
      <c r="G64" s="2"/>
      <c r="H64" s="6">
        <v>7351.88</v>
      </c>
      <c r="I64" s="2"/>
      <c r="J64" s="7">
        <f t="shared" si="21"/>
        <v>2.3257183058055044E-2</v>
      </c>
      <c r="K64" s="2"/>
      <c r="L64" s="6">
        <f t="shared" si="22"/>
        <v>-2408.5600000000004</v>
      </c>
      <c r="M64" s="2"/>
      <c r="N64" s="7">
        <f t="shared" si="23"/>
        <v>-0.32761144088314831</v>
      </c>
      <c r="O64" s="11"/>
      <c r="P64" s="6">
        <v>50147.64</v>
      </c>
      <c r="Q64" s="2"/>
      <c r="R64" s="7">
        <f t="shared" si="24"/>
        <v>3.4185076941107069E-2</v>
      </c>
      <c r="S64" s="2"/>
      <c r="T64" s="6">
        <v>42132.009999999995</v>
      </c>
      <c r="U64" s="2"/>
      <c r="V64" s="7">
        <f t="shared" si="25"/>
        <v>3.133615660642923E-2</v>
      </c>
      <c r="W64" s="2"/>
      <c r="X64" s="6">
        <f t="shared" si="26"/>
        <v>8015.6300000000047</v>
      </c>
      <c r="Y64" s="2"/>
      <c r="Z64" s="7">
        <f t="shared" si="27"/>
        <v>0.19025035833799539</v>
      </c>
    </row>
    <row r="65" spans="1:26" s="24" customFormat="1" hidden="1" outlineLevel="2" x14ac:dyDescent="0.25">
      <c r="A65" s="26"/>
      <c r="B65" s="11" t="str">
        <f>CONCATENATE("          ", "6004", " - ", "STAFF HOURLY")</f>
        <v xml:space="preserve">          6004 - STAFF HOURLY</v>
      </c>
      <c r="C65" s="11"/>
      <c r="D65" s="6"/>
      <c r="E65" s="2"/>
      <c r="F65" s="7">
        <f t="shared" si="20"/>
        <v>0</v>
      </c>
      <c r="G65" s="2"/>
      <c r="H65" s="6"/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>
        <v>-912.61</v>
      </c>
      <c r="Q65" s="2"/>
      <c r="R65" s="7">
        <f t="shared" si="24"/>
        <v>-6.2211587758115273E-4</v>
      </c>
      <c r="S65" s="2"/>
      <c r="T65" s="6"/>
      <c r="U65" s="2"/>
      <c r="V65" s="7">
        <f t="shared" si="25"/>
        <v>0</v>
      </c>
      <c r="W65" s="2"/>
      <c r="X65" s="6">
        <f t="shared" si="26"/>
        <v>-912.61</v>
      </c>
      <c r="Y65" s="2"/>
      <c r="Z65" s="7">
        <f t="shared" si="27"/>
        <v>0</v>
      </c>
    </row>
    <row r="66" spans="1:26" s="24" customFormat="1" hidden="1" outlineLevel="2" x14ac:dyDescent="0.25">
      <c r="A66" s="26"/>
      <c r="B66" s="11" t="str">
        <f>CONCATENATE("          ", "6005", " - ", "TEMPORARY WAGES-HOURLY")</f>
        <v xml:space="preserve">          6005 - TEMPORARY WAGES-HOURLY</v>
      </c>
      <c r="C66" s="11"/>
      <c r="D66" s="6">
        <v>3172.1</v>
      </c>
      <c r="E66" s="2"/>
      <c r="F66" s="7">
        <f t="shared" si="20"/>
        <v>1.2818301694839641E-2</v>
      </c>
      <c r="G66" s="2"/>
      <c r="H66" s="6">
        <v>4804.4799999999996</v>
      </c>
      <c r="I66" s="2"/>
      <c r="J66" s="7">
        <f t="shared" si="21"/>
        <v>1.5198652706350523E-2</v>
      </c>
      <c r="K66" s="2"/>
      <c r="L66" s="6">
        <f t="shared" si="22"/>
        <v>-1632.3799999999997</v>
      </c>
      <c r="M66" s="2"/>
      <c r="N66" s="7">
        <f t="shared" si="23"/>
        <v>-0.33976205541494603</v>
      </c>
      <c r="O66" s="11"/>
      <c r="P66" s="6">
        <v>21833.18</v>
      </c>
      <c r="Q66" s="2"/>
      <c r="R66" s="7">
        <f t="shared" si="24"/>
        <v>1.4883430968417257E-2</v>
      </c>
      <c r="S66" s="2"/>
      <c r="T66" s="6">
        <v>25359.09</v>
      </c>
      <c r="U66" s="2"/>
      <c r="V66" s="7">
        <f t="shared" si="25"/>
        <v>1.8861108587901063E-2</v>
      </c>
      <c r="W66" s="2"/>
      <c r="X66" s="6">
        <f t="shared" si="26"/>
        <v>-3525.91</v>
      </c>
      <c r="Y66" s="2"/>
      <c r="Z66" s="7">
        <f t="shared" si="27"/>
        <v>-0.13903929517975605</v>
      </c>
    </row>
    <row r="67" spans="1:26" s="24" customFormat="1" hidden="1" outlineLevel="2" x14ac:dyDescent="0.25">
      <c r="A67" s="26"/>
      <c r="B67" s="11" t="str">
        <f>CONCATENATE("          ", "6006", " - ", "TEMPORARY PART TIME")</f>
        <v xml:space="preserve">          6006 - TEMPORARY PART TIME</v>
      </c>
      <c r="C67" s="11"/>
      <c r="D67" s="6"/>
      <c r="E67" s="2"/>
      <c r="F67" s="7">
        <f t="shared" si="20"/>
        <v>0</v>
      </c>
      <c r="G67" s="2"/>
      <c r="H67" s="6"/>
      <c r="I67" s="2"/>
      <c r="J67" s="7">
        <f t="shared" si="21"/>
        <v>0</v>
      </c>
      <c r="K67" s="2"/>
      <c r="L67" s="6">
        <f t="shared" si="22"/>
        <v>0</v>
      </c>
      <c r="M67" s="2"/>
      <c r="N67" s="7">
        <f t="shared" si="23"/>
        <v>0</v>
      </c>
      <c r="O67" s="11"/>
      <c r="P67" s="6">
        <v>66.5</v>
      </c>
      <c r="Q67" s="2"/>
      <c r="R67" s="7">
        <f t="shared" si="24"/>
        <v>4.5332295130610731E-5</v>
      </c>
      <c r="S67" s="2"/>
      <c r="T67" s="6">
        <v>5587.91</v>
      </c>
      <c r="U67" s="2"/>
      <c r="V67" s="7">
        <f t="shared" si="25"/>
        <v>4.1560709508668579E-3</v>
      </c>
      <c r="W67" s="2"/>
      <c r="X67" s="6">
        <f t="shared" si="26"/>
        <v>-5521.41</v>
      </c>
      <c r="Y67" s="2"/>
      <c r="Z67" s="7">
        <f t="shared" si="27"/>
        <v>-0.98809930725441175</v>
      </c>
    </row>
    <row r="68" spans="1:26" s="24" customFormat="1" hidden="1" outlineLevel="2" x14ac:dyDescent="0.25">
      <c r="A68" s="26"/>
      <c r="B68" s="11" t="str">
        <f>CONCATENATE("          ", "6007", " - ", "STUDENT HOURLY")</f>
        <v xml:space="preserve">          6007 - STUDENT HOURLY</v>
      </c>
      <c r="C68" s="11"/>
      <c r="D68" s="6">
        <v>10382.469999999999</v>
      </c>
      <c r="E68" s="2"/>
      <c r="F68" s="7">
        <f t="shared" si="20"/>
        <v>4.1955055892822335E-2</v>
      </c>
      <c r="G68" s="2"/>
      <c r="H68" s="6">
        <v>5636.2</v>
      </c>
      <c r="I68" s="2"/>
      <c r="J68" s="7">
        <f t="shared" si="21"/>
        <v>1.7829743569238048E-2</v>
      </c>
      <c r="K68" s="2"/>
      <c r="L68" s="6">
        <f t="shared" si="22"/>
        <v>4746.2699999999995</v>
      </c>
      <c r="M68" s="2"/>
      <c r="N68" s="7">
        <f t="shared" si="23"/>
        <v>0.8421046094886625</v>
      </c>
      <c r="O68" s="11"/>
      <c r="P68" s="6">
        <v>75516.95</v>
      </c>
      <c r="Q68" s="2"/>
      <c r="R68" s="7">
        <f t="shared" si="24"/>
        <v>5.1479047590429684E-2</v>
      </c>
      <c r="S68" s="2"/>
      <c r="T68" s="6">
        <v>41982.67</v>
      </c>
      <c r="U68" s="2"/>
      <c r="V68" s="7">
        <f t="shared" si="25"/>
        <v>3.1225083300702679E-2</v>
      </c>
      <c r="W68" s="2"/>
      <c r="X68" s="6">
        <f t="shared" si="26"/>
        <v>33534.28</v>
      </c>
      <c r="Y68" s="2"/>
      <c r="Z68" s="7">
        <f t="shared" si="27"/>
        <v>0.79876482367605495</v>
      </c>
    </row>
    <row r="69" spans="1:26" s="24" customFormat="1" hidden="1" outlineLevel="2" x14ac:dyDescent="0.25">
      <c r="A69" s="26"/>
      <c r="B69" s="11" t="str">
        <f>CONCATENATE("          ", "6008", " - ", "STUDENT HOURLY-FICA EXEMPT")</f>
        <v xml:space="preserve">          6008 - STUDENT HOURLY-FICA EXEMPT</v>
      </c>
      <c r="C69" s="11"/>
      <c r="D69" s="6"/>
      <c r="E69" s="2"/>
      <c r="F69" s="7">
        <f t="shared" si="20"/>
        <v>0</v>
      </c>
      <c r="G69" s="2"/>
      <c r="H69" s="6"/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>
        <v>195</v>
      </c>
      <c r="Q69" s="2"/>
      <c r="R69" s="7">
        <f t="shared" si="24"/>
        <v>1.3292928647321944E-4</v>
      </c>
      <c r="S69" s="2"/>
      <c r="T69" s="6">
        <v>140.25</v>
      </c>
      <c r="U69" s="2"/>
      <c r="V69" s="7">
        <f t="shared" si="25"/>
        <v>1.0431251592439335E-4</v>
      </c>
      <c r="W69" s="2"/>
      <c r="X69" s="6">
        <f t="shared" si="26"/>
        <v>54.75</v>
      </c>
      <c r="Y69" s="2"/>
      <c r="Z69" s="7">
        <f t="shared" si="27"/>
        <v>0.39037433155080214</v>
      </c>
    </row>
    <row r="70" spans="1:26" s="27" customFormat="1" outlineLevel="1" collapsed="1" x14ac:dyDescent="0.25">
      <c r="A70" s="25"/>
      <c r="B70" s="13" t="str">
        <f>CONCATENATE("     ","Advertising/Promo                                 ")</f>
        <v xml:space="preserve">     Advertising/Promo                                 </v>
      </c>
      <c r="C70" s="13"/>
      <c r="D70" s="1">
        <f>SUM(OSRRefD22_2x_0)</f>
        <v>2187.33</v>
      </c>
      <c r="E70" s="1"/>
      <c r="F70" s="5">
        <f t="shared" ref="F70:F74" si="28">IF(D$12=0,0,D70/D$12)</f>
        <v>8.8388940595106064E-3</v>
      </c>
      <c r="G70" s="1"/>
      <c r="H70" s="1">
        <f>SUM(OSRRefH22_2x_0)</f>
        <v>514.20000000000005</v>
      </c>
      <c r="I70" s="1"/>
      <c r="J70" s="5">
        <f t="shared" ref="J70:J74" si="29">IF(H$12=0,0,H70/H$12)</f>
        <v>1.6266374761900227E-3</v>
      </c>
      <c r="K70" s="1"/>
      <c r="L70" s="1">
        <f t="shared" ref="L70:L74" si="30">+D70-H70</f>
        <v>1673.1299999999999</v>
      </c>
      <c r="M70" s="1"/>
      <c r="N70" s="5">
        <f t="shared" ref="N70:N74" si="31">IF(H70=0,0,L70/H70)</f>
        <v>3.2538506417736284</v>
      </c>
      <c r="O70" s="13"/>
      <c r="P70" s="1">
        <f>SUM(OSRRefP22_2x_0)</f>
        <v>11494.64</v>
      </c>
      <c r="Q70" s="1"/>
      <c r="R70" s="5">
        <f t="shared" ref="R70:R74" si="32">IF(P$12=0,0,P70/P$12)</f>
        <v>7.8357656075206516E-3</v>
      </c>
      <c r="S70" s="1"/>
      <c r="T70" s="1">
        <f>SUM(OSRRefT22_2x_0)</f>
        <v>2612.7399999999998</v>
      </c>
      <c r="U70" s="1"/>
      <c r="V70" s="5">
        <f t="shared" ref="V70:V74" si="33">IF(T$12=0,0,T70/T$12)</f>
        <v>1.9432547797240602E-3</v>
      </c>
      <c r="W70" s="1"/>
      <c r="X70" s="1">
        <f t="shared" ref="X70:X74" si="34">+P70-T70</f>
        <v>8881.9</v>
      </c>
      <c r="Y70" s="1"/>
      <c r="Z70" s="5">
        <f t="shared" ref="Z70:Z74" si="35">IF(T70=0,0,X70/T70)</f>
        <v>3.399458040218315</v>
      </c>
    </row>
    <row r="71" spans="1:26" s="24" customFormat="1" hidden="1" outlineLevel="2" x14ac:dyDescent="0.25">
      <c r="A71" s="26"/>
      <c r="B71" s="11" t="str">
        <f>CONCATENATE("          ", "6362", " - ", "ADVERTISING EXPENSE")</f>
        <v xml:space="preserve">          6362 - ADVERTISING EXPENSE</v>
      </c>
      <c r="C71" s="11"/>
      <c r="D71" s="6">
        <v>2187.33</v>
      </c>
      <c r="E71" s="2"/>
      <c r="F71" s="7">
        <f t="shared" si="28"/>
        <v>8.8388940595106064E-3</v>
      </c>
      <c r="G71" s="2"/>
      <c r="H71" s="6">
        <v>514.20000000000005</v>
      </c>
      <c r="I71" s="2"/>
      <c r="J71" s="7">
        <f t="shared" si="29"/>
        <v>1.6266374761900227E-3</v>
      </c>
      <c r="K71" s="2"/>
      <c r="L71" s="6">
        <f t="shared" si="30"/>
        <v>1673.1299999999999</v>
      </c>
      <c r="M71" s="2"/>
      <c r="N71" s="7">
        <f t="shared" si="31"/>
        <v>3.2538506417736284</v>
      </c>
      <c r="O71" s="11"/>
      <c r="P71" s="6">
        <v>11494.64</v>
      </c>
      <c r="Q71" s="2"/>
      <c r="R71" s="7">
        <f t="shared" si="32"/>
        <v>7.8357656075206516E-3</v>
      </c>
      <c r="S71" s="2"/>
      <c r="T71" s="6">
        <v>2612.7399999999998</v>
      </c>
      <c r="U71" s="2"/>
      <c r="V71" s="7">
        <f t="shared" si="33"/>
        <v>1.9432547797240602E-3</v>
      </c>
      <c r="W71" s="2"/>
      <c r="X71" s="6">
        <f t="shared" si="34"/>
        <v>8881.9</v>
      </c>
      <c r="Y71" s="2"/>
      <c r="Z71" s="7">
        <f t="shared" si="35"/>
        <v>3.399458040218315</v>
      </c>
    </row>
    <row r="72" spans="1:26" s="27" customFormat="1" outlineLevel="1" collapsed="1" x14ac:dyDescent="0.25">
      <c r="A72" s="25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SUM(OSRRefD22_3x_0)</f>
        <v>27822.57</v>
      </c>
      <c r="E72" s="1"/>
      <c r="F72" s="5">
        <f t="shared" si="28"/>
        <v>0.11242965107840061</v>
      </c>
      <c r="G72" s="1"/>
      <c r="H72" s="1">
        <f>SUM(OSRRefH22_3x_0)</f>
        <v>40969.990000000005</v>
      </c>
      <c r="I72" s="1"/>
      <c r="J72" s="5">
        <f t="shared" si="29"/>
        <v>0.12960583650939414</v>
      </c>
      <c r="K72" s="1"/>
      <c r="L72" s="1">
        <f t="shared" si="30"/>
        <v>-13147.420000000006</v>
      </c>
      <c r="M72" s="1"/>
      <c r="N72" s="5">
        <f t="shared" si="31"/>
        <v>-0.32090366631771217</v>
      </c>
      <c r="O72" s="13"/>
      <c r="P72" s="1">
        <f>SUM(OSRRefP22_3x_0)</f>
        <v>130678.95999999999</v>
      </c>
      <c r="Q72" s="1"/>
      <c r="R72" s="5">
        <f t="shared" si="32"/>
        <v>8.9082363640319906E-2</v>
      </c>
      <c r="S72" s="1"/>
      <c r="T72" s="1">
        <f>SUM(OSRRefT22_3x_0)</f>
        <v>112079.62999999999</v>
      </c>
      <c r="U72" s="1"/>
      <c r="V72" s="5">
        <f t="shared" si="33"/>
        <v>8.3360486197327013E-2</v>
      </c>
      <c r="W72" s="1"/>
      <c r="X72" s="1">
        <f t="shared" si="34"/>
        <v>18599.330000000002</v>
      </c>
      <c r="Y72" s="1"/>
      <c r="Z72" s="5">
        <f t="shared" si="35"/>
        <v>0.16594746074732764</v>
      </c>
    </row>
    <row r="73" spans="1:26" s="24" customFormat="1" hidden="1" outlineLevel="2" x14ac:dyDescent="0.25">
      <c r="A73" s="26"/>
      <c r="B73" s="11" t="str">
        <f>CONCATENATE("          ", "6382", " - ", "DISCOUNTS/MARK DOWNS")</f>
        <v xml:space="preserve">          6382 - DISCOUNTS/MARK DOWNS</v>
      </c>
      <c r="C73" s="11"/>
      <c r="D73" s="6">
        <v>27834.489999999998</v>
      </c>
      <c r="E73" s="2"/>
      <c r="F73" s="7">
        <f t="shared" si="28"/>
        <v>0.1124778192181826</v>
      </c>
      <c r="G73" s="2"/>
      <c r="H73" s="6">
        <v>40968.550000000003</v>
      </c>
      <c r="I73" s="2"/>
      <c r="J73" s="7">
        <f t="shared" si="29"/>
        <v>0.12960128116523678</v>
      </c>
      <c r="K73" s="2"/>
      <c r="L73" s="6">
        <f t="shared" si="30"/>
        <v>-13134.060000000005</v>
      </c>
      <c r="M73" s="2"/>
      <c r="N73" s="7">
        <f t="shared" si="31"/>
        <v>-0.32058884192874787</v>
      </c>
      <c r="O73" s="11"/>
      <c r="P73" s="6">
        <v>130698.34999999999</v>
      </c>
      <c r="Q73" s="2"/>
      <c r="R73" s="7">
        <f t="shared" si="32"/>
        <v>8.9095581583215885E-2</v>
      </c>
      <c r="S73" s="2"/>
      <c r="T73" s="6">
        <v>112079.62999999999</v>
      </c>
      <c r="U73" s="2"/>
      <c r="V73" s="7">
        <f t="shared" si="33"/>
        <v>8.3360486197327013E-2</v>
      </c>
      <c r="W73" s="2"/>
      <c r="X73" s="6">
        <f t="shared" si="34"/>
        <v>18618.72</v>
      </c>
      <c r="Y73" s="2"/>
      <c r="Z73" s="7">
        <f t="shared" si="35"/>
        <v>0.16612046274599587</v>
      </c>
    </row>
    <row r="74" spans="1:26" s="24" customFormat="1" hidden="1" outlineLevel="2" x14ac:dyDescent="0.25">
      <c r="A74" s="26"/>
      <c r="B74" s="11" t="str">
        <f>CONCATENATE("          ", "9175", " - ", "EARNED DISCOUNTS")</f>
        <v xml:space="preserve">          9175 - EARNED DISCOUNTS</v>
      </c>
      <c r="C74" s="11"/>
      <c r="D74" s="6">
        <v>-11.92</v>
      </c>
      <c r="E74" s="2"/>
      <c r="F74" s="7">
        <f t="shared" si="28"/>
        <v>-4.8168139782001997E-5</v>
      </c>
      <c r="G74" s="2"/>
      <c r="H74" s="6">
        <v>1.44</v>
      </c>
      <c r="I74" s="2"/>
      <c r="J74" s="7">
        <f t="shared" si="29"/>
        <v>4.5553441573582892E-6</v>
      </c>
      <c r="K74" s="2"/>
      <c r="L74" s="6">
        <f t="shared" si="30"/>
        <v>-13.36</v>
      </c>
      <c r="M74" s="2"/>
      <c r="N74" s="7">
        <f t="shared" si="31"/>
        <v>-9.2777777777777786</v>
      </c>
      <c r="O74" s="11"/>
      <c r="P74" s="6">
        <v>-19.39</v>
      </c>
      <c r="Q74" s="2"/>
      <c r="R74" s="7">
        <f t="shared" si="32"/>
        <v>-1.3217942895978076E-5</v>
      </c>
      <c r="S74" s="2"/>
      <c r="T74" s="6">
        <v>0</v>
      </c>
      <c r="U74" s="2"/>
      <c r="V74" s="7">
        <f t="shared" si="33"/>
        <v>0</v>
      </c>
      <c r="W74" s="2"/>
      <c r="X74" s="6">
        <f t="shared" si="34"/>
        <v>-19.39</v>
      </c>
      <c r="Y74" s="2"/>
      <c r="Z74" s="7">
        <f t="shared" si="35"/>
        <v>0</v>
      </c>
    </row>
    <row r="75" spans="1:26" s="27" customFormat="1" outlineLevel="1" collapsed="1" x14ac:dyDescent="0.25">
      <c r="A75" s="25"/>
      <c r="B75" s="13" t="str">
        <f>CONCATENATE("     ","Employees' Appreciation                           ")</f>
        <v xml:space="preserve">     Employees' Appreciation                           </v>
      </c>
      <c r="C75" s="13"/>
      <c r="D75" s="1">
        <f>SUM(OSRRefD22_4x_0)</f>
        <v>0</v>
      </c>
      <c r="E75" s="1"/>
      <c r="F75" s="5">
        <f t="shared" ref="F75:F79" si="36">IF(D$12=0,0,D75/D$12)</f>
        <v>0</v>
      </c>
      <c r="G75" s="1"/>
      <c r="H75" s="1">
        <f>SUM(OSRRefH22_4x_0)</f>
        <v>209.98</v>
      </c>
      <c r="I75" s="1"/>
      <c r="J75" s="5">
        <f t="shared" ref="J75:J79" si="37">IF(H$12=0,0,H75/H$12)</f>
        <v>6.6425775427923165E-4</v>
      </c>
      <c r="K75" s="1"/>
      <c r="L75" s="1">
        <f t="shared" ref="L75:L79" si="38">+D75-H75</f>
        <v>-209.98</v>
      </c>
      <c r="M75" s="1"/>
      <c r="N75" s="5">
        <f t="shared" ref="N75:N79" si="39">IF(H75=0,0,L75/H75)</f>
        <v>-1</v>
      </c>
      <c r="O75" s="13"/>
      <c r="P75" s="1">
        <f>SUM(OSRRefP22_4x_0)</f>
        <v>209.48</v>
      </c>
      <c r="Q75" s="1"/>
      <c r="R75" s="5">
        <f t="shared" ref="R75:R79" si="40">IF(P$12=0,0,P75/P$12)</f>
        <v>1.428001381046667E-4</v>
      </c>
      <c r="S75" s="1"/>
      <c r="T75" s="1">
        <f>SUM(OSRRefT22_4x_0)</f>
        <v>298.74</v>
      </c>
      <c r="U75" s="1"/>
      <c r="V75" s="5">
        <f t="shared" ref="V75:V79" si="41">IF(T$12=0,0,T75/T$12)</f>
        <v>2.2219123712836556E-4</v>
      </c>
      <c r="W75" s="1"/>
      <c r="X75" s="1">
        <f t="shared" ref="X75:X79" si="42">+P75-T75</f>
        <v>-89.260000000000019</v>
      </c>
      <c r="Y75" s="1"/>
      <c r="Z75" s="5">
        <f t="shared" ref="Z75:Z79" si="43">IF(T75=0,0,X75/T75)</f>
        <v>-0.29878824395795683</v>
      </c>
    </row>
    <row r="76" spans="1:26" s="24" customFormat="1" hidden="1" outlineLevel="2" x14ac:dyDescent="0.25">
      <c r="A76" s="26"/>
      <c r="B76" s="11" t="str">
        <f>CONCATENATE("          ", "6277", " - ", "EMPLOYEE APPRECIATION")</f>
        <v xml:space="preserve">          6277 - EMPLOYEE APPRECIATION</v>
      </c>
      <c r="C76" s="11"/>
      <c r="D76" s="6"/>
      <c r="E76" s="2"/>
      <c r="F76" s="7">
        <f t="shared" si="36"/>
        <v>0</v>
      </c>
      <c r="G76" s="2"/>
      <c r="H76" s="6">
        <v>209.98</v>
      </c>
      <c r="I76" s="2"/>
      <c r="J76" s="7">
        <f t="shared" si="37"/>
        <v>6.6425775427923165E-4</v>
      </c>
      <c r="K76" s="2"/>
      <c r="L76" s="6">
        <f t="shared" si="38"/>
        <v>-209.98</v>
      </c>
      <c r="M76" s="2"/>
      <c r="N76" s="7">
        <f t="shared" si="39"/>
        <v>-1</v>
      </c>
      <c r="O76" s="11"/>
      <c r="P76" s="6">
        <v>209.48</v>
      </c>
      <c r="Q76" s="2"/>
      <c r="R76" s="7">
        <f t="shared" si="40"/>
        <v>1.428001381046667E-4</v>
      </c>
      <c r="S76" s="2"/>
      <c r="T76" s="6">
        <v>298.74</v>
      </c>
      <c r="U76" s="2"/>
      <c r="V76" s="7">
        <f t="shared" si="41"/>
        <v>2.2219123712836556E-4</v>
      </c>
      <c r="W76" s="2"/>
      <c r="X76" s="6">
        <f t="shared" si="42"/>
        <v>-89.260000000000019</v>
      </c>
      <c r="Y76" s="2"/>
      <c r="Z76" s="7">
        <f t="shared" si="43"/>
        <v>-0.29878824395795683</v>
      </c>
    </row>
    <row r="77" spans="1:26" s="27" customFormat="1" outlineLevel="1" collapsed="1" x14ac:dyDescent="0.25">
      <c r="A77" s="25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SUM(OSRRefD22_5x_0)</f>
        <v>0</v>
      </c>
      <c r="E77" s="1"/>
      <c r="F77" s="5">
        <f t="shared" si="36"/>
        <v>0</v>
      </c>
      <c r="G77" s="1"/>
      <c r="H77" s="1">
        <f>SUM(OSRRefH22_5x_0)</f>
        <v>3.71</v>
      </c>
      <c r="I77" s="1"/>
      <c r="J77" s="5">
        <f t="shared" si="37"/>
        <v>1.1736338072082816E-5</v>
      </c>
      <c r="K77" s="1"/>
      <c r="L77" s="1">
        <f t="shared" si="38"/>
        <v>-3.71</v>
      </c>
      <c r="M77" s="1"/>
      <c r="N77" s="5">
        <f t="shared" si="39"/>
        <v>-1</v>
      </c>
      <c r="O77" s="13"/>
      <c r="P77" s="1">
        <f>SUM(OSRRefP22_5x_0)</f>
        <v>70.5</v>
      </c>
      <c r="Q77" s="1"/>
      <c r="R77" s="5">
        <f t="shared" si="40"/>
        <v>4.8059049724933184E-5</v>
      </c>
      <c r="S77" s="1"/>
      <c r="T77" s="1">
        <f>SUM(OSRRefT22_5x_0)</f>
        <v>27.31</v>
      </c>
      <c r="U77" s="1"/>
      <c r="V77" s="5">
        <f t="shared" si="41"/>
        <v>2.0312119856650139E-5</v>
      </c>
      <c r="W77" s="1"/>
      <c r="X77" s="1">
        <f t="shared" si="42"/>
        <v>43.19</v>
      </c>
      <c r="Y77" s="1"/>
      <c r="Z77" s="5">
        <f t="shared" si="43"/>
        <v>1.5814719882826804</v>
      </c>
    </row>
    <row r="78" spans="1:26" s="24" customFormat="1" hidden="1" outlineLevel="2" x14ac:dyDescent="0.25">
      <c r="A78" s="26"/>
      <c r="B78" s="11" t="str">
        <f>CONCATENATE("          ", "6305", " - ", "FREIGHT OUT")</f>
        <v xml:space="preserve">          6305 - FREIGHT OUT</v>
      </c>
      <c r="C78" s="11"/>
      <c r="D78" s="6"/>
      <c r="E78" s="2"/>
      <c r="F78" s="7">
        <f t="shared" si="36"/>
        <v>0</v>
      </c>
      <c r="G78" s="2"/>
      <c r="H78" s="6">
        <v>3.71</v>
      </c>
      <c r="I78" s="2"/>
      <c r="J78" s="7">
        <f t="shared" si="37"/>
        <v>1.1736338072082816E-5</v>
      </c>
      <c r="K78" s="2"/>
      <c r="L78" s="6">
        <f t="shared" si="38"/>
        <v>-3.71</v>
      </c>
      <c r="M78" s="2"/>
      <c r="N78" s="7">
        <f t="shared" si="39"/>
        <v>-1</v>
      </c>
      <c r="O78" s="11"/>
      <c r="P78" s="6">
        <v>70</v>
      </c>
      <c r="Q78" s="2"/>
      <c r="R78" s="7">
        <f t="shared" si="40"/>
        <v>4.7718205400642878E-5</v>
      </c>
      <c r="S78" s="2"/>
      <c r="T78" s="6">
        <v>27.31</v>
      </c>
      <c r="U78" s="2"/>
      <c r="V78" s="7">
        <f t="shared" si="41"/>
        <v>2.0312119856650139E-5</v>
      </c>
      <c r="W78" s="2"/>
      <c r="X78" s="6">
        <f t="shared" si="42"/>
        <v>42.69</v>
      </c>
      <c r="Y78" s="2"/>
      <c r="Z78" s="7">
        <f t="shared" si="43"/>
        <v>1.5631636763090444</v>
      </c>
    </row>
    <row r="79" spans="1:26" s="24" customFormat="1" hidden="1" outlineLevel="2" x14ac:dyDescent="0.25">
      <c r="A79" s="26"/>
      <c r="B79" s="11" t="str">
        <f>CONCATENATE("          ", "6307", " - ", "POSTAGE")</f>
        <v xml:space="preserve">          6307 - POSTAGE</v>
      </c>
      <c r="C79" s="11"/>
      <c r="D79" s="6"/>
      <c r="E79" s="2"/>
      <c r="F79" s="7">
        <f t="shared" si="36"/>
        <v>0</v>
      </c>
      <c r="G79" s="2"/>
      <c r="H79" s="6"/>
      <c r="I79" s="2"/>
      <c r="J79" s="7">
        <f t="shared" si="37"/>
        <v>0</v>
      </c>
      <c r="K79" s="2"/>
      <c r="L79" s="6">
        <f t="shared" si="38"/>
        <v>0</v>
      </c>
      <c r="M79" s="2"/>
      <c r="N79" s="7">
        <f t="shared" si="39"/>
        <v>0</v>
      </c>
      <c r="O79" s="11"/>
      <c r="P79" s="6">
        <v>0.5</v>
      </c>
      <c r="Q79" s="2"/>
      <c r="R79" s="7">
        <f t="shared" si="40"/>
        <v>3.4084432429030624E-7</v>
      </c>
      <c r="S79" s="2"/>
      <c r="T79" s="6"/>
      <c r="U79" s="2"/>
      <c r="V79" s="7">
        <f t="shared" si="41"/>
        <v>0</v>
      </c>
      <c r="W79" s="2"/>
      <c r="X79" s="6">
        <f t="shared" si="42"/>
        <v>0.5</v>
      </c>
      <c r="Y79" s="2"/>
      <c r="Z79" s="7">
        <f t="shared" si="43"/>
        <v>0</v>
      </c>
    </row>
    <row r="80" spans="1:26" s="27" customFormat="1" outlineLevel="1" collapsed="1" x14ac:dyDescent="0.25">
      <c r="A80" s="25"/>
      <c r="B80" s="13" t="str">
        <f>CONCATENATE("     ","General                                           ")</f>
        <v xml:space="preserve">     General                                           </v>
      </c>
      <c r="C80" s="13"/>
      <c r="D80" s="1">
        <f>SUM(OSRRefD22_6x_0)</f>
        <v>0</v>
      </c>
      <c r="E80" s="1"/>
      <c r="F80" s="5">
        <f t="shared" ref="F80:F86" si="44">IF(D$12=0,0,D80/D$12)</f>
        <v>0</v>
      </c>
      <c r="G80" s="1"/>
      <c r="H80" s="1">
        <f>SUM(OSRRefH22_6x_0)</f>
        <v>0</v>
      </c>
      <c r="I80" s="1"/>
      <c r="J80" s="5">
        <f t="shared" ref="J80:J86" si="45">IF(H$12=0,0,H80/H$12)</f>
        <v>0</v>
      </c>
      <c r="K80" s="1"/>
      <c r="L80" s="1">
        <f t="shared" ref="L80:L86" si="46">+D80-H80</f>
        <v>0</v>
      </c>
      <c r="M80" s="1"/>
      <c r="N80" s="5">
        <f t="shared" ref="N80:N86" si="47">IF(H80=0,0,L80/H80)</f>
        <v>0</v>
      </c>
      <c r="O80" s="13"/>
      <c r="P80" s="1">
        <f>SUM(OSRRefP22_6x_0)</f>
        <v>0</v>
      </c>
      <c r="Q80" s="1"/>
      <c r="R80" s="5">
        <f t="shared" ref="R80:R86" si="48">IF(P$12=0,0,P80/P$12)</f>
        <v>0</v>
      </c>
      <c r="S80" s="1"/>
      <c r="T80" s="1">
        <f>SUM(OSRRefT22_6x_0)</f>
        <v>33.06</v>
      </c>
      <c r="U80" s="1"/>
      <c r="V80" s="5">
        <f t="shared" ref="V80:V86" si="49">IF(T$12=0,0,T80/T$12)</f>
        <v>2.4588747069236679E-5</v>
      </c>
      <c r="W80" s="1"/>
      <c r="X80" s="1">
        <f t="shared" ref="X80:X86" si="50">+P80-T80</f>
        <v>-33.06</v>
      </c>
      <c r="Y80" s="1"/>
      <c r="Z80" s="5">
        <f t="shared" ref="Z80:Z86" si="51">IF(T80=0,0,X80/T80)</f>
        <v>-1</v>
      </c>
    </row>
    <row r="81" spans="1:26" s="24" customFormat="1" hidden="1" outlineLevel="2" x14ac:dyDescent="0.25">
      <c r="A81" s="26"/>
      <c r="B81" s="11" t="str">
        <f>CONCATENATE("          ", "6279", " - ", "GENERAL EXPENSE")</f>
        <v xml:space="preserve">          6279 - GENERAL EXPENSE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/>
      <c r="Q81" s="2"/>
      <c r="R81" s="7">
        <f t="shared" si="48"/>
        <v>0</v>
      </c>
      <c r="S81" s="2"/>
      <c r="T81" s="6">
        <v>33.06</v>
      </c>
      <c r="U81" s="2"/>
      <c r="V81" s="7">
        <f t="shared" si="49"/>
        <v>2.4588747069236679E-5</v>
      </c>
      <c r="W81" s="2"/>
      <c r="X81" s="6">
        <f t="shared" si="50"/>
        <v>-33.06</v>
      </c>
      <c r="Y81" s="2"/>
      <c r="Z81" s="7">
        <f t="shared" si="51"/>
        <v>-1</v>
      </c>
    </row>
    <row r="82" spans="1:26" s="27" customFormat="1" outlineLevel="1" collapsed="1" x14ac:dyDescent="0.25">
      <c r="A82" s="25"/>
      <c r="B82" s="13" t="str">
        <f>CONCATENATE("     ","Inventory Adjustment                              ")</f>
        <v xml:space="preserve">     Inventory Adjustment                              </v>
      </c>
      <c r="C82" s="13"/>
      <c r="D82" s="1">
        <f>SUM(OSRRefD22_7x_0)</f>
        <v>2850</v>
      </c>
      <c r="E82" s="1"/>
      <c r="F82" s="5">
        <f t="shared" si="44"/>
        <v>1.1516711273381349E-2</v>
      </c>
      <c r="G82" s="1"/>
      <c r="H82" s="1">
        <f>SUM(OSRRefH22_7x_0)</f>
        <v>1000</v>
      </c>
      <c r="I82" s="1"/>
      <c r="J82" s="5">
        <f t="shared" si="45"/>
        <v>3.1634334426099233E-3</v>
      </c>
      <c r="K82" s="1"/>
      <c r="L82" s="1">
        <f t="shared" si="46"/>
        <v>1850</v>
      </c>
      <c r="M82" s="1"/>
      <c r="N82" s="5">
        <f t="shared" si="47"/>
        <v>1.85</v>
      </c>
      <c r="O82" s="13"/>
      <c r="P82" s="1">
        <f>SUM(OSRRefP22_7x_0)</f>
        <v>17100</v>
      </c>
      <c r="Q82" s="1"/>
      <c r="R82" s="5">
        <f t="shared" si="48"/>
        <v>1.1656875890728474E-2</v>
      </c>
      <c r="S82" s="1"/>
      <c r="T82" s="1">
        <f>SUM(OSRRefT22_7x_0)</f>
        <v>6000</v>
      </c>
      <c r="U82" s="1"/>
      <c r="V82" s="5">
        <f t="shared" si="49"/>
        <v>4.4625675261772552E-3</v>
      </c>
      <c r="W82" s="1"/>
      <c r="X82" s="1">
        <f t="shared" si="50"/>
        <v>11100</v>
      </c>
      <c r="Y82" s="1"/>
      <c r="Z82" s="5">
        <f t="shared" si="51"/>
        <v>1.85</v>
      </c>
    </row>
    <row r="83" spans="1:26" s="24" customFormat="1" hidden="1" outlineLevel="2" x14ac:dyDescent="0.25">
      <c r="A83" s="26"/>
      <c r="B83" s="11" t="str">
        <f>CONCATENATE("          ", "6408", " - ", "INVENTORY ADJUSTMENT")</f>
        <v xml:space="preserve">          6408 - INVENTORY ADJUSTMENT</v>
      </c>
      <c r="C83" s="11"/>
      <c r="D83" s="6">
        <v>2850</v>
      </c>
      <c r="E83" s="2"/>
      <c r="F83" s="7">
        <f t="shared" si="44"/>
        <v>1.1516711273381349E-2</v>
      </c>
      <c r="G83" s="2"/>
      <c r="H83" s="6">
        <v>1000</v>
      </c>
      <c r="I83" s="2"/>
      <c r="J83" s="7">
        <f t="shared" si="45"/>
        <v>3.1634334426099233E-3</v>
      </c>
      <c r="K83" s="2"/>
      <c r="L83" s="6">
        <f t="shared" si="46"/>
        <v>1850</v>
      </c>
      <c r="M83" s="2"/>
      <c r="N83" s="7">
        <f t="shared" si="47"/>
        <v>1.85</v>
      </c>
      <c r="O83" s="11"/>
      <c r="P83" s="6">
        <v>17100</v>
      </c>
      <c r="Q83" s="2"/>
      <c r="R83" s="7">
        <f t="shared" si="48"/>
        <v>1.1656875890728474E-2</v>
      </c>
      <c r="S83" s="2"/>
      <c r="T83" s="6">
        <v>6000</v>
      </c>
      <c r="U83" s="2"/>
      <c r="V83" s="7">
        <f t="shared" si="49"/>
        <v>4.4625675261772552E-3</v>
      </c>
      <c r="W83" s="2"/>
      <c r="X83" s="6">
        <f t="shared" si="50"/>
        <v>11100</v>
      </c>
      <c r="Y83" s="2"/>
      <c r="Z83" s="7">
        <f t="shared" si="51"/>
        <v>1.85</v>
      </c>
    </row>
    <row r="84" spans="1:26" s="27" customFormat="1" outlineLevel="1" collapsed="1" x14ac:dyDescent="0.25">
      <c r="A84" s="25"/>
      <c r="B84" s="13" t="str">
        <f>CONCATENATE("     ","Repair and Maintenance                            ")</f>
        <v xml:space="preserve">     Repair and Maintenance                            </v>
      </c>
      <c r="C84" s="13"/>
      <c r="D84" s="1">
        <f>SUM(OSRRefD22_8x_0)</f>
        <v>0</v>
      </c>
      <c r="E84" s="1"/>
      <c r="F84" s="5">
        <f t="shared" si="44"/>
        <v>0</v>
      </c>
      <c r="G84" s="1"/>
      <c r="H84" s="1">
        <f>SUM(OSRRefH22_8x_0)</f>
        <v>0</v>
      </c>
      <c r="I84" s="1"/>
      <c r="J84" s="5">
        <f t="shared" si="45"/>
        <v>0</v>
      </c>
      <c r="K84" s="1"/>
      <c r="L84" s="1">
        <f t="shared" si="46"/>
        <v>0</v>
      </c>
      <c r="M84" s="1"/>
      <c r="N84" s="5">
        <f t="shared" si="47"/>
        <v>0</v>
      </c>
      <c r="O84" s="13"/>
      <c r="P84" s="1">
        <f>SUM(OSRRefP22_8x_0)</f>
        <v>0</v>
      </c>
      <c r="Q84" s="1"/>
      <c r="R84" s="5">
        <f t="shared" si="48"/>
        <v>0</v>
      </c>
      <c r="S84" s="1"/>
      <c r="T84" s="1">
        <f>SUM(OSRRefT22_8x_0)</f>
        <v>208.67000000000002</v>
      </c>
      <c r="U84" s="1"/>
      <c r="V84" s="5">
        <f t="shared" si="49"/>
        <v>1.5520066094790131E-4</v>
      </c>
      <c r="W84" s="1"/>
      <c r="X84" s="1">
        <f t="shared" si="50"/>
        <v>-208.67000000000002</v>
      </c>
      <c r="Y84" s="1"/>
      <c r="Z84" s="5">
        <f t="shared" si="51"/>
        <v>-1</v>
      </c>
    </row>
    <row r="85" spans="1:26" s="24" customFormat="1" hidden="1" outlineLevel="2" x14ac:dyDescent="0.25">
      <c r="A85" s="26"/>
      <c r="B85" s="11" t="str">
        <f>CONCATENATE("          ", "6371", " - ", "COMPUTER SOFTWARE MAINTENANCE")</f>
        <v xml:space="preserve">          6371 - COMPUTER SOFTWARE MAINTENANCE</v>
      </c>
      <c r="C85" s="11"/>
      <c r="D85" s="6"/>
      <c r="E85" s="2"/>
      <c r="F85" s="7">
        <f t="shared" si="44"/>
        <v>0</v>
      </c>
      <c r="G85" s="2"/>
      <c r="H85" s="6"/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/>
      <c r="Q85" s="2"/>
      <c r="R85" s="7">
        <f t="shared" si="48"/>
        <v>0</v>
      </c>
      <c r="S85" s="2"/>
      <c r="T85" s="6">
        <v>186.58</v>
      </c>
      <c r="U85" s="2"/>
      <c r="V85" s="7">
        <f t="shared" si="49"/>
        <v>1.3877097483902539E-4</v>
      </c>
      <c r="W85" s="2"/>
      <c r="X85" s="6">
        <f t="shared" si="50"/>
        <v>-186.58</v>
      </c>
      <c r="Y85" s="2"/>
      <c r="Z85" s="7">
        <f t="shared" si="51"/>
        <v>-1</v>
      </c>
    </row>
    <row r="86" spans="1:26" s="24" customFormat="1" hidden="1" outlineLevel="2" x14ac:dyDescent="0.25">
      <c r="A86" s="26"/>
      <c r="B86" s="11" t="str">
        <f>CONCATENATE("          ", "6375", " - ", "OUTSIDE REPAIRS &amp; MAINTENANCE")</f>
        <v xml:space="preserve">          6375 - OUTSIDE REPAIRS &amp; MAINTENANCE</v>
      </c>
      <c r="C86" s="11"/>
      <c r="D86" s="6"/>
      <c r="E86" s="2"/>
      <c r="F86" s="7">
        <f t="shared" si="44"/>
        <v>0</v>
      </c>
      <c r="G86" s="2"/>
      <c r="H86" s="6"/>
      <c r="I86" s="2"/>
      <c r="J86" s="7">
        <f t="shared" si="45"/>
        <v>0</v>
      </c>
      <c r="K86" s="2"/>
      <c r="L86" s="6">
        <f t="shared" si="46"/>
        <v>0</v>
      </c>
      <c r="M86" s="2"/>
      <c r="N86" s="7">
        <f t="shared" si="47"/>
        <v>0</v>
      </c>
      <c r="O86" s="11"/>
      <c r="P86" s="6"/>
      <c r="Q86" s="2"/>
      <c r="R86" s="7">
        <f t="shared" si="48"/>
        <v>0</v>
      </c>
      <c r="S86" s="2"/>
      <c r="T86" s="6">
        <v>22.09</v>
      </c>
      <c r="U86" s="2"/>
      <c r="V86" s="7">
        <f t="shared" si="49"/>
        <v>1.6429686108875929E-5</v>
      </c>
      <c r="W86" s="2"/>
      <c r="X86" s="6">
        <f t="shared" si="50"/>
        <v>-22.09</v>
      </c>
      <c r="Y86" s="2"/>
      <c r="Z86" s="7">
        <f t="shared" si="51"/>
        <v>-1</v>
      </c>
    </row>
    <row r="87" spans="1:26" s="27" customFormat="1" outlineLevel="1" collapsed="1" x14ac:dyDescent="0.25">
      <c r="A87" s="25"/>
      <c r="B87" s="13" t="str">
        <f>CONCATENATE("     ","Royalty &amp; Commissions                             ")</f>
        <v xml:space="preserve">     Royalty &amp; Commissions                             </v>
      </c>
      <c r="C87" s="13"/>
      <c r="D87" s="1">
        <f>SUM(OSRRefD22_9x_0)</f>
        <v>262.72000000000003</v>
      </c>
      <c r="E87" s="1"/>
      <c r="F87" s="5">
        <f t="shared" ref="F87:F89" si="52">IF(D$12=0,0,D87/D$12)</f>
        <v>1.0616387318395609E-3</v>
      </c>
      <c r="G87" s="1"/>
      <c r="H87" s="1">
        <f>SUM(OSRRefH22_9x_0)</f>
        <v>3416.52</v>
      </c>
      <c r="I87" s="1"/>
      <c r="J87" s="5">
        <f t="shared" ref="J87:J89" si="53">IF(H$12=0,0,H87/H$12)</f>
        <v>1.0807933625345656E-2</v>
      </c>
      <c r="K87" s="1"/>
      <c r="L87" s="1">
        <f t="shared" ref="L87:L89" si="54">+D87-H87</f>
        <v>-3153.8</v>
      </c>
      <c r="M87" s="1"/>
      <c r="N87" s="5">
        <f t="shared" ref="N87:N89" si="55">IF(H87=0,0,L87/H87)</f>
        <v>-0.92310304052076386</v>
      </c>
      <c r="O87" s="13"/>
      <c r="P87" s="1">
        <f>SUM(OSRRefP22_9x_0)</f>
        <v>6930.79</v>
      </c>
      <c r="Q87" s="1"/>
      <c r="R87" s="5">
        <f t="shared" ref="R87:R89" si="56">IF(P$12=0,0,P87/P$12)</f>
        <v>4.7246408686960235E-3</v>
      </c>
      <c r="S87" s="1"/>
      <c r="T87" s="1">
        <f>SUM(OSRRefT22_9x_0)</f>
        <v>29149.73</v>
      </c>
      <c r="U87" s="1"/>
      <c r="V87" s="5">
        <f t="shared" ref="V87:V89" si="57">IF(T$12=0,0,T87/T$12)</f>
        <v>2.1680439749139153E-2</v>
      </c>
      <c r="W87" s="1"/>
      <c r="X87" s="1">
        <f t="shared" ref="X87:X89" si="58">+P87-T87</f>
        <v>-22218.94</v>
      </c>
      <c r="Y87" s="1"/>
      <c r="Z87" s="5">
        <f t="shared" ref="Z87:Z89" si="59">IF(T87=0,0,X87/T87)</f>
        <v>-0.7622348474582783</v>
      </c>
    </row>
    <row r="88" spans="1:26" s="24" customFormat="1" hidden="1" outlineLevel="2" x14ac:dyDescent="0.25">
      <c r="A88" s="26"/>
      <c r="B88" s="11" t="str">
        <f>CONCATENATE("          ", "6253", " - ", "ROYALTY DUE ATHLETICS-LRG")</f>
        <v xml:space="preserve">          6253 - ROYALTY DUE ATHLETICS-LRG</v>
      </c>
      <c r="C88" s="11"/>
      <c r="D88" s="6"/>
      <c r="E88" s="2"/>
      <c r="F88" s="7">
        <f t="shared" si="52"/>
        <v>0</v>
      </c>
      <c r="G88" s="2"/>
      <c r="H88" s="6">
        <v>3178</v>
      </c>
      <c r="I88" s="2"/>
      <c r="J88" s="7">
        <f t="shared" si="53"/>
        <v>1.0053391480614337E-2</v>
      </c>
      <c r="K88" s="2"/>
      <c r="L88" s="6">
        <f t="shared" si="54"/>
        <v>-3178</v>
      </c>
      <c r="M88" s="2"/>
      <c r="N88" s="7">
        <f t="shared" si="55"/>
        <v>-1</v>
      </c>
      <c r="O88" s="11"/>
      <c r="P88" s="6">
        <v>4366.95</v>
      </c>
      <c r="Q88" s="2"/>
      <c r="R88" s="7">
        <f t="shared" si="56"/>
        <v>2.9769002439191056E-3</v>
      </c>
      <c r="S88" s="2"/>
      <c r="T88" s="6">
        <v>26172.42</v>
      </c>
      <c r="U88" s="2"/>
      <c r="V88" s="7">
        <f t="shared" si="57"/>
        <v>1.9466031928912018E-2</v>
      </c>
      <c r="W88" s="2"/>
      <c r="X88" s="6">
        <f t="shared" si="58"/>
        <v>-21805.469999999998</v>
      </c>
      <c r="Y88" s="2"/>
      <c r="Z88" s="7">
        <f t="shared" si="59"/>
        <v>-0.8331468775145745</v>
      </c>
    </row>
    <row r="89" spans="1:26" s="24" customFormat="1" hidden="1" outlineLevel="2" x14ac:dyDescent="0.25">
      <c r="A89" s="26"/>
      <c r="B89" s="11" t="str">
        <f>CONCATENATE("          ", "6254", " - ", "ROYALTY &amp; COMMISSIONS")</f>
        <v xml:space="preserve">          6254 - ROYALTY &amp; COMMISSIONS</v>
      </c>
      <c r="C89" s="11"/>
      <c r="D89" s="6">
        <v>262.72000000000003</v>
      </c>
      <c r="E89" s="2"/>
      <c r="F89" s="7">
        <f t="shared" si="52"/>
        <v>1.0616387318395609E-3</v>
      </c>
      <c r="G89" s="2"/>
      <c r="H89" s="6">
        <v>238.52</v>
      </c>
      <c r="I89" s="2"/>
      <c r="J89" s="7">
        <f t="shared" si="53"/>
        <v>7.5454214473131892E-4</v>
      </c>
      <c r="K89" s="2"/>
      <c r="L89" s="6">
        <f t="shared" si="54"/>
        <v>24.200000000000017</v>
      </c>
      <c r="M89" s="2"/>
      <c r="N89" s="7">
        <f t="shared" si="55"/>
        <v>0.1014589971490861</v>
      </c>
      <c r="O89" s="11"/>
      <c r="P89" s="6">
        <v>2563.84</v>
      </c>
      <c r="Q89" s="2"/>
      <c r="R89" s="7">
        <f t="shared" si="56"/>
        <v>1.7477406247769177E-3</v>
      </c>
      <c r="S89" s="2"/>
      <c r="T89" s="6">
        <v>2977.31</v>
      </c>
      <c r="U89" s="2"/>
      <c r="V89" s="7">
        <f t="shared" si="57"/>
        <v>2.2144078202271339E-3</v>
      </c>
      <c r="W89" s="2"/>
      <c r="X89" s="6">
        <f t="shared" si="58"/>
        <v>-413.4699999999998</v>
      </c>
      <c r="Y89" s="2"/>
      <c r="Z89" s="7">
        <f t="shared" si="59"/>
        <v>-0.13887368127605113</v>
      </c>
    </row>
    <row r="90" spans="1:26" s="27" customFormat="1" outlineLevel="1" collapsed="1" x14ac:dyDescent="0.25">
      <c r="A90" s="25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SUM(OSRRefD22_10x_0)</f>
        <v>0</v>
      </c>
      <c r="E90" s="1"/>
      <c r="F90" s="5">
        <f t="shared" ref="F90:F92" si="60">IF(D$12=0,0,D90/D$12)</f>
        <v>0</v>
      </c>
      <c r="G90" s="1"/>
      <c r="H90" s="1">
        <f>SUM(OSRRefH22_10x_0)</f>
        <v>0</v>
      </c>
      <c r="I90" s="1"/>
      <c r="J90" s="5">
        <f t="shared" ref="J90:J92" si="61">IF(H$12=0,0,H90/H$12)</f>
        <v>0</v>
      </c>
      <c r="K90" s="1"/>
      <c r="L90" s="1">
        <f t="shared" ref="L90:L92" si="62">+D90-H90</f>
        <v>0</v>
      </c>
      <c r="M90" s="1"/>
      <c r="N90" s="5">
        <f t="shared" ref="N90:N92" si="63">IF(H90=0,0,L90/H90)</f>
        <v>0</v>
      </c>
      <c r="O90" s="13"/>
      <c r="P90" s="1">
        <f>SUM(OSRRefP22_10x_0)</f>
        <v>296.64</v>
      </c>
      <c r="Q90" s="1"/>
      <c r="R90" s="5">
        <f t="shared" ref="R90:R92" si="64">IF(P$12=0,0,P90/P$12)</f>
        <v>2.0221612071495289E-4</v>
      </c>
      <c r="S90" s="1"/>
      <c r="T90" s="1">
        <f>SUM(OSRRefT22_10x_0)</f>
        <v>334.98</v>
      </c>
      <c r="U90" s="1"/>
      <c r="V90" s="5">
        <f t="shared" ref="V90:V92" si="65">IF(T$12=0,0,T90/T$12)</f>
        <v>2.4914514498647621E-4</v>
      </c>
      <c r="W90" s="1"/>
      <c r="X90" s="1">
        <f t="shared" ref="X90:X92" si="66">+P90-T90</f>
        <v>-38.340000000000032</v>
      </c>
      <c r="Y90" s="1"/>
      <c r="Z90" s="5">
        <f t="shared" ref="Z90:Z92" si="67">IF(T90=0,0,X90/T90)</f>
        <v>-0.11445459430413765</v>
      </c>
    </row>
    <row r="91" spans="1:26" s="24" customFormat="1" hidden="1" outlineLevel="2" x14ac:dyDescent="0.25">
      <c r="A91" s="26"/>
      <c r="B91" s="11" t="str">
        <f>CONCATENATE("          ", "6258", " - ", "MEMBERSHIP DUES")</f>
        <v xml:space="preserve">          6258 - MEMBERSHIP DUES</v>
      </c>
      <c r="C91" s="11"/>
      <c r="D91" s="6"/>
      <c r="E91" s="2"/>
      <c r="F91" s="7">
        <f t="shared" si="60"/>
        <v>0</v>
      </c>
      <c r="G91" s="2"/>
      <c r="H91" s="6"/>
      <c r="I91" s="2"/>
      <c r="J91" s="7">
        <f t="shared" si="61"/>
        <v>0</v>
      </c>
      <c r="K91" s="2"/>
      <c r="L91" s="6">
        <f t="shared" si="62"/>
        <v>0</v>
      </c>
      <c r="M91" s="2"/>
      <c r="N91" s="7">
        <f t="shared" si="63"/>
        <v>0</v>
      </c>
      <c r="O91" s="11"/>
      <c r="P91" s="6"/>
      <c r="Q91" s="2"/>
      <c r="R91" s="7">
        <f t="shared" si="64"/>
        <v>0</v>
      </c>
      <c r="S91" s="2"/>
      <c r="T91" s="6">
        <v>51.48</v>
      </c>
      <c r="U91" s="2"/>
      <c r="V91" s="7">
        <f t="shared" si="65"/>
        <v>3.8288829374600847E-5</v>
      </c>
      <c r="W91" s="2"/>
      <c r="X91" s="6">
        <f t="shared" si="66"/>
        <v>-51.48</v>
      </c>
      <c r="Y91" s="2"/>
      <c r="Z91" s="7">
        <f t="shared" si="67"/>
        <v>-1</v>
      </c>
    </row>
    <row r="92" spans="1:26" s="24" customFormat="1" hidden="1" outlineLevel="2" x14ac:dyDescent="0.25">
      <c r="A92" s="26"/>
      <c r="B92" s="11" t="str">
        <f>CONCATENATE("          ", "6275", " - ", "SUBSCRIPTIONS")</f>
        <v xml:space="preserve">          6275 - SUBSCRIPTIONS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>
        <v>296.64</v>
      </c>
      <c r="Q92" s="2"/>
      <c r="R92" s="7">
        <f t="shared" si="64"/>
        <v>2.0221612071495289E-4</v>
      </c>
      <c r="S92" s="2"/>
      <c r="T92" s="6">
        <v>283.5</v>
      </c>
      <c r="U92" s="2"/>
      <c r="V92" s="7">
        <f t="shared" si="65"/>
        <v>2.1085631561187533E-4</v>
      </c>
      <c r="W92" s="2"/>
      <c r="X92" s="6">
        <f t="shared" si="66"/>
        <v>13.139999999999986</v>
      </c>
      <c r="Y92" s="2"/>
      <c r="Z92" s="7">
        <f t="shared" si="67"/>
        <v>4.63492063492063E-2</v>
      </c>
    </row>
    <row r="93" spans="1:26" s="27" customFormat="1" outlineLevel="1" collapsed="1" x14ac:dyDescent="0.25">
      <c r="A93" s="25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SUM(OSRRefD22_11x_0)</f>
        <v>126.66</v>
      </c>
      <c r="E93" s="1"/>
      <c r="F93" s="5">
        <f t="shared" ref="F93:F98" si="68">IF(D$12=0,0,D93/D$12)</f>
        <v>5.1182689469701109E-4</v>
      </c>
      <c r="G93" s="1"/>
      <c r="H93" s="1">
        <f>SUM(OSRRefH22_11x_0)</f>
        <v>40.14</v>
      </c>
      <c r="I93" s="1"/>
      <c r="J93" s="5">
        <f t="shared" ref="J93:J98" si="69">IF(H$12=0,0,H93/H$12)</f>
        <v>1.2698021838636233E-4</v>
      </c>
      <c r="K93" s="1"/>
      <c r="L93" s="1">
        <f t="shared" ref="L93:L98" si="70">+D93-H93</f>
        <v>86.52</v>
      </c>
      <c r="M93" s="1"/>
      <c r="N93" s="5">
        <f t="shared" ref="N93:N98" si="71">IF(H93=0,0,L93/H93)</f>
        <v>2.1554559043348278</v>
      </c>
      <c r="O93" s="13"/>
      <c r="P93" s="1">
        <f>SUM(OSRRefP22_11x_0)</f>
        <v>1807.25</v>
      </c>
      <c r="Q93" s="1"/>
      <c r="R93" s="5">
        <f t="shared" ref="R93:R98" si="72">IF(P$12=0,0,P93/P$12)</f>
        <v>1.2319818101473119E-3</v>
      </c>
      <c r="S93" s="1"/>
      <c r="T93" s="1">
        <f>SUM(OSRRefT22_11x_0)</f>
        <v>1228.75</v>
      </c>
      <c r="U93" s="1"/>
      <c r="V93" s="5">
        <f t="shared" ref="V93:V98" si="73">IF(T$12=0,0,T93/T$12)</f>
        <v>9.1389664129838373E-4</v>
      </c>
      <c r="W93" s="1"/>
      <c r="X93" s="1">
        <f t="shared" ref="X93:X98" si="74">+P93-T93</f>
        <v>578.5</v>
      </c>
      <c r="Y93" s="1"/>
      <c r="Z93" s="5">
        <f t="shared" ref="Z93:Z98" si="75">IF(T93=0,0,X93/T93)</f>
        <v>0.47080366225839265</v>
      </c>
    </row>
    <row r="94" spans="1:26" s="24" customFormat="1" hidden="1" outlineLevel="2" x14ac:dyDescent="0.25">
      <c r="A94" s="26"/>
      <c r="B94" s="11" t="str">
        <f>CONCATENATE("          ", "6234", " - ", "EXPENDABLE SUPPLIES &amp; EQUIPMEN")</f>
        <v xml:space="preserve">          6234 - EXPENDABLE SUPPLIES &amp; EQUIPMEN</v>
      </c>
      <c r="C94" s="11"/>
      <c r="D94" s="6"/>
      <c r="E94" s="2"/>
      <c r="F94" s="7">
        <f t="shared" si="68"/>
        <v>0</v>
      </c>
      <c r="G94" s="2"/>
      <c r="H94" s="6">
        <v>8.23</v>
      </c>
      <c r="I94" s="2"/>
      <c r="J94" s="7">
        <f t="shared" si="69"/>
        <v>2.6035057232679669E-5</v>
      </c>
      <c r="K94" s="2"/>
      <c r="L94" s="6">
        <f t="shared" si="70"/>
        <v>-8.23</v>
      </c>
      <c r="M94" s="2"/>
      <c r="N94" s="7">
        <f t="shared" si="71"/>
        <v>-1</v>
      </c>
      <c r="O94" s="11"/>
      <c r="P94" s="6">
        <v>20.36</v>
      </c>
      <c r="Q94" s="2"/>
      <c r="R94" s="7">
        <f t="shared" si="72"/>
        <v>1.387918088510127E-5</v>
      </c>
      <c r="S94" s="2"/>
      <c r="T94" s="6">
        <v>165.95</v>
      </c>
      <c r="U94" s="2"/>
      <c r="V94" s="7">
        <f t="shared" si="73"/>
        <v>1.2342718016151926E-4</v>
      </c>
      <c r="W94" s="2"/>
      <c r="X94" s="6">
        <f t="shared" si="74"/>
        <v>-145.58999999999997</v>
      </c>
      <c r="Y94" s="2"/>
      <c r="Z94" s="7">
        <f t="shared" si="75"/>
        <v>-0.87731244350708038</v>
      </c>
    </row>
    <row r="95" spans="1:26" s="24" customFormat="1" hidden="1" outlineLevel="2" x14ac:dyDescent="0.25">
      <c r="A95" s="26"/>
      <c r="B95" s="11" t="str">
        <f>CONCATENATE("          ", "6241", " - ", "OFFICE EXPENSE")</f>
        <v xml:space="preserve">          6241 - OFFICE EXPENSE</v>
      </c>
      <c r="C95" s="11"/>
      <c r="D95" s="6">
        <v>126.66</v>
      </c>
      <c r="E95" s="2"/>
      <c r="F95" s="7">
        <f t="shared" si="68"/>
        <v>5.1182689469701109E-4</v>
      </c>
      <c r="G95" s="2"/>
      <c r="H95" s="6">
        <v>31.91</v>
      </c>
      <c r="I95" s="2"/>
      <c r="J95" s="7">
        <f t="shared" si="69"/>
        <v>1.0094516115368265E-4</v>
      </c>
      <c r="K95" s="2"/>
      <c r="L95" s="6">
        <f t="shared" si="70"/>
        <v>94.75</v>
      </c>
      <c r="M95" s="2"/>
      <c r="N95" s="7">
        <f t="shared" si="71"/>
        <v>2.9692886242557193</v>
      </c>
      <c r="O95" s="11"/>
      <c r="P95" s="6">
        <v>2082.2199999999998</v>
      </c>
      <c r="Q95" s="2"/>
      <c r="R95" s="7">
        <f t="shared" si="72"/>
        <v>1.4194257378475229E-3</v>
      </c>
      <c r="S95" s="2"/>
      <c r="T95" s="6">
        <v>505.46</v>
      </c>
      <c r="U95" s="2"/>
      <c r="V95" s="7">
        <f t="shared" si="73"/>
        <v>3.7594156363025924E-4</v>
      </c>
      <c r="W95" s="2"/>
      <c r="X95" s="6">
        <f t="shared" si="74"/>
        <v>1576.7599999999998</v>
      </c>
      <c r="Y95" s="2"/>
      <c r="Z95" s="7">
        <f t="shared" si="75"/>
        <v>3.119455545443754</v>
      </c>
    </row>
    <row r="96" spans="1:26" s="24" customFormat="1" hidden="1" outlineLevel="2" x14ac:dyDescent="0.25">
      <c r="A96" s="26"/>
      <c r="B96" s="11" t="str">
        <f>CONCATENATE("          ", "6245", " - ", "PRINTING")</f>
        <v xml:space="preserve">          6245 - PRINTING</v>
      </c>
      <c r="C96" s="11"/>
      <c r="D96" s="6"/>
      <c r="E96" s="2"/>
      <c r="F96" s="7">
        <f t="shared" si="68"/>
        <v>0</v>
      </c>
      <c r="G96" s="2"/>
      <c r="H96" s="6"/>
      <c r="I96" s="2"/>
      <c r="J96" s="7">
        <f t="shared" si="69"/>
        <v>0</v>
      </c>
      <c r="K96" s="2"/>
      <c r="L96" s="6">
        <f t="shared" si="70"/>
        <v>0</v>
      </c>
      <c r="M96" s="2"/>
      <c r="N96" s="7">
        <f t="shared" si="71"/>
        <v>0</v>
      </c>
      <c r="O96" s="11"/>
      <c r="P96" s="6">
        <v>-617.17999999999995</v>
      </c>
      <c r="Q96" s="2"/>
      <c r="R96" s="7">
        <f t="shared" si="72"/>
        <v>-4.2072460013098238E-4</v>
      </c>
      <c r="S96" s="2"/>
      <c r="T96" s="6">
        <v>220.5</v>
      </c>
      <c r="U96" s="2"/>
      <c r="V96" s="7">
        <f t="shared" si="73"/>
        <v>1.6399935658701413E-4</v>
      </c>
      <c r="W96" s="2"/>
      <c r="X96" s="6">
        <f t="shared" si="74"/>
        <v>-837.68</v>
      </c>
      <c r="Y96" s="2"/>
      <c r="Z96" s="7">
        <f t="shared" si="75"/>
        <v>-3.7990022675736959</v>
      </c>
    </row>
    <row r="97" spans="1:26" s="24" customFormat="1" hidden="1" outlineLevel="2" x14ac:dyDescent="0.25">
      <c r="A97" s="26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68"/>
        <v>0</v>
      </c>
      <c r="G97" s="2"/>
      <c r="H97" s="6"/>
      <c r="I97" s="2"/>
      <c r="J97" s="7">
        <f t="shared" si="69"/>
        <v>0</v>
      </c>
      <c r="K97" s="2"/>
      <c r="L97" s="6">
        <f t="shared" si="70"/>
        <v>0</v>
      </c>
      <c r="M97" s="2"/>
      <c r="N97" s="7">
        <f t="shared" si="71"/>
        <v>0</v>
      </c>
      <c r="O97" s="11"/>
      <c r="P97" s="6">
        <v>321.85000000000002</v>
      </c>
      <c r="Q97" s="2"/>
      <c r="R97" s="7">
        <f t="shared" si="72"/>
        <v>2.1940149154567014E-4</v>
      </c>
      <c r="S97" s="2"/>
      <c r="T97" s="6">
        <v>237.84</v>
      </c>
      <c r="U97" s="2"/>
      <c r="V97" s="7">
        <f t="shared" si="73"/>
        <v>1.7689617673766639E-4</v>
      </c>
      <c r="W97" s="2"/>
      <c r="X97" s="6">
        <f t="shared" si="74"/>
        <v>84.010000000000019</v>
      </c>
      <c r="Y97" s="2"/>
      <c r="Z97" s="7">
        <f t="shared" si="75"/>
        <v>0.35322065253952245</v>
      </c>
    </row>
    <row r="98" spans="1:26" s="24" customFormat="1" hidden="1" outlineLevel="2" x14ac:dyDescent="0.25">
      <c r="A98" s="26"/>
      <c r="B98" s="11" t="str">
        <f>CONCATENATE("          ", "6248", " - ", "UNIFORMS")</f>
        <v xml:space="preserve">          6248 - UNIFORMS</v>
      </c>
      <c r="C98" s="11"/>
      <c r="D98" s="6"/>
      <c r="E98" s="2"/>
      <c r="F98" s="7">
        <f t="shared" si="68"/>
        <v>0</v>
      </c>
      <c r="G98" s="2"/>
      <c r="H98" s="6"/>
      <c r="I98" s="2"/>
      <c r="J98" s="7">
        <f t="shared" si="69"/>
        <v>0</v>
      </c>
      <c r="K98" s="2"/>
      <c r="L98" s="6">
        <f t="shared" si="70"/>
        <v>0</v>
      </c>
      <c r="M98" s="2"/>
      <c r="N98" s="7">
        <f t="shared" si="71"/>
        <v>0</v>
      </c>
      <c r="O98" s="11"/>
      <c r="P98" s="6"/>
      <c r="Q98" s="2"/>
      <c r="R98" s="7">
        <f t="shared" si="72"/>
        <v>0</v>
      </c>
      <c r="S98" s="2"/>
      <c r="T98" s="6">
        <v>99</v>
      </c>
      <c r="U98" s="2"/>
      <c r="V98" s="7">
        <f t="shared" si="73"/>
        <v>7.3632364181924718E-5</v>
      </c>
      <c r="W98" s="2"/>
      <c r="X98" s="6">
        <f t="shared" si="74"/>
        <v>-99</v>
      </c>
      <c r="Y98" s="2"/>
      <c r="Z98" s="7">
        <f t="shared" si="75"/>
        <v>-1</v>
      </c>
    </row>
    <row r="99" spans="1:26" s="27" customFormat="1" outlineLevel="1" collapsed="1" x14ac:dyDescent="0.25">
      <c r="A99" s="25"/>
      <c r="B99" s="13" t="str">
        <f>CONCATENATE("     ","Telephone/Data Lines                              ")</f>
        <v xml:space="preserve">     Telephone/Data Lines                              </v>
      </c>
      <c r="C99" s="13"/>
      <c r="D99" s="1">
        <f>SUM(OSRRefD22_12x_0)</f>
        <v>324.69</v>
      </c>
      <c r="E99" s="1"/>
      <c r="F99" s="5">
        <f t="shared" ref="F99:F105" si="76">IF(D$12=0,0,D99/D$12)</f>
        <v>1.3120564853874351E-3</v>
      </c>
      <c r="G99" s="1"/>
      <c r="H99" s="1">
        <f>SUM(OSRRefH22_12x_0)</f>
        <v>234.39</v>
      </c>
      <c r="I99" s="1"/>
      <c r="J99" s="5">
        <f t="shared" ref="J99:J105" si="77">IF(H$12=0,0,H99/H$12)</f>
        <v>7.4147716461333993E-4</v>
      </c>
      <c r="K99" s="1"/>
      <c r="L99" s="1">
        <f t="shared" ref="L99:L105" si="78">+D99-H99</f>
        <v>90.300000000000011</v>
      </c>
      <c r="M99" s="1"/>
      <c r="N99" s="5">
        <f t="shared" ref="N99:N105" si="79">IF(H99=0,0,L99/H99)</f>
        <v>0.38525534365800596</v>
      </c>
      <c r="O99" s="13"/>
      <c r="P99" s="1">
        <f>SUM(OSRRefP22_12x_0)</f>
        <v>3498.56</v>
      </c>
      <c r="Q99" s="1"/>
      <c r="R99" s="5">
        <f t="shared" ref="R99:R105" si="80">IF(P$12=0,0,P99/P$12)</f>
        <v>2.3849286383781877E-3</v>
      </c>
      <c r="S99" s="1"/>
      <c r="T99" s="1">
        <f>SUM(OSRRefT22_12x_0)</f>
        <v>3106.87</v>
      </c>
      <c r="U99" s="1"/>
      <c r="V99" s="5">
        <f t="shared" ref="V99:V105" si="81">IF(T$12=0,0,T99/T$12)</f>
        <v>2.3107695283423883E-3</v>
      </c>
      <c r="W99" s="1"/>
      <c r="X99" s="1">
        <f t="shared" ref="X99:X105" si="82">+P99-T99</f>
        <v>391.69000000000005</v>
      </c>
      <c r="Y99" s="1"/>
      <c r="Z99" s="5">
        <f t="shared" ref="Z99:Z105" si="83">IF(T99=0,0,X99/T99)</f>
        <v>0.126072220595004</v>
      </c>
    </row>
    <row r="100" spans="1:26" s="24" customFormat="1" hidden="1" outlineLevel="2" x14ac:dyDescent="0.25">
      <c r="A100" s="26"/>
      <c r="B100" s="11" t="str">
        <f>CONCATENATE("          ", "6309", " - ", "TELEPHONE")</f>
        <v xml:space="preserve">          6309 - TELEPHONE</v>
      </c>
      <c r="C100" s="11"/>
      <c r="D100" s="6">
        <v>324.69</v>
      </c>
      <c r="E100" s="2"/>
      <c r="F100" s="7">
        <f t="shared" si="76"/>
        <v>1.3120564853874351E-3</v>
      </c>
      <c r="G100" s="2"/>
      <c r="H100" s="6">
        <v>234.39</v>
      </c>
      <c r="I100" s="2"/>
      <c r="J100" s="7">
        <f t="shared" si="77"/>
        <v>7.4147716461333993E-4</v>
      </c>
      <c r="K100" s="2"/>
      <c r="L100" s="6">
        <f t="shared" si="78"/>
        <v>90.300000000000011</v>
      </c>
      <c r="M100" s="2"/>
      <c r="N100" s="7">
        <f t="shared" si="79"/>
        <v>0.38525534365800596</v>
      </c>
      <c r="O100" s="11"/>
      <c r="P100" s="6">
        <v>3498.56</v>
      </c>
      <c r="Q100" s="2"/>
      <c r="R100" s="7">
        <f t="shared" si="80"/>
        <v>2.3849286383781877E-3</v>
      </c>
      <c r="S100" s="2"/>
      <c r="T100" s="6">
        <v>3106.87</v>
      </c>
      <c r="U100" s="2"/>
      <c r="V100" s="7">
        <f t="shared" si="81"/>
        <v>2.3107695283423883E-3</v>
      </c>
      <c r="W100" s="2"/>
      <c r="X100" s="6">
        <f t="shared" si="82"/>
        <v>391.69000000000005</v>
      </c>
      <c r="Y100" s="2"/>
      <c r="Z100" s="7">
        <f t="shared" si="83"/>
        <v>0.126072220595004</v>
      </c>
    </row>
    <row r="101" spans="1:26" s="27" customFormat="1" outlineLevel="1" collapsed="1" x14ac:dyDescent="0.25">
      <c r="A101" s="25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SUM(OSRRefD22_13x_0)</f>
        <v>0</v>
      </c>
      <c r="E101" s="1"/>
      <c r="F101" s="5">
        <f t="shared" si="76"/>
        <v>0</v>
      </c>
      <c r="G101" s="1"/>
      <c r="H101" s="1">
        <f>SUM(OSRRefH22_13x_0)</f>
        <v>754.78</v>
      </c>
      <c r="I101" s="1"/>
      <c r="J101" s="5">
        <f t="shared" si="77"/>
        <v>2.3876962938131178E-3</v>
      </c>
      <c r="K101" s="1"/>
      <c r="L101" s="1">
        <f t="shared" si="78"/>
        <v>-754.78</v>
      </c>
      <c r="M101" s="1"/>
      <c r="N101" s="5">
        <f t="shared" si="79"/>
        <v>-1</v>
      </c>
      <c r="O101" s="13"/>
      <c r="P101" s="1">
        <f>SUM(OSRRefP22_13x_0)</f>
        <v>1379.18</v>
      </c>
      <c r="Q101" s="1"/>
      <c r="R101" s="5">
        <f t="shared" si="80"/>
        <v>9.4017135034940916E-4</v>
      </c>
      <c r="S101" s="1"/>
      <c r="T101" s="1">
        <f>SUM(OSRRefT22_13x_0)</f>
        <v>1495.78</v>
      </c>
      <c r="U101" s="1"/>
      <c r="V101" s="5">
        <f t="shared" si="81"/>
        <v>1.1125032090509024E-3</v>
      </c>
      <c r="W101" s="1"/>
      <c r="X101" s="1">
        <f t="shared" si="82"/>
        <v>-116.59999999999991</v>
      </c>
      <c r="Y101" s="1"/>
      <c r="Z101" s="5">
        <f t="shared" si="83"/>
        <v>-7.7952640094131428E-2</v>
      </c>
    </row>
    <row r="102" spans="1:26" s="24" customFormat="1" hidden="1" outlineLevel="2" x14ac:dyDescent="0.25">
      <c r="A102" s="26"/>
      <c r="B102" s="11" t="str">
        <f>CONCATENATE("          ", "6376", " - ", "TRAINING")</f>
        <v xml:space="preserve">          6376 - TRAINING</v>
      </c>
      <c r="C102" s="11"/>
      <c r="D102" s="6"/>
      <c r="E102" s="2"/>
      <c r="F102" s="7">
        <f t="shared" si="76"/>
        <v>0</v>
      </c>
      <c r="G102" s="2"/>
      <c r="H102" s="6">
        <v>754.78</v>
      </c>
      <c r="I102" s="2"/>
      <c r="J102" s="7">
        <f t="shared" si="77"/>
        <v>2.3876962938131178E-3</v>
      </c>
      <c r="K102" s="2"/>
      <c r="L102" s="6">
        <f t="shared" si="78"/>
        <v>-754.78</v>
      </c>
      <c r="M102" s="2"/>
      <c r="N102" s="7">
        <f t="shared" si="79"/>
        <v>-1</v>
      </c>
      <c r="O102" s="11"/>
      <c r="P102" s="6">
        <v>1379.18</v>
      </c>
      <c r="Q102" s="2"/>
      <c r="R102" s="7">
        <f t="shared" si="80"/>
        <v>9.4017135034940916E-4</v>
      </c>
      <c r="S102" s="2"/>
      <c r="T102" s="6">
        <v>1495.78</v>
      </c>
      <c r="U102" s="2"/>
      <c r="V102" s="7">
        <f t="shared" si="81"/>
        <v>1.1125032090509024E-3</v>
      </c>
      <c r="W102" s="2"/>
      <c r="X102" s="6">
        <f t="shared" si="82"/>
        <v>-116.59999999999991</v>
      </c>
      <c r="Y102" s="2"/>
      <c r="Z102" s="7">
        <f t="shared" si="83"/>
        <v>-7.7952640094131428E-2</v>
      </c>
    </row>
    <row r="103" spans="1:26" s="27" customFormat="1" outlineLevel="1" collapsed="1" x14ac:dyDescent="0.25">
      <c r="A103" s="25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SUM(OSRRefD22_14x_0)</f>
        <v>15.66</v>
      </c>
      <c r="E103" s="1"/>
      <c r="F103" s="5">
        <f t="shared" si="76"/>
        <v>6.3281297733737519E-5</v>
      </c>
      <c r="G103" s="1"/>
      <c r="H103" s="1">
        <f>SUM(OSRRefH22_14x_0)</f>
        <v>0</v>
      </c>
      <c r="I103" s="1"/>
      <c r="J103" s="5">
        <f t="shared" si="77"/>
        <v>0</v>
      </c>
      <c r="K103" s="1"/>
      <c r="L103" s="1">
        <f t="shared" si="78"/>
        <v>15.66</v>
      </c>
      <c r="M103" s="1"/>
      <c r="N103" s="5">
        <f t="shared" si="79"/>
        <v>0</v>
      </c>
      <c r="O103" s="13"/>
      <c r="P103" s="1">
        <f>SUM(OSRRefP22_14x_0)</f>
        <v>319.84000000000003</v>
      </c>
      <c r="Q103" s="1"/>
      <c r="R103" s="5">
        <f t="shared" si="80"/>
        <v>2.1803129736202312E-4</v>
      </c>
      <c r="S103" s="1"/>
      <c r="T103" s="1">
        <f>SUM(OSRRefT22_14x_0)</f>
        <v>79.349999999999994</v>
      </c>
      <c r="U103" s="1"/>
      <c r="V103" s="5">
        <f t="shared" si="81"/>
        <v>5.9017455533694202E-5</v>
      </c>
      <c r="W103" s="1"/>
      <c r="X103" s="1">
        <f t="shared" si="82"/>
        <v>240.49000000000004</v>
      </c>
      <c r="Y103" s="1"/>
      <c r="Z103" s="5">
        <f t="shared" si="83"/>
        <v>3.0307498424700698</v>
      </c>
    </row>
    <row r="104" spans="1:26" s="24" customFormat="1" hidden="1" outlineLevel="2" x14ac:dyDescent="0.25">
      <c r="A104" s="26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76"/>
        <v>0</v>
      </c>
      <c r="G104" s="2"/>
      <c r="H104" s="6"/>
      <c r="I104" s="2"/>
      <c r="J104" s="7">
        <f t="shared" si="77"/>
        <v>0</v>
      </c>
      <c r="K104" s="2"/>
      <c r="L104" s="6">
        <f t="shared" si="78"/>
        <v>0</v>
      </c>
      <c r="M104" s="2"/>
      <c r="N104" s="7">
        <f t="shared" si="79"/>
        <v>0</v>
      </c>
      <c r="O104" s="11"/>
      <c r="P104" s="6">
        <v>107.04</v>
      </c>
      <c r="Q104" s="2"/>
      <c r="R104" s="7">
        <f t="shared" si="80"/>
        <v>7.2967952944068769E-5</v>
      </c>
      <c r="S104" s="2"/>
      <c r="T104" s="6"/>
      <c r="U104" s="2"/>
      <c r="V104" s="7">
        <f t="shared" si="81"/>
        <v>0</v>
      </c>
      <c r="W104" s="2"/>
      <c r="X104" s="6">
        <f t="shared" si="82"/>
        <v>107.04</v>
      </c>
      <c r="Y104" s="2"/>
      <c r="Z104" s="7">
        <f t="shared" si="83"/>
        <v>0</v>
      </c>
    </row>
    <row r="105" spans="1:26" s="24" customFormat="1" hidden="1" outlineLevel="2" x14ac:dyDescent="0.25">
      <c r="A105" s="26"/>
      <c r="B105" s="11" t="str">
        <f>CONCATENATE("          ", "6294", " - ", "TRAVEL OPERATIONAL")</f>
        <v xml:space="preserve">          6294 - TRAVEL OPERATIONAL</v>
      </c>
      <c r="C105" s="11"/>
      <c r="D105" s="6">
        <v>15.66</v>
      </c>
      <c r="E105" s="2"/>
      <c r="F105" s="7">
        <f t="shared" si="76"/>
        <v>6.3281297733737519E-5</v>
      </c>
      <c r="G105" s="2"/>
      <c r="H105" s="6"/>
      <c r="I105" s="2"/>
      <c r="J105" s="7">
        <f t="shared" si="77"/>
        <v>0</v>
      </c>
      <c r="K105" s="2"/>
      <c r="L105" s="6">
        <f t="shared" si="78"/>
        <v>15.66</v>
      </c>
      <c r="M105" s="2"/>
      <c r="N105" s="7">
        <f t="shared" si="79"/>
        <v>0</v>
      </c>
      <c r="O105" s="11"/>
      <c r="P105" s="6">
        <v>212.8</v>
      </c>
      <c r="Q105" s="2"/>
      <c r="R105" s="7">
        <f t="shared" si="80"/>
        <v>1.4506334441795435E-4</v>
      </c>
      <c r="S105" s="2"/>
      <c r="T105" s="6">
        <v>79.349999999999994</v>
      </c>
      <c r="U105" s="2"/>
      <c r="V105" s="7">
        <f t="shared" si="81"/>
        <v>5.9017455533694202E-5</v>
      </c>
      <c r="W105" s="2"/>
      <c r="X105" s="6">
        <f t="shared" si="82"/>
        <v>133.45000000000002</v>
      </c>
      <c r="Y105" s="2"/>
      <c r="Z105" s="7">
        <f t="shared" si="83"/>
        <v>1.6817895400126028</v>
      </c>
    </row>
    <row r="106" spans="1:26" s="61" customFormat="1" x14ac:dyDescent="0.2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25">
      <c r="A107" s="10"/>
      <c r="B107" s="28" t="s">
        <v>0</v>
      </c>
      <c r="C107" s="10"/>
      <c r="D107" s="4">
        <f>SUM(OSRRefD25x_0)</f>
        <v>0</v>
      </c>
      <c r="E107" s="4"/>
      <c r="F107" s="12">
        <f t="shared" ref="F107:F108" si="84">IF(D$12=0,0,D107/D$12)</f>
        <v>0</v>
      </c>
      <c r="G107" s="4"/>
      <c r="H107" s="4">
        <f>SUM(OSRRefH25x_0)</f>
        <v>0</v>
      </c>
      <c r="I107" s="4"/>
      <c r="J107" s="12">
        <f t="shared" ref="J107:J108" si="85">IF(H$12=0,0,H107/H$12)</f>
        <v>0</v>
      </c>
      <c r="K107" s="4"/>
      <c r="L107" s="4">
        <f t="shared" ref="L107:L108" si="86">+D107-H107</f>
        <v>0</v>
      </c>
      <c r="M107" s="4"/>
      <c r="N107" s="12">
        <f t="shared" ref="N107:N108" si="87">IF(H107=0,0,L107/H107)</f>
        <v>0</v>
      </c>
      <c r="O107" s="10"/>
      <c r="P107" s="4">
        <f>SUM(OSRRefP25x_0)</f>
        <v>14830.16</v>
      </c>
      <c r="Q107" s="4"/>
      <c r="R107" s="12">
        <f t="shared" ref="R107:R108" si="88">IF(P$12=0,0,P107/P$12)</f>
        <v>1.0109551728634257E-2</v>
      </c>
      <c r="S107" s="4"/>
      <c r="T107" s="4">
        <f>SUM(OSRRefT25x_0)</f>
        <v>45451.3</v>
      </c>
      <c r="U107" s="4"/>
      <c r="V107" s="12">
        <f t="shared" ref="V107:V108" si="89">IF(T$12=0,0,T107/T$12)</f>
        <v>3.3804915900423387E-2</v>
      </c>
      <c r="W107" s="4"/>
      <c r="X107" s="4">
        <f t="shared" ref="X107:X108" si="90">+P107-T107</f>
        <v>-30621.140000000003</v>
      </c>
      <c r="Y107" s="4"/>
      <c r="Z107" s="12">
        <f t="shared" ref="Z107:Z108" si="91">IF(T107=0,0,X107/T107)</f>
        <v>-0.67371318312127493</v>
      </c>
    </row>
    <row r="108" spans="1:26" s="24" customFormat="1" hidden="1" outlineLevel="1" x14ac:dyDescent="0.25">
      <c r="A108" s="44"/>
      <c r="B108" s="11" t="str">
        <f>CONCATENATE("          ", "9150", " - ", "MISC. INCOME")</f>
        <v xml:space="preserve">          9150 - MISC. INCOME</v>
      </c>
      <c r="C108" s="11"/>
      <c r="D108" s="2">
        <f>0</f>
        <v>0</v>
      </c>
      <c r="E108" s="2"/>
      <c r="F108" s="19">
        <f t="shared" si="84"/>
        <v>0</v>
      </c>
      <c r="G108" s="2"/>
      <c r="H108" s="2">
        <f>0</f>
        <v>0</v>
      </c>
      <c r="I108" s="2"/>
      <c r="J108" s="19">
        <f t="shared" si="85"/>
        <v>0</v>
      </c>
      <c r="K108" s="2"/>
      <c r="L108" s="2">
        <f t="shared" si="86"/>
        <v>0</v>
      </c>
      <c r="M108" s="2"/>
      <c r="N108" s="19">
        <f t="shared" si="87"/>
        <v>0</v>
      </c>
      <c r="O108" s="11"/>
      <c r="P108" s="2">
        <f>--14830.16</f>
        <v>14830.16</v>
      </c>
      <c r="Q108" s="2"/>
      <c r="R108" s="19">
        <f t="shared" si="88"/>
        <v>1.0109551728634257E-2</v>
      </c>
      <c r="S108" s="2"/>
      <c r="T108" s="2">
        <f>--45451.3</f>
        <v>45451.3</v>
      </c>
      <c r="U108" s="2"/>
      <c r="V108" s="19">
        <f t="shared" si="89"/>
        <v>3.3804915900423387E-2</v>
      </c>
      <c r="W108" s="2"/>
      <c r="X108" s="2">
        <f t="shared" si="90"/>
        <v>-30621.140000000003</v>
      </c>
      <c r="Y108" s="2"/>
      <c r="Z108" s="19">
        <f t="shared" si="91"/>
        <v>-0.67371318312127493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9" t="s">
        <v>3</v>
      </c>
      <c r="C110" s="29"/>
      <c r="D110" s="20">
        <f>+D51-D53+D107</f>
        <v>74275.649999999994</v>
      </c>
      <c r="E110" s="14"/>
      <c r="F110" s="21">
        <f>IF(D$12=0,0,D110/D$12)</f>
        <v>0.30014428620797451</v>
      </c>
      <c r="G110" s="14"/>
      <c r="H110" s="20">
        <f>+H51-H53+H107</f>
        <v>104301.18000000005</v>
      </c>
      <c r="I110" s="14"/>
      <c r="J110" s="21">
        <f>IF(H$12=0,0,H110/H$12)</f>
        <v>0.32994984091567742</v>
      </c>
      <c r="K110" s="15"/>
      <c r="L110" s="20">
        <f>+D110-H110</f>
        <v>-30025.530000000057</v>
      </c>
      <c r="M110" s="15"/>
      <c r="N110" s="21">
        <f>IF(H110=0,0,L110/H110)</f>
        <v>-0.28787334908387463</v>
      </c>
      <c r="O110" s="28"/>
      <c r="P110" s="20">
        <f>+P51-P53+P107</f>
        <v>436367.97000000003</v>
      </c>
      <c r="Q110" s="14"/>
      <c r="R110" s="21">
        <f>IF(P$12=0,0,P110/P$12)</f>
        <v>0.29746709175316527</v>
      </c>
      <c r="S110" s="14"/>
      <c r="T110" s="20">
        <f>+T51-T53+T107</f>
        <v>464294.28999999946</v>
      </c>
      <c r="U110" s="14"/>
      <c r="V110" s="21">
        <f>IF(T$12=0,0,T110/T$12)</f>
        <v>0.34532410352392046</v>
      </c>
      <c r="W110" s="15"/>
      <c r="X110" s="20">
        <f>+P110-T110</f>
        <v>-27926.319999999425</v>
      </c>
      <c r="Y110" s="15"/>
      <c r="Z110" s="21">
        <f>IF(T110=0,0,X110/T110)</f>
        <v>-6.0147885945354737E-2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13</v>
      </c>
      <c r="C112" s="10"/>
      <c r="D112" s="4">
        <v>29306.84</v>
      </c>
      <c r="E112" s="4"/>
      <c r="F112" s="12">
        <f>IF(D$12=0,0,D112/D$12)</f>
        <v>0.11842751390006437</v>
      </c>
      <c r="G112" s="4"/>
      <c r="H112" s="4">
        <v>36882.53</v>
      </c>
      <c r="I112" s="4"/>
      <c r="J112" s="12">
        <f>IF(H$12=0,0,H112/H$12)</f>
        <v>0.11667542885006377</v>
      </c>
      <c r="K112" s="4"/>
      <c r="L112" s="4">
        <f>+D112-H112</f>
        <v>-7575.6899999999987</v>
      </c>
      <c r="M112" s="4"/>
      <c r="N112" s="12">
        <f>IF(H112=0,0,L112/H112)</f>
        <v>-0.20540049720016493</v>
      </c>
      <c r="O112" s="10"/>
      <c r="P112" s="4">
        <v>158441.4</v>
      </c>
      <c r="Q112" s="4"/>
      <c r="R112" s="12">
        <f>IF(P$12=0,0,P112/P$12)</f>
        <v>0.10800770384522025</v>
      </c>
      <c r="S112" s="4"/>
      <c r="T112" s="4">
        <v>145093.79</v>
      </c>
      <c r="U112" s="4"/>
      <c r="V112" s="12">
        <f>IF(T$12=0,0,T112/T$12)</f>
        <v>0.10791513925066371</v>
      </c>
      <c r="W112" s="4"/>
      <c r="X112" s="4">
        <f>+P112-T112</f>
        <v>13347.609999999986</v>
      </c>
      <c r="Y112" s="4"/>
      <c r="Z112" s="12">
        <f>IF(T112=0,0,X112/T112)</f>
        <v>9.199297916196128E-2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4</v>
      </c>
      <c r="C114" s="29"/>
      <c r="D114" s="32">
        <f>+D110-D112</f>
        <v>44968.81</v>
      </c>
      <c r="E114" s="14"/>
      <c r="F114" s="30">
        <f>IF(D$12=0,0,D114/D$12)</f>
        <v>0.18171677230791014</v>
      </c>
      <c r="G114" s="14"/>
      <c r="H114" s="32">
        <f>+H110-H112</f>
        <v>67418.650000000052</v>
      </c>
      <c r="I114" s="14"/>
      <c r="J114" s="30">
        <f>IF(H$12=0,0,H114/H$12)</f>
        <v>0.21327441206561368</v>
      </c>
      <c r="K114" s="15"/>
      <c r="L114" s="32">
        <f>D114-H114</f>
        <v>-22449.840000000055</v>
      </c>
      <c r="M114" s="15"/>
      <c r="N114" s="30">
        <f>IF(H114=0,0,L114/H114)</f>
        <v>-0.33299153869144571</v>
      </c>
      <c r="O114" s="28"/>
      <c r="P114" s="32">
        <f>+P110-P112</f>
        <v>277926.57000000007</v>
      </c>
      <c r="Q114" s="14"/>
      <c r="R114" s="30">
        <f>IF(P$12=0,0,P114/P$12)</f>
        <v>0.18945938790794503</v>
      </c>
      <c r="S114" s="14"/>
      <c r="T114" s="32">
        <f>+T110-T112</f>
        <v>319200.49999999942</v>
      </c>
      <c r="U114" s="14"/>
      <c r="V114" s="30">
        <f>IF(T$12=0,0,T114/T$12)</f>
        <v>0.23740896427325672</v>
      </c>
      <c r="W114" s="15"/>
      <c r="X114" s="32">
        <f>P114-T114</f>
        <v>-41273.929999999353</v>
      </c>
      <c r="Y114" s="15"/>
      <c r="Z114" s="30">
        <f>IF(T114=0,0,X114/T114)</f>
        <v>-0.12930408943594834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9" t="s">
        <v>5</v>
      </c>
      <c r="C117" s="29"/>
      <c r="D117" s="36">
        <f>SUM(D114:D116)</f>
        <v>44968.81</v>
      </c>
      <c r="E117" s="14"/>
      <c r="F117" s="31">
        <f>IF(D$12=0,0,D117/D$12)</f>
        <v>0.18171677230791014</v>
      </c>
      <c r="G117" s="14"/>
      <c r="H117" s="36">
        <f>SUM(H114:H116)</f>
        <v>67418.650000000052</v>
      </c>
      <c r="I117" s="14"/>
      <c r="J117" s="31">
        <f>IF(H$12=0,0,H117/H$12)</f>
        <v>0.21327441206561368</v>
      </c>
      <c r="K117" s="15"/>
      <c r="L117" s="36">
        <f>+D117-H117</f>
        <v>-22449.840000000055</v>
      </c>
      <c r="M117" s="15"/>
      <c r="N117" s="31">
        <f>IF(H117=0,0,L117/H117)</f>
        <v>-0.33299153869144571</v>
      </c>
      <c r="O117" s="28"/>
      <c r="P117" s="36">
        <f>SUM(P114:P116)</f>
        <v>277926.57000000007</v>
      </c>
      <c r="Q117" s="14"/>
      <c r="R117" s="31">
        <f>IF(P$12=0,0,P117/P$12)</f>
        <v>0.18945938790794503</v>
      </c>
      <c r="S117" s="14"/>
      <c r="T117" s="36">
        <f>SUM(T114:T116)</f>
        <v>319200.49999999942</v>
      </c>
      <c r="U117" s="14"/>
      <c r="V117" s="31">
        <f>IF(T$12=0,0,T117/T$12)</f>
        <v>0.23740896427325672</v>
      </c>
      <c r="W117" s="15"/>
      <c r="X117" s="36">
        <f>+P117-T117</f>
        <v>-41273.929999999353</v>
      </c>
      <c r="Y117" s="15"/>
      <c r="Z117" s="31">
        <f>IF(T117=0,0,X117/T117)</f>
        <v>-0.12930408943594834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62">
        <v>43847.453753784721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6" t="s">
        <v>313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54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60" activePane="bottomRight" state="frozen"/>
      <selection pane="topRight" activeCell="D1" sqref="D1"/>
      <selection pane="bottomLeft" activeCell="A11" sqref="A11"/>
      <selection pane="bottomRight" activeCell="P131" sqref="P13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","326", " - ", "2nd Street Store")</f>
        <v>Department 326 - 2nd Street 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52055.679999999993</v>
      </c>
      <c r="E12" s="4"/>
      <c r="F12" s="12"/>
      <c r="G12" s="4"/>
      <c r="H12" s="4">
        <f>SUM(OSRRefH13x_0)</f>
        <v>53617.22</v>
      </c>
      <c r="I12" s="4"/>
      <c r="J12" s="12"/>
      <c r="K12" s="4"/>
      <c r="L12" s="4">
        <f t="shared" ref="L12:L35" si="0">+D12-H12</f>
        <v>-1561.5400000000081</v>
      </c>
      <c r="M12" s="4"/>
      <c r="N12" s="12">
        <f t="shared" ref="N12:N35" si="1">IF(H12=0,0,L12/H12)</f>
        <v>-2.9123852374293335E-2</v>
      </c>
      <c r="O12" s="10"/>
      <c r="P12" s="4">
        <f>SUM(OSRRefP13x_0)</f>
        <v>284363.12000000005</v>
      </c>
      <c r="Q12" s="4"/>
      <c r="R12" s="12"/>
      <c r="S12" s="4"/>
      <c r="T12" s="4">
        <f>SUM(OSRRefT13x_0)</f>
        <v>262154.11000000004</v>
      </c>
      <c r="U12" s="4"/>
      <c r="V12" s="12"/>
      <c r="W12" s="4"/>
      <c r="X12" s="4">
        <f t="shared" ref="X12:X35" si="2">+P12-T12</f>
        <v>22209.010000000009</v>
      </c>
      <c r="Y12" s="4"/>
      <c r="Z12" s="12">
        <f t="shared" ref="Z12:Z35" si="3">IF(T12=0,0,X12/T12)</f>
        <v>8.471738245873775E-2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f>--426.09</f>
        <v>426.09</v>
      </c>
      <c r="I13" s="2"/>
      <c r="J13" s="19"/>
      <c r="K13" s="2"/>
      <c r="L13" s="2">
        <f t="shared" si="0"/>
        <v>-426.09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--426.09</f>
        <v>426.09</v>
      </c>
      <c r="U13" s="2"/>
      <c r="V13" s="19"/>
      <c r="W13" s="2"/>
      <c r="X13" s="2">
        <f t="shared" si="2"/>
        <v>-426.09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f>--14.49</f>
        <v>14.49</v>
      </c>
      <c r="U14" s="2"/>
      <c r="V14" s="19"/>
      <c r="W14" s="2"/>
      <c r="X14" s="2">
        <f t="shared" si="2"/>
        <v>-14.49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--26.46</f>
        <v>26.46</v>
      </c>
      <c r="E15" s="2"/>
      <c r="F15" s="19"/>
      <c r="G15" s="2"/>
      <c r="H15" s="2">
        <f>--191.65</f>
        <v>191.65</v>
      </c>
      <c r="I15" s="2"/>
      <c r="J15" s="19"/>
      <c r="K15" s="2"/>
      <c r="L15" s="2">
        <f t="shared" si="0"/>
        <v>-165.19</v>
      </c>
      <c r="M15" s="2"/>
      <c r="N15" s="19">
        <f t="shared" si="1"/>
        <v>-0.86193582050613093</v>
      </c>
      <c r="O15" s="11"/>
      <c r="P15" s="2">
        <f>--149.65</f>
        <v>149.65</v>
      </c>
      <c r="Q15" s="2"/>
      <c r="R15" s="19"/>
      <c r="S15" s="2"/>
      <c r="T15" s="2">
        <f>--395.81</f>
        <v>395.81</v>
      </c>
      <c r="U15" s="2"/>
      <c r="V15" s="19"/>
      <c r="W15" s="2"/>
      <c r="X15" s="2">
        <f t="shared" si="2"/>
        <v>-246.16</v>
      </c>
      <c r="Y15" s="2"/>
      <c r="Z15" s="19">
        <f t="shared" si="3"/>
        <v>-0.62191455496323989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ref="D16:D17" si="6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--47.91</f>
        <v>47.91</v>
      </c>
      <c r="Q16" s="2"/>
      <c r="R16" s="19"/>
      <c r="S16" s="2"/>
      <c r="T16" s="2">
        <f>--294.47</f>
        <v>294.47000000000003</v>
      </c>
      <c r="U16" s="2"/>
      <c r="V16" s="19"/>
      <c r="W16" s="2"/>
      <c r="X16" s="2">
        <f t="shared" si="2"/>
        <v>-246.56000000000003</v>
      </c>
      <c r="Y16" s="2"/>
      <c r="Z16" s="19">
        <f t="shared" si="3"/>
        <v>-0.8373009135056203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6"/>
        <v>0</v>
      </c>
      <c r="E17" s="2"/>
      <c r="F17" s="19"/>
      <c r="G17" s="2"/>
      <c r="H17" s="2">
        <f>--13.23</f>
        <v>13.23</v>
      </c>
      <c r="I17" s="2"/>
      <c r="J17" s="19"/>
      <c r="K17" s="2"/>
      <c r="L17" s="2">
        <f t="shared" si="0"/>
        <v>-13.23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--68.6</f>
        <v>68.599999999999994</v>
      </c>
      <c r="U17" s="2"/>
      <c r="V17" s="19"/>
      <c r="W17" s="2"/>
      <c r="X17" s="2">
        <f t="shared" si="2"/>
        <v>-68.599999999999994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--41648.03</f>
        <v>41648.03</v>
      </c>
      <c r="E18" s="2"/>
      <c r="F18" s="19"/>
      <c r="G18" s="2"/>
      <c r="H18" s="2">
        <f>--41234.31</f>
        <v>41234.31</v>
      </c>
      <c r="I18" s="2"/>
      <c r="J18" s="19"/>
      <c r="K18" s="2"/>
      <c r="L18" s="2">
        <f t="shared" si="0"/>
        <v>413.72000000000116</v>
      </c>
      <c r="M18" s="2"/>
      <c r="N18" s="19">
        <f t="shared" si="1"/>
        <v>1.0033392095078133E-2</v>
      </c>
      <c r="O18" s="11"/>
      <c r="P18" s="2">
        <f>--238414.6</f>
        <v>238414.6</v>
      </c>
      <c r="Q18" s="2"/>
      <c r="R18" s="19"/>
      <c r="S18" s="2"/>
      <c r="T18" s="2">
        <f>--217778.39</f>
        <v>217778.39</v>
      </c>
      <c r="U18" s="2"/>
      <c r="V18" s="19"/>
      <c r="W18" s="2"/>
      <c r="X18" s="2">
        <f t="shared" si="2"/>
        <v>20636.209999999992</v>
      </c>
      <c r="Y18" s="2"/>
      <c r="Z18" s="19">
        <f t="shared" si="3"/>
        <v>9.4757840757294556E-2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--5926.96</f>
        <v>5926.96</v>
      </c>
      <c r="E19" s="2"/>
      <c r="F19" s="19"/>
      <c r="G19" s="2"/>
      <c r="H19" s="2">
        <f>--7278</f>
        <v>7278</v>
      </c>
      <c r="I19" s="2"/>
      <c r="J19" s="19"/>
      <c r="K19" s="2"/>
      <c r="L19" s="2">
        <f t="shared" si="0"/>
        <v>-1351.04</v>
      </c>
      <c r="M19" s="2"/>
      <c r="N19" s="19">
        <f t="shared" si="1"/>
        <v>-0.18563341577356415</v>
      </c>
      <c r="O19" s="11"/>
      <c r="P19" s="2">
        <f>--30974.74</f>
        <v>30974.74</v>
      </c>
      <c r="Q19" s="2"/>
      <c r="R19" s="19"/>
      <c r="S19" s="2"/>
      <c r="T19" s="2">
        <f>--31766.28</f>
        <v>31766.28</v>
      </c>
      <c r="U19" s="2"/>
      <c r="V19" s="19"/>
      <c r="W19" s="2"/>
      <c r="X19" s="2">
        <f t="shared" si="2"/>
        <v>-791.53999999999724</v>
      </c>
      <c r="Y19" s="2"/>
      <c r="Z19" s="19">
        <f t="shared" si="3"/>
        <v>-2.4917617045495957E-2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--5671.67</f>
        <v>5671.67</v>
      </c>
      <c r="E20" s="2"/>
      <c r="F20" s="19"/>
      <c r="G20" s="2"/>
      <c r="H20" s="2">
        <f>--7749.18</f>
        <v>7749.18</v>
      </c>
      <c r="I20" s="2"/>
      <c r="J20" s="19"/>
      <c r="K20" s="2"/>
      <c r="L20" s="2">
        <f t="shared" si="0"/>
        <v>-2077.5100000000002</v>
      </c>
      <c r="M20" s="2"/>
      <c r="N20" s="19">
        <f t="shared" si="1"/>
        <v>-0.26809417254470796</v>
      </c>
      <c r="O20" s="11"/>
      <c r="P20" s="2">
        <f>--21578.38</f>
        <v>21578.38</v>
      </c>
      <c r="Q20" s="2"/>
      <c r="R20" s="19"/>
      <c r="S20" s="2"/>
      <c r="T20" s="2">
        <f>--19049.68</f>
        <v>19049.68</v>
      </c>
      <c r="U20" s="2"/>
      <c r="V20" s="19"/>
      <c r="W20" s="2"/>
      <c r="X20" s="2">
        <f t="shared" si="2"/>
        <v>2528.7000000000007</v>
      </c>
      <c r="Y20" s="2"/>
      <c r="Z20" s="19">
        <f t="shared" si="3"/>
        <v>0.13274238727369703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--247.74</f>
        <v>247.74</v>
      </c>
      <c r="E21" s="2"/>
      <c r="F21" s="19"/>
      <c r="G21" s="2"/>
      <c r="H21" s="2">
        <f>--21.99</f>
        <v>21.99</v>
      </c>
      <c r="I21" s="2"/>
      <c r="J21" s="19"/>
      <c r="K21" s="2"/>
      <c r="L21" s="2">
        <f t="shared" si="0"/>
        <v>225.75</v>
      </c>
      <c r="M21" s="2"/>
      <c r="N21" s="19">
        <f t="shared" si="1"/>
        <v>10.266030013642565</v>
      </c>
      <c r="O21" s="11"/>
      <c r="P21" s="2">
        <f>--279.72</f>
        <v>279.72000000000003</v>
      </c>
      <c r="Q21" s="2"/>
      <c r="R21" s="19"/>
      <c r="S21" s="2"/>
      <c r="T21" s="2">
        <f>--349.77</f>
        <v>349.77</v>
      </c>
      <c r="U21" s="2"/>
      <c r="V21" s="19"/>
      <c r="W21" s="2"/>
      <c r="X21" s="2">
        <f t="shared" si="2"/>
        <v>-70.049999999999955</v>
      </c>
      <c r="Y21" s="2"/>
      <c r="Z21" s="19">
        <f t="shared" si="3"/>
        <v>-0.2002744660777081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--601.71</f>
        <v>601.71</v>
      </c>
      <c r="E22" s="2"/>
      <c r="F22" s="19"/>
      <c r="G22" s="2"/>
      <c r="H22" s="2">
        <f>--617.26</f>
        <v>617.26</v>
      </c>
      <c r="I22" s="2"/>
      <c r="J22" s="19"/>
      <c r="K22" s="2"/>
      <c r="L22" s="2">
        <f t="shared" si="0"/>
        <v>-15.549999999999955</v>
      </c>
      <c r="M22" s="2"/>
      <c r="N22" s="19">
        <f t="shared" si="1"/>
        <v>-2.5191977448724936E-2</v>
      </c>
      <c r="O22" s="11"/>
      <c r="P22" s="2">
        <f>--2539.05</f>
        <v>2539.0500000000002</v>
      </c>
      <c r="Q22" s="2"/>
      <c r="R22" s="19"/>
      <c r="S22" s="2"/>
      <c r="T22" s="2">
        <f>--3624.5</f>
        <v>3624.5</v>
      </c>
      <c r="U22" s="2"/>
      <c r="V22" s="19"/>
      <c r="W22" s="2"/>
      <c r="X22" s="2">
        <f t="shared" si="2"/>
        <v>-1085.4499999999998</v>
      </c>
      <c r="Y22" s="2"/>
      <c r="Z22" s="19">
        <f t="shared" si="3"/>
        <v>-0.29947578976410533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 t="shared" ref="D23:D24" si="7">0</f>
        <v>0</v>
      </c>
      <c r="E23" s="2"/>
      <c r="F23" s="19"/>
      <c r="G23" s="2"/>
      <c r="H23" s="2">
        <f>--267.5</f>
        <v>267.5</v>
      </c>
      <c r="I23" s="2"/>
      <c r="J23" s="19"/>
      <c r="K23" s="2"/>
      <c r="L23" s="2">
        <f t="shared" si="0"/>
        <v>-267.5</v>
      </c>
      <c r="M23" s="2"/>
      <c r="N23" s="19">
        <f t="shared" si="1"/>
        <v>-1</v>
      </c>
      <c r="O23" s="11"/>
      <c r="P23" s="2">
        <f>--457.61</f>
        <v>457.61</v>
      </c>
      <c r="Q23" s="2"/>
      <c r="R23" s="19"/>
      <c r="S23" s="2"/>
      <c r="T23" s="2">
        <f>--933.85</f>
        <v>933.85</v>
      </c>
      <c r="U23" s="2"/>
      <c r="V23" s="19"/>
      <c r="W23" s="2"/>
      <c r="X23" s="2">
        <f t="shared" si="2"/>
        <v>-476.24</v>
      </c>
      <c r="Y23" s="2"/>
      <c r="Z23" s="19">
        <f t="shared" si="3"/>
        <v>-0.50997483535899768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si="7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-39.950000000000003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>--0.99</f>
        <v>0.99</v>
      </c>
      <c r="E25" s="2"/>
      <c r="F25" s="19"/>
      <c r="G25" s="2"/>
      <c r="H25" s="2">
        <f>--3.96</f>
        <v>3.96</v>
      </c>
      <c r="I25" s="2"/>
      <c r="J25" s="19"/>
      <c r="K25" s="2"/>
      <c r="L25" s="2">
        <f t="shared" si="0"/>
        <v>-2.9699999999999998</v>
      </c>
      <c r="M25" s="2"/>
      <c r="N25" s="19">
        <f t="shared" si="1"/>
        <v>-0.74999999999999989</v>
      </c>
      <c r="O25" s="11"/>
      <c r="P25" s="2">
        <f>--28.71</f>
        <v>28.71</v>
      </c>
      <c r="Q25" s="2"/>
      <c r="R25" s="19"/>
      <c r="S25" s="2"/>
      <c r="T25" s="2">
        <f>--15.84</f>
        <v>15.84</v>
      </c>
      <c r="U25" s="2"/>
      <c r="V25" s="19"/>
      <c r="W25" s="2"/>
      <c r="X25" s="2">
        <f t="shared" si="2"/>
        <v>12.870000000000001</v>
      </c>
      <c r="Y25" s="2"/>
      <c r="Z25" s="19">
        <f t="shared" si="3"/>
        <v>0.81250000000000011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--6</f>
        <v>6</v>
      </c>
      <c r="E26" s="2"/>
      <c r="F26" s="19"/>
      <c r="G26" s="2"/>
      <c r="H26" s="2">
        <f>--4.5</f>
        <v>4.5</v>
      </c>
      <c r="I26" s="2"/>
      <c r="J26" s="19"/>
      <c r="K26" s="2"/>
      <c r="L26" s="2">
        <f t="shared" si="0"/>
        <v>1.5</v>
      </c>
      <c r="M26" s="2"/>
      <c r="N26" s="19">
        <f t="shared" si="1"/>
        <v>0.33333333333333331</v>
      </c>
      <c r="O26" s="11"/>
      <c r="P26" s="2">
        <f>--93</f>
        <v>93</v>
      </c>
      <c r="Q26" s="2"/>
      <c r="R26" s="19"/>
      <c r="S26" s="2"/>
      <c r="T26" s="2">
        <f>--63</f>
        <v>63</v>
      </c>
      <c r="U26" s="2"/>
      <c r="V26" s="19"/>
      <c r="W26" s="2"/>
      <c r="X26" s="2">
        <f t="shared" si="2"/>
        <v>30</v>
      </c>
      <c r="Y26" s="2"/>
      <c r="Z26" s="19">
        <f t="shared" si="3"/>
        <v>0.47619047619047616</v>
      </c>
    </row>
    <row r="27" spans="1:26" s="24" customFormat="1" hidden="1" outlineLevel="1" x14ac:dyDescent="0.25">
      <c r="A27" s="44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>--134.2</f>
        <v>134.19999999999999</v>
      </c>
      <c r="E27" s="2"/>
      <c r="F27" s="19"/>
      <c r="G27" s="2"/>
      <c r="H27" s="2">
        <f>--296.33</f>
        <v>296.33</v>
      </c>
      <c r="I27" s="2"/>
      <c r="J27" s="19"/>
      <c r="K27" s="2"/>
      <c r="L27" s="2">
        <f t="shared" si="0"/>
        <v>-162.13</v>
      </c>
      <c r="M27" s="2"/>
      <c r="N27" s="19">
        <f t="shared" si="1"/>
        <v>-0.54712651435899173</v>
      </c>
      <c r="O27" s="11"/>
      <c r="P27" s="2">
        <f>--293.03</f>
        <v>293.02999999999997</v>
      </c>
      <c r="Q27" s="2"/>
      <c r="R27" s="19"/>
      <c r="S27" s="2"/>
      <c r="T27" s="2">
        <f>--296.33</f>
        <v>296.33</v>
      </c>
      <c r="U27" s="2"/>
      <c r="V27" s="19"/>
      <c r="W27" s="2"/>
      <c r="X27" s="2">
        <f t="shared" si="2"/>
        <v>-3.3000000000000114</v>
      </c>
      <c r="Y27" s="2"/>
      <c r="Z27" s="19">
        <f t="shared" si="3"/>
        <v>-1.1136233253467458E-2</v>
      </c>
    </row>
    <row r="28" spans="1:26" s="24" customFormat="1" hidden="1" outlineLevel="1" x14ac:dyDescent="0.25">
      <c r="A28" s="44"/>
      <c r="B28" s="11" t="str">
        <f>CONCATENATE("          ", "4226", " - ", "SALES RETURN TAXABLE-WRITING I")</f>
        <v xml:space="preserve">          4226 - SALES RETURN TAXABLE-WRITING I</v>
      </c>
      <c r="C28" s="11"/>
      <c r="D28" s="2">
        <f t="shared" ref="D28:D29" si="8">0</f>
        <v>0</v>
      </c>
      <c r="E28" s="2"/>
      <c r="F28" s="19"/>
      <c r="G28" s="2"/>
      <c r="H28" s="2">
        <f>-5.07</f>
        <v>-5.07</v>
      </c>
      <c r="I28" s="2"/>
      <c r="J28" s="19"/>
      <c r="K28" s="2"/>
      <c r="L28" s="2">
        <f t="shared" si="0"/>
        <v>5.07</v>
      </c>
      <c r="M28" s="2"/>
      <c r="N28" s="19">
        <f t="shared" si="1"/>
        <v>-1</v>
      </c>
      <c r="O28" s="11"/>
      <c r="P28" s="2">
        <f>-134.8</f>
        <v>-134.80000000000001</v>
      </c>
      <c r="Q28" s="2"/>
      <c r="R28" s="19"/>
      <c r="S28" s="2"/>
      <c r="T28" s="2">
        <f>-5.07</f>
        <v>-5.07</v>
      </c>
      <c r="U28" s="2"/>
      <c r="V28" s="19"/>
      <c r="W28" s="2"/>
      <c r="X28" s="2">
        <f t="shared" si="2"/>
        <v>-129.73000000000002</v>
      </c>
      <c r="Y28" s="2"/>
      <c r="Z28" s="19">
        <f t="shared" si="3"/>
        <v>25.587771203155821</v>
      </c>
    </row>
    <row r="29" spans="1:26" s="24" customFormat="1" hidden="1" outlineLevel="1" x14ac:dyDescent="0.25">
      <c r="A29" s="44"/>
      <c r="B29" s="11" t="str">
        <f>CONCATENATE("          ", "4227", " - ", "SALES RETURN TAXABLE-SCHOOL SU")</f>
        <v xml:space="preserve">          4227 - SALES RETURN TAXABLE-SCHOOL SU</v>
      </c>
      <c r="C29" s="11"/>
      <c r="D29" s="2">
        <f t="shared" si="8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0</f>
        <v>0</v>
      </c>
      <c r="Q29" s="2"/>
      <c r="R29" s="19"/>
      <c r="S29" s="2"/>
      <c r="T29" s="2">
        <f>-4.99</f>
        <v>-4.99</v>
      </c>
      <c r="U29" s="2"/>
      <c r="V29" s="19"/>
      <c r="W29" s="2"/>
      <c r="X29" s="2">
        <f t="shared" si="2"/>
        <v>4.99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"4240", " - ", "SALES RETURN TAXABLE-LOGO CLOT")</f>
        <v xml:space="preserve">          4240 - SALES RETURN TAXABLE-LOGO CLOT</v>
      </c>
      <c r="C30" s="11"/>
      <c r="D30" s="2">
        <f>-1800.06</f>
        <v>-1800.06</v>
      </c>
      <c r="E30" s="2"/>
      <c r="F30" s="19"/>
      <c r="G30" s="2"/>
      <c r="H30" s="2">
        <f>-4161.61</f>
        <v>-4161.6099999999997</v>
      </c>
      <c r="I30" s="2"/>
      <c r="J30" s="19"/>
      <c r="K30" s="2"/>
      <c r="L30" s="2">
        <f t="shared" si="0"/>
        <v>2361.5499999999997</v>
      </c>
      <c r="M30" s="2"/>
      <c r="N30" s="19">
        <f t="shared" si="1"/>
        <v>-0.56746067026943892</v>
      </c>
      <c r="O30" s="11"/>
      <c r="P30" s="2">
        <f>-8451.16</f>
        <v>-8451.16</v>
      </c>
      <c r="Q30" s="2"/>
      <c r="R30" s="19"/>
      <c r="S30" s="2"/>
      <c r="T30" s="2">
        <f>-11794.48</f>
        <v>-11794.48</v>
      </c>
      <c r="U30" s="2"/>
      <c r="V30" s="19"/>
      <c r="W30" s="2"/>
      <c r="X30" s="2">
        <f t="shared" si="2"/>
        <v>3343.3199999999997</v>
      </c>
      <c r="Y30" s="2"/>
      <c r="Z30" s="19">
        <f t="shared" si="3"/>
        <v>-0.28346480726577178</v>
      </c>
    </row>
    <row r="31" spans="1:26" s="24" customFormat="1" hidden="1" outlineLevel="1" x14ac:dyDescent="0.25">
      <c r="A31" s="44"/>
      <c r="B31" s="11" t="str">
        <f>CONCATENATE("          ", "4241", " - ", "SALES RETURN TAXABLE-LOGO GIFT")</f>
        <v xml:space="preserve">          4241 - SALES RETURN TAXABLE-LOGO GIFT</v>
      </c>
      <c r="C31" s="11"/>
      <c r="D31" s="2">
        <f>-99.7</f>
        <v>-99.7</v>
      </c>
      <c r="E31" s="2"/>
      <c r="F31" s="19"/>
      <c r="G31" s="2"/>
      <c r="H31" s="2">
        <f>-180.36</f>
        <v>-180.36</v>
      </c>
      <c r="I31" s="2"/>
      <c r="J31" s="19"/>
      <c r="K31" s="2"/>
      <c r="L31" s="2">
        <f t="shared" si="0"/>
        <v>80.660000000000011</v>
      </c>
      <c r="M31" s="2"/>
      <c r="N31" s="19">
        <f t="shared" si="1"/>
        <v>-0.44721667775559992</v>
      </c>
      <c r="O31" s="11"/>
      <c r="P31" s="2">
        <f>-969.11</f>
        <v>-969.11</v>
      </c>
      <c r="Q31" s="2"/>
      <c r="R31" s="19"/>
      <c r="S31" s="2"/>
      <c r="T31" s="2">
        <f>-591.17</f>
        <v>-591.16999999999996</v>
      </c>
      <c r="U31" s="2"/>
      <c r="V31" s="19"/>
      <c r="W31" s="2"/>
      <c r="X31" s="2">
        <f t="shared" si="2"/>
        <v>-377.94000000000005</v>
      </c>
      <c r="Y31" s="2"/>
      <c r="Z31" s="19">
        <f t="shared" si="3"/>
        <v>0.63930848994367118</v>
      </c>
    </row>
    <row r="32" spans="1:26" s="24" customFormat="1" hidden="1" outlineLevel="1" x14ac:dyDescent="0.25">
      <c r="A32" s="44"/>
      <c r="B32" s="11" t="str">
        <f>CONCATENATE("          ", "4242", " - ", "SALES RETURN TAXABLE-EVERYDAY")</f>
        <v xml:space="preserve">          4242 - SALES RETURN TAXABLE-EVERYDAY</v>
      </c>
      <c r="C32" s="11"/>
      <c r="D32" s="2">
        <f>-243.37</f>
        <v>-243.37</v>
      </c>
      <c r="E32" s="2"/>
      <c r="F32" s="19"/>
      <c r="G32" s="2"/>
      <c r="H32" s="2">
        <f>-139.74</f>
        <v>-139.74</v>
      </c>
      <c r="I32" s="2"/>
      <c r="J32" s="19"/>
      <c r="K32" s="2"/>
      <c r="L32" s="2">
        <f t="shared" si="0"/>
        <v>-103.63</v>
      </c>
      <c r="M32" s="2"/>
      <c r="N32" s="19">
        <f t="shared" si="1"/>
        <v>0.74159152712179754</v>
      </c>
      <c r="O32" s="11"/>
      <c r="P32" s="2">
        <f>-758.46</f>
        <v>-758.46</v>
      </c>
      <c r="Q32" s="2"/>
      <c r="R32" s="19"/>
      <c r="S32" s="2"/>
      <c r="T32" s="2">
        <f>-287.48</f>
        <v>-287.48</v>
      </c>
      <c r="U32" s="2"/>
      <c r="V32" s="19"/>
      <c r="W32" s="2"/>
      <c r="X32" s="2">
        <f t="shared" si="2"/>
        <v>-470.98</v>
      </c>
      <c r="Y32" s="2"/>
      <c r="Z32" s="19">
        <f t="shared" si="3"/>
        <v>1.6383052734103241</v>
      </c>
    </row>
    <row r="33" spans="1:26" s="24" customFormat="1" hidden="1" outlineLevel="1" x14ac:dyDescent="0.25">
      <c r="A33" s="44"/>
      <c r="B33" s="11" t="str">
        <f>CONCATENATE("          ", "4244", " - ", "SALES RETURN TAXABLE-ACCESSORI")</f>
        <v xml:space="preserve">          4244 - SALES RETURN TAXABLE-ACCESSORI</v>
      </c>
      <c r="C33" s="11"/>
      <c r="D33" s="2">
        <f>-64.95</f>
        <v>-64.95</v>
      </c>
      <c r="E33" s="2"/>
      <c r="F33" s="19"/>
      <c r="G33" s="2"/>
      <c r="H33" s="2">
        <f t="shared" ref="H33:H35" si="9">0</f>
        <v>0</v>
      </c>
      <c r="I33" s="2"/>
      <c r="J33" s="19"/>
      <c r="K33" s="2"/>
      <c r="L33" s="2">
        <f t="shared" si="0"/>
        <v>-64.95</v>
      </c>
      <c r="M33" s="2"/>
      <c r="N33" s="19">
        <f t="shared" si="1"/>
        <v>0</v>
      </c>
      <c r="O33" s="11"/>
      <c r="P33" s="2">
        <f>-130.8</f>
        <v>-130.80000000000001</v>
      </c>
      <c r="Q33" s="2"/>
      <c r="R33" s="19"/>
      <c r="S33" s="2"/>
      <c r="T33" s="2">
        <f>-199.9</f>
        <v>-199.9</v>
      </c>
      <c r="U33" s="2"/>
      <c r="V33" s="19"/>
      <c r="W33" s="2"/>
      <c r="X33" s="2">
        <f t="shared" si="2"/>
        <v>69.099999999999994</v>
      </c>
      <c r="Y33" s="2"/>
      <c r="Z33" s="19">
        <f t="shared" si="3"/>
        <v>-0.34567283641820906</v>
      </c>
    </row>
    <row r="34" spans="1:26" s="24" customFormat="1" hidden="1" outlineLevel="1" x14ac:dyDescent="0.25">
      <c r="A34" s="44"/>
      <c r="B34" s="11" t="str">
        <f>CONCATENATE("          ", "4245", " - ", "SALES RETURN TAXABLE-SPECIAL O")</f>
        <v xml:space="preserve">          4245 - SALES RETURN TAXABLE-SPECIAL O</v>
      </c>
      <c r="C34" s="11"/>
      <c r="D34" s="2">
        <f t="shared" ref="D34:D35" si="10">0</f>
        <v>0</v>
      </c>
      <c r="E34" s="2"/>
      <c r="F34" s="19"/>
      <c r="G34" s="2"/>
      <c r="H34" s="2">
        <f t="shared" si="9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-9.99</f>
        <v>-9.99</v>
      </c>
      <c r="Q34" s="2"/>
      <c r="R34" s="19"/>
      <c r="S34" s="2"/>
      <c r="T34" s="2">
        <f>-39.9</f>
        <v>-39.9</v>
      </c>
      <c r="U34" s="2"/>
      <c r="V34" s="19"/>
      <c r="W34" s="2"/>
      <c r="X34" s="2">
        <f t="shared" si="2"/>
        <v>29.909999999999997</v>
      </c>
      <c r="Y34" s="2"/>
      <c r="Z34" s="19">
        <f t="shared" si="3"/>
        <v>-0.74962406015037586</v>
      </c>
    </row>
    <row r="35" spans="1:26" s="24" customFormat="1" hidden="1" outlineLevel="1" x14ac:dyDescent="0.25">
      <c r="A35" s="44"/>
      <c r="B35" s="11" t="str">
        <f>CONCATENATE("          ", "4295", " - ", "SALES RETURN TAXABLE-CUSTOMER")</f>
        <v xml:space="preserve">          4295 - SALES RETURN TAXABLE-CUSTOMER</v>
      </c>
      <c r="C35" s="11"/>
      <c r="D35" s="2">
        <f t="shared" si="10"/>
        <v>0</v>
      </c>
      <c r="E35" s="2"/>
      <c r="F35" s="19"/>
      <c r="G35" s="2"/>
      <c r="H35" s="2">
        <f t="shared" si="9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--0.99</f>
        <v>0.99</v>
      </c>
      <c r="Q35" s="2"/>
      <c r="R35" s="19"/>
      <c r="S35" s="2"/>
      <c r="T35" s="2">
        <f>0</f>
        <v>0</v>
      </c>
      <c r="U35" s="2"/>
      <c r="V35" s="19"/>
      <c r="W35" s="2"/>
      <c r="X35" s="2">
        <f t="shared" si="2"/>
        <v>0.99</v>
      </c>
      <c r="Y35" s="2"/>
      <c r="Z35" s="19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8" t="s">
        <v>8</v>
      </c>
      <c r="C37" s="10"/>
      <c r="D37" s="4">
        <f>SUM(OSRRefD16x_0)</f>
        <v>22460.799999999996</v>
      </c>
      <c r="E37" s="4"/>
      <c r="F37" s="12">
        <f t="shared" ref="F37:F55" si="11">IF(D$12=0,0,D37/D$12)</f>
        <v>0.4314764498321797</v>
      </c>
      <c r="G37" s="4"/>
      <c r="H37" s="4">
        <f>SUM(OSRRefH16x_0)</f>
        <v>22255.45</v>
      </c>
      <c r="I37" s="4"/>
      <c r="J37" s="12">
        <f t="shared" ref="J37:J55" si="12">IF(H$12=0,0,H37/H$12)</f>
        <v>0.41508026712313695</v>
      </c>
      <c r="K37" s="4"/>
      <c r="L37" s="4">
        <f t="shared" ref="L37:L55" si="13">+D37-H37</f>
        <v>205.34999999999491</v>
      </c>
      <c r="M37" s="4"/>
      <c r="N37" s="12">
        <f t="shared" ref="N37:N55" si="14">IF(H37=0,0,L37/H37)</f>
        <v>9.2269533979315137E-3</v>
      </c>
      <c r="O37" s="10"/>
      <c r="P37" s="4">
        <f>SUM(OSRRefP16x_0)</f>
        <v>121022.86999999997</v>
      </c>
      <c r="Q37" s="4"/>
      <c r="R37" s="12">
        <f t="shared" ref="R37:R55" si="15">IF(P$12=0,0,P37/P$12)</f>
        <v>0.42559270695862367</v>
      </c>
      <c r="S37" s="4"/>
      <c r="T37" s="4">
        <f>SUM(OSRRefT16x_0)</f>
        <v>112804.35000000002</v>
      </c>
      <c r="U37" s="4"/>
      <c r="V37" s="12">
        <f t="shared" ref="V37:V55" si="16">IF(T$12=0,0,T37/T$12)</f>
        <v>0.43029785037510954</v>
      </c>
      <c r="W37" s="4"/>
      <c r="X37" s="4">
        <f t="shared" ref="X37:X55" si="17">+P37-T37</f>
        <v>8218.5199999999459</v>
      </c>
      <c r="Y37" s="4"/>
      <c r="Z37" s="12">
        <f t="shared" ref="Z37:Z55" si="18">IF(T37=0,0,X37/T37)</f>
        <v>7.2856410235952282E-2</v>
      </c>
    </row>
    <row r="38" spans="1:26" s="24" customFormat="1" hidden="1" outlineLevel="1" x14ac:dyDescent="0.25">
      <c r="A38" s="44"/>
      <c r="B38" s="11" t="str">
        <f>CONCATENATE("          ", "5025", " - ", "PURCHASES @ COST-TEST FORMS")</f>
        <v xml:space="preserve">          5025 - PURCHASES @ COST-TEST FORMS</v>
      </c>
      <c r="C38" s="11"/>
      <c r="D38" s="2"/>
      <c r="E38" s="2"/>
      <c r="F38" s="19">
        <f t="shared" si="11"/>
        <v>0</v>
      </c>
      <c r="G38" s="2"/>
      <c r="H38" s="2"/>
      <c r="I38" s="2"/>
      <c r="J38" s="19">
        <f t="shared" si="12"/>
        <v>0</v>
      </c>
      <c r="K38" s="2"/>
      <c r="L38" s="2">
        <f t="shared" si="13"/>
        <v>0</v>
      </c>
      <c r="M38" s="2"/>
      <c r="N38" s="19">
        <f t="shared" si="14"/>
        <v>0</v>
      </c>
      <c r="O38" s="11"/>
      <c r="P38" s="2"/>
      <c r="Q38" s="2"/>
      <c r="R38" s="19">
        <f t="shared" si="15"/>
        <v>0</v>
      </c>
      <c r="S38" s="2"/>
      <c r="T38" s="2">
        <v>13.2</v>
      </c>
      <c r="U38" s="2"/>
      <c r="V38" s="19">
        <f t="shared" si="16"/>
        <v>5.0352061998951676E-5</v>
      </c>
      <c r="W38" s="2"/>
      <c r="X38" s="2">
        <f t="shared" si="17"/>
        <v>-13.2</v>
      </c>
      <c r="Y38" s="2"/>
      <c r="Z38" s="19">
        <f t="shared" si="18"/>
        <v>-1</v>
      </c>
    </row>
    <row r="39" spans="1:26" s="24" customFormat="1" hidden="1" outlineLevel="1" x14ac:dyDescent="0.25">
      <c r="A39" s="44"/>
      <c r="B39" s="11" t="str">
        <f>CONCATENATE("          ", "5026", " - ", "PURCHASES @ COST-WRITING INSTR")</f>
        <v xml:space="preserve">          5026 - PURCHASES @ COST-WRITING INSTR</v>
      </c>
      <c r="C39" s="11"/>
      <c r="D39" s="2">
        <v>16.03</v>
      </c>
      <c r="E39" s="2"/>
      <c r="F39" s="19">
        <f t="shared" si="11"/>
        <v>3.0793949862916023E-4</v>
      </c>
      <c r="G39" s="2"/>
      <c r="H39" s="2">
        <v>115.94</v>
      </c>
      <c r="I39" s="2"/>
      <c r="J39" s="19">
        <f t="shared" si="12"/>
        <v>2.1623650013932092E-3</v>
      </c>
      <c r="K39" s="2"/>
      <c r="L39" s="2">
        <f t="shared" si="13"/>
        <v>-99.91</v>
      </c>
      <c r="M39" s="2"/>
      <c r="N39" s="19">
        <f t="shared" si="14"/>
        <v>-0.86173883042953248</v>
      </c>
      <c r="O39" s="11"/>
      <c r="P39" s="2">
        <v>-21.24</v>
      </c>
      <c r="Q39" s="2"/>
      <c r="R39" s="19">
        <f t="shared" si="15"/>
        <v>-7.469323026136439E-5</v>
      </c>
      <c r="S39" s="2"/>
      <c r="T39" s="2">
        <v>442.28</v>
      </c>
      <c r="U39" s="2"/>
      <c r="V39" s="19">
        <f t="shared" si="16"/>
        <v>1.687099240976996E-3</v>
      </c>
      <c r="W39" s="2"/>
      <c r="X39" s="2">
        <f t="shared" si="17"/>
        <v>-463.52</v>
      </c>
      <c r="Y39" s="2"/>
      <c r="Z39" s="19">
        <f t="shared" si="18"/>
        <v>-1.0480238762774714</v>
      </c>
    </row>
    <row r="40" spans="1:26" s="24" customFormat="1" hidden="1" outlineLevel="1" x14ac:dyDescent="0.25">
      <c r="A40" s="44"/>
      <c r="B40" s="11" t="str">
        <f>CONCATENATE("          ", "5027", " - ", "PURCHASES @ COST-SCHOOL SUPPLI")</f>
        <v xml:space="preserve">          5027 - PURCHASES @ COST-SCHOOL SUPPLI</v>
      </c>
      <c r="C40" s="11"/>
      <c r="D40" s="2"/>
      <c r="E40" s="2"/>
      <c r="F40" s="19">
        <f t="shared" si="11"/>
        <v>0</v>
      </c>
      <c r="G40" s="2"/>
      <c r="H40" s="2"/>
      <c r="I40" s="2"/>
      <c r="J40" s="19">
        <f t="shared" si="12"/>
        <v>0</v>
      </c>
      <c r="K40" s="2"/>
      <c r="L40" s="2">
        <f t="shared" si="13"/>
        <v>0</v>
      </c>
      <c r="M40" s="2"/>
      <c r="N40" s="19">
        <f t="shared" si="14"/>
        <v>0</v>
      </c>
      <c r="O40" s="11"/>
      <c r="P40" s="2">
        <v>51.29</v>
      </c>
      <c r="Q40" s="2"/>
      <c r="R40" s="19">
        <f t="shared" si="15"/>
        <v>1.8036797458123257E-4</v>
      </c>
      <c r="S40" s="2"/>
      <c r="T40" s="2">
        <v>516.53</v>
      </c>
      <c r="U40" s="2"/>
      <c r="V40" s="19">
        <f t="shared" si="16"/>
        <v>1.970329589721099E-3</v>
      </c>
      <c r="W40" s="2"/>
      <c r="X40" s="2">
        <f t="shared" si="17"/>
        <v>-465.23999999999995</v>
      </c>
      <c r="Y40" s="2"/>
      <c r="Z40" s="19">
        <f t="shared" si="18"/>
        <v>-0.90070276653824555</v>
      </c>
    </row>
    <row r="41" spans="1:26" s="24" customFormat="1" hidden="1" outlineLevel="1" x14ac:dyDescent="0.25">
      <c r="A41" s="44"/>
      <c r="B41" s="11" t="str">
        <f>CONCATENATE("          ", "5034", " - ", "PURCHASES @ COST-SODA")</f>
        <v xml:space="preserve">          5034 - PURCHASES @ COST-SODA</v>
      </c>
      <c r="C41" s="11"/>
      <c r="D41" s="2"/>
      <c r="E41" s="2"/>
      <c r="F41" s="19">
        <f t="shared" si="11"/>
        <v>0</v>
      </c>
      <c r="G41" s="2"/>
      <c r="H41" s="2">
        <v>41.28</v>
      </c>
      <c r="I41" s="2"/>
      <c r="J41" s="19">
        <f t="shared" si="12"/>
        <v>7.6990190837943485E-4</v>
      </c>
      <c r="K41" s="2"/>
      <c r="L41" s="2">
        <f t="shared" si="13"/>
        <v>-41.28</v>
      </c>
      <c r="M41" s="2"/>
      <c r="N41" s="19">
        <f t="shared" si="14"/>
        <v>-1</v>
      </c>
      <c r="O41" s="11"/>
      <c r="P41" s="2"/>
      <c r="Q41" s="2"/>
      <c r="R41" s="19">
        <f t="shared" si="15"/>
        <v>0</v>
      </c>
      <c r="S41" s="2"/>
      <c r="T41" s="2">
        <v>32.299999999999997</v>
      </c>
      <c r="U41" s="2"/>
      <c r="V41" s="19">
        <f t="shared" si="16"/>
        <v>1.2320996989137416E-4</v>
      </c>
      <c r="W41" s="2"/>
      <c r="X41" s="2">
        <f t="shared" si="17"/>
        <v>-32.299999999999997</v>
      </c>
      <c r="Y41" s="2"/>
      <c r="Z41" s="19">
        <f t="shared" si="18"/>
        <v>-1</v>
      </c>
    </row>
    <row r="42" spans="1:26" s="24" customFormat="1" hidden="1" outlineLevel="1" x14ac:dyDescent="0.25">
      <c r="A42" s="44"/>
      <c r="B42" s="11" t="str">
        <f>CONCATENATE("          ", "5037", " - ", "PURCHASES @ COST-WATER")</f>
        <v xml:space="preserve">          5037 - PURCHASES @ COST-WATER</v>
      </c>
      <c r="C42" s="11"/>
      <c r="D42" s="2"/>
      <c r="E42" s="2"/>
      <c r="F42" s="19">
        <f t="shared" si="11"/>
        <v>0</v>
      </c>
      <c r="G42" s="2"/>
      <c r="H42" s="2">
        <v>34.11</v>
      </c>
      <c r="I42" s="2"/>
      <c r="J42" s="19">
        <f t="shared" si="12"/>
        <v>6.3617621353736727E-4</v>
      </c>
      <c r="K42" s="2"/>
      <c r="L42" s="2">
        <f t="shared" si="13"/>
        <v>-34.11</v>
      </c>
      <c r="M42" s="2"/>
      <c r="N42" s="19">
        <f t="shared" si="14"/>
        <v>-1</v>
      </c>
      <c r="O42" s="11"/>
      <c r="P42" s="2">
        <v>29.76</v>
      </c>
      <c r="Q42" s="2"/>
      <c r="R42" s="19">
        <f t="shared" si="15"/>
        <v>1.0465492149614899E-4</v>
      </c>
      <c r="S42" s="2"/>
      <c r="T42" s="2">
        <v>50.75</v>
      </c>
      <c r="U42" s="2"/>
      <c r="V42" s="19">
        <f t="shared" si="16"/>
        <v>1.9358842018536346E-4</v>
      </c>
      <c r="W42" s="2"/>
      <c r="X42" s="2">
        <f t="shared" si="17"/>
        <v>-20.99</v>
      </c>
      <c r="Y42" s="2"/>
      <c r="Z42" s="19">
        <f t="shared" si="18"/>
        <v>-0.41359605911330044</v>
      </c>
    </row>
    <row r="43" spans="1:26" s="24" customFormat="1" hidden="1" outlineLevel="1" x14ac:dyDescent="0.25">
      <c r="A43" s="44"/>
      <c r="B43" s="11" t="str">
        <f>CONCATENATE("          ", "5040", " - ", "PURCHASES @ COST-LOGO CLOTHING")</f>
        <v xml:space="preserve">          5040 - PURCHASES @ COST-LOGO CLOTHING</v>
      </c>
      <c r="C43" s="11"/>
      <c r="D43" s="2">
        <v>30675.16</v>
      </c>
      <c r="E43" s="2"/>
      <c r="F43" s="19">
        <f t="shared" si="11"/>
        <v>0.58927594452709109</v>
      </c>
      <c r="G43" s="2"/>
      <c r="H43" s="2">
        <v>20650.14</v>
      </c>
      <c r="I43" s="2"/>
      <c r="J43" s="19">
        <f t="shared" si="12"/>
        <v>0.38514007253639782</v>
      </c>
      <c r="K43" s="2"/>
      <c r="L43" s="2">
        <f t="shared" si="13"/>
        <v>10025.02</v>
      </c>
      <c r="M43" s="2"/>
      <c r="N43" s="19">
        <f t="shared" si="14"/>
        <v>0.48546983216578682</v>
      </c>
      <c r="O43" s="11"/>
      <c r="P43" s="2">
        <v>156047.34999999998</v>
      </c>
      <c r="Q43" s="2"/>
      <c r="R43" s="19">
        <f t="shared" si="15"/>
        <v>0.54876085900309413</v>
      </c>
      <c r="S43" s="2"/>
      <c r="T43" s="2">
        <v>125150.04999999999</v>
      </c>
      <c r="U43" s="2"/>
      <c r="V43" s="19">
        <f t="shared" si="16"/>
        <v>0.47739114217968953</v>
      </c>
      <c r="W43" s="2"/>
      <c r="X43" s="2">
        <f t="shared" si="17"/>
        <v>30897.299999999988</v>
      </c>
      <c r="Y43" s="2"/>
      <c r="Z43" s="19">
        <f t="shared" si="18"/>
        <v>0.24688204279582782</v>
      </c>
    </row>
    <row r="44" spans="1:26" s="24" customFormat="1" hidden="1" outlineLevel="1" x14ac:dyDescent="0.25">
      <c r="A44" s="44"/>
      <c r="B44" s="11" t="str">
        <f>CONCATENATE("          ", "5041", " - ", "PURCHASES @ COST-LOGO GIFTS")</f>
        <v xml:space="preserve">          5041 - PURCHASES @ COST-LOGO GIFTS</v>
      </c>
      <c r="C44" s="11"/>
      <c r="D44" s="2">
        <v>5065.1099999999997</v>
      </c>
      <c r="E44" s="2"/>
      <c r="F44" s="19">
        <f t="shared" si="11"/>
        <v>9.7301773792984755E-2</v>
      </c>
      <c r="G44" s="2"/>
      <c r="H44" s="2">
        <v>5223.8900000000003</v>
      </c>
      <c r="I44" s="2"/>
      <c r="J44" s="19">
        <f t="shared" si="12"/>
        <v>9.7429333337312157E-2</v>
      </c>
      <c r="K44" s="2"/>
      <c r="L44" s="2">
        <f t="shared" si="13"/>
        <v>-158.78000000000065</v>
      </c>
      <c r="M44" s="2"/>
      <c r="N44" s="19">
        <f t="shared" si="14"/>
        <v>-3.0394973860475745E-2</v>
      </c>
      <c r="O44" s="11"/>
      <c r="P44" s="2">
        <v>19779.47</v>
      </c>
      <c r="Q44" s="2"/>
      <c r="R44" s="19">
        <f t="shared" si="15"/>
        <v>6.9557086024376144E-2</v>
      </c>
      <c r="S44" s="2"/>
      <c r="T44" s="2">
        <v>18946.88</v>
      </c>
      <c r="U44" s="2"/>
      <c r="V44" s="19">
        <f t="shared" si="16"/>
        <v>7.227382397323466E-2</v>
      </c>
      <c r="W44" s="2"/>
      <c r="X44" s="2">
        <f t="shared" si="17"/>
        <v>832.59000000000015</v>
      </c>
      <c r="Y44" s="2"/>
      <c r="Z44" s="19">
        <f t="shared" si="18"/>
        <v>4.3943382762755667E-2</v>
      </c>
    </row>
    <row r="45" spans="1:26" s="24" customFormat="1" hidden="1" outlineLevel="1" x14ac:dyDescent="0.25">
      <c r="A45" s="44"/>
      <c r="B45" s="11" t="str">
        <f>CONCATENATE("          ", "5042", " - ", "PURCHASES @ COST-EVERYDAY GIFT")</f>
        <v xml:space="preserve">          5042 - PURCHASES @ COST-EVERYDAY GIFT</v>
      </c>
      <c r="C45" s="11"/>
      <c r="D45" s="2">
        <v>2694.09</v>
      </c>
      <c r="E45" s="2"/>
      <c r="F45" s="19">
        <f t="shared" si="11"/>
        <v>5.1754006479216109E-2</v>
      </c>
      <c r="G45" s="2"/>
      <c r="H45" s="2">
        <v>3891.44</v>
      </c>
      <c r="I45" s="2"/>
      <c r="J45" s="19">
        <f t="shared" si="12"/>
        <v>7.2578175444381485E-2</v>
      </c>
      <c r="K45" s="2"/>
      <c r="L45" s="2">
        <f t="shared" si="13"/>
        <v>-1197.3499999999999</v>
      </c>
      <c r="M45" s="2"/>
      <c r="N45" s="19">
        <f t="shared" si="14"/>
        <v>-0.30768815656929049</v>
      </c>
      <c r="O45" s="11"/>
      <c r="P45" s="2">
        <v>16563.04</v>
      </c>
      <c r="Q45" s="2"/>
      <c r="R45" s="19">
        <f t="shared" si="15"/>
        <v>5.8246090421289504E-2</v>
      </c>
      <c r="S45" s="2"/>
      <c r="T45" s="2">
        <v>12878.92</v>
      </c>
      <c r="U45" s="2"/>
      <c r="V45" s="19">
        <f t="shared" si="16"/>
        <v>4.9127286236328692E-2</v>
      </c>
      <c r="W45" s="2"/>
      <c r="X45" s="2">
        <f t="shared" si="17"/>
        <v>3684.1200000000008</v>
      </c>
      <c r="Y45" s="2"/>
      <c r="Z45" s="19">
        <f t="shared" si="18"/>
        <v>0.28605814773288452</v>
      </c>
    </row>
    <row r="46" spans="1:26" s="24" customFormat="1" hidden="1" outlineLevel="1" x14ac:dyDescent="0.25">
      <c r="A46" s="44"/>
      <c r="B46" s="11" t="str">
        <f>CONCATENATE("          ", "5043", " - ", "PURCHASES @ COST-CARDS")</f>
        <v xml:space="preserve">          5043 - PURCHASES @ COST-CARDS</v>
      </c>
      <c r="C46" s="11"/>
      <c r="D46" s="2">
        <v>245.92</v>
      </c>
      <c r="E46" s="2"/>
      <c r="F46" s="19">
        <f t="shared" si="11"/>
        <v>4.7241722709222131E-3</v>
      </c>
      <c r="G46" s="2"/>
      <c r="H46" s="2"/>
      <c r="I46" s="2"/>
      <c r="J46" s="19">
        <f t="shared" si="12"/>
        <v>0</v>
      </c>
      <c r="K46" s="2"/>
      <c r="L46" s="2">
        <f t="shared" si="13"/>
        <v>245.92</v>
      </c>
      <c r="M46" s="2"/>
      <c r="N46" s="19">
        <f t="shared" si="14"/>
        <v>0</v>
      </c>
      <c r="O46" s="11"/>
      <c r="P46" s="2">
        <v>339.32</v>
      </c>
      <c r="Q46" s="2"/>
      <c r="R46" s="19">
        <f t="shared" si="15"/>
        <v>1.193263036359989E-3</v>
      </c>
      <c r="S46" s="2"/>
      <c r="T46" s="2">
        <v>145</v>
      </c>
      <c r="U46" s="2"/>
      <c r="V46" s="19">
        <f t="shared" si="16"/>
        <v>5.5310977195818128E-4</v>
      </c>
      <c r="W46" s="2"/>
      <c r="X46" s="2">
        <f t="shared" si="17"/>
        <v>194.32</v>
      </c>
      <c r="Y46" s="2"/>
      <c r="Z46" s="19">
        <f t="shared" si="18"/>
        <v>1.3401379310344828</v>
      </c>
    </row>
    <row r="47" spans="1:26" s="24" customFormat="1" hidden="1" outlineLevel="1" x14ac:dyDescent="0.25">
      <c r="A47" s="44"/>
      <c r="B47" s="11" t="str">
        <f>CONCATENATE("          ", "5044", " - ", "PURCHASES @ COST-ACCESSORIES")</f>
        <v xml:space="preserve">          5044 - PURCHASES @ COST-ACCESSORIES</v>
      </c>
      <c r="C47" s="11"/>
      <c r="D47" s="2">
        <v>-589.26</v>
      </c>
      <c r="E47" s="2"/>
      <c r="F47" s="19">
        <f t="shared" si="11"/>
        <v>-1.1319802181049216E-2</v>
      </c>
      <c r="G47" s="2"/>
      <c r="H47" s="2">
        <v>138.77000000000001</v>
      </c>
      <c r="I47" s="2"/>
      <c r="J47" s="19">
        <f t="shared" si="12"/>
        <v>2.58816104229201E-3</v>
      </c>
      <c r="K47" s="2"/>
      <c r="L47" s="2">
        <f t="shared" si="13"/>
        <v>-728.03</v>
      </c>
      <c r="M47" s="2"/>
      <c r="N47" s="19">
        <f t="shared" si="14"/>
        <v>-5.2463068386538874</v>
      </c>
      <c r="O47" s="11"/>
      <c r="P47" s="2">
        <v>-5954.42</v>
      </c>
      <c r="Q47" s="2"/>
      <c r="R47" s="19">
        <f t="shared" si="15"/>
        <v>-2.0939494544862214E-2</v>
      </c>
      <c r="S47" s="2"/>
      <c r="T47" s="2">
        <v>2182.5700000000002</v>
      </c>
      <c r="U47" s="2"/>
      <c r="V47" s="19">
        <f t="shared" si="16"/>
        <v>8.3255227240190879E-3</v>
      </c>
      <c r="W47" s="2"/>
      <c r="X47" s="2">
        <f t="shared" si="17"/>
        <v>-8136.99</v>
      </c>
      <c r="Y47" s="2"/>
      <c r="Z47" s="19">
        <f t="shared" si="18"/>
        <v>-3.7281690850694362</v>
      </c>
    </row>
    <row r="48" spans="1:26" s="24" customFormat="1" hidden="1" outlineLevel="1" x14ac:dyDescent="0.25">
      <c r="A48" s="44"/>
      <c r="B48" s="11" t="str">
        <f>CONCATENATE("          ", "5045", " - ", "PURCHASES @ COST-SPECIAL ORDER")</f>
        <v xml:space="preserve">          5045 - PURCHASES @ COST-SPECIAL ORDER</v>
      </c>
      <c r="C48" s="11"/>
      <c r="D48" s="2">
        <v>11.75</v>
      </c>
      <c r="E48" s="2"/>
      <c r="F48" s="19">
        <f t="shared" si="11"/>
        <v>2.2571984459716983E-4</v>
      </c>
      <c r="G48" s="2"/>
      <c r="H48" s="2"/>
      <c r="I48" s="2"/>
      <c r="J48" s="19">
        <f t="shared" si="12"/>
        <v>0</v>
      </c>
      <c r="K48" s="2"/>
      <c r="L48" s="2">
        <f t="shared" si="13"/>
        <v>11.75</v>
      </c>
      <c r="M48" s="2"/>
      <c r="N48" s="19">
        <f t="shared" si="14"/>
        <v>0</v>
      </c>
      <c r="O48" s="11"/>
      <c r="P48" s="2">
        <v>-971.45</v>
      </c>
      <c r="Q48" s="2"/>
      <c r="R48" s="19">
        <f t="shared" si="15"/>
        <v>-3.4162306279379683E-3</v>
      </c>
      <c r="S48" s="2"/>
      <c r="T48" s="2">
        <v>504.38</v>
      </c>
      <c r="U48" s="2"/>
      <c r="V48" s="19">
        <f t="shared" si="16"/>
        <v>1.9239828053811551E-3</v>
      </c>
      <c r="W48" s="2"/>
      <c r="X48" s="2">
        <f t="shared" si="17"/>
        <v>-1475.83</v>
      </c>
      <c r="Y48" s="2"/>
      <c r="Z48" s="19">
        <f t="shared" si="18"/>
        <v>-2.926027994765851</v>
      </c>
    </row>
    <row r="49" spans="1:26" s="24" customFormat="1" hidden="1" outlineLevel="1" x14ac:dyDescent="0.25">
      <c r="A49" s="44"/>
      <c r="B49" s="11" t="str">
        <f>CONCATENATE("          ", "5083", " - ", "PURCHASES @ COST-COMPUTER EQUI")</f>
        <v xml:space="preserve">          5083 - PURCHASES @ COST-COMPUTER EQUI</v>
      </c>
      <c r="C49" s="11"/>
      <c r="D49" s="2"/>
      <c r="E49" s="2"/>
      <c r="F49" s="19">
        <f t="shared" si="11"/>
        <v>0</v>
      </c>
      <c r="G49" s="2"/>
      <c r="H49" s="2"/>
      <c r="I49" s="2"/>
      <c r="J49" s="19">
        <f t="shared" si="12"/>
        <v>0</v>
      </c>
      <c r="K49" s="2"/>
      <c r="L49" s="2">
        <f t="shared" si="13"/>
        <v>0</v>
      </c>
      <c r="M49" s="2"/>
      <c r="N49" s="19">
        <f t="shared" si="14"/>
        <v>0</v>
      </c>
      <c r="O49" s="11"/>
      <c r="P49" s="2">
        <v>39.950000000000003</v>
      </c>
      <c r="Q49" s="2"/>
      <c r="R49" s="19">
        <f t="shared" si="15"/>
        <v>1.4048938554338551E-4</v>
      </c>
      <c r="S49" s="2"/>
      <c r="T49" s="2">
        <v>15.8</v>
      </c>
      <c r="U49" s="2"/>
      <c r="V49" s="19">
        <f t="shared" si="16"/>
        <v>6.0269892392684585E-5</v>
      </c>
      <c r="W49" s="2"/>
      <c r="X49" s="2">
        <f t="shared" si="17"/>
        <v>24.150000000000002</v>
      </c>
      <c r="Y49" s="2"/>
      <c r="Z49" s="19">
        <f t="shared" si="18"/>
        <v>1.528481012658228</v>
      </c>
    </row>
    <row r="50" spans="1:26" s="24" customFormat="1" hidden="1" outlineLevel="1" x14ac:dyDescent="0.25">
      <c r="A50" s="44"/>
      <c r="B50" s="11" t="str">
        <f>CONCATENATE("          ", "5092", " - ", "PURCHASES @ COST-GRAD MERCH")</f>
        <v xml:space="preserve">          5092 - PURCHASES @ COST-GRAD MERCH</v>
      </c>
      <c r="C50" s="11"/>
      <c r="D50" s="2"/>
      <c r="E50" s="2"/>
      <c r="F50" s="19">
        <f t="shared" si="11"/>
        <v>0</v>
      </c>
      <c r="G50" s="2"/>
      <c r="H50" s="2"/>
      <c r="I50" s="2"/>
      <c r="J50" s="19">
        <f t="shared" si="12"/>
        <v>0</v>
      </c>
      <c r="K50" s="2"/>
      <c r="L50" s="2">
        <f t="shared" si="13"/>
        <v>0</v>
      </c>
      <c r="M50" s="2"/>
      <c r="N50" s="19">
        <f t="shared" si="14"/>
        <v>0</v>
      </c>
      <c r="O50" s="11"/>
      <c r="P50" s="2">
        <v>-60.35</v>
      </c>
      <c r="Q50" s="2"/>
      <c r="R50" s="19">
        <f t="shared" si="15"/>
        <v>-2.1222864624639083E-4</v>
      </c>
      <c r="S50" s="2"/>
      <c r="T50" s="2"/>
      <c r="U50" s="2"/>
      <c r="V50" s="19">
        <f t="shared" si="16"/>
        <v>0</v>
      </c>
      <c r="W50" s="2"/>
      <c r="X50" s="2">
        <f t="shared" si="17"/>
        <v>-60.35</v>
      </c>
      <c r="Y50" s="2"/>
      <c r="Z50" s="19">
        <f t="shared" si="18"/>
        <v>0</v>
      </c>
    </row>
    <row r="51" spans="1:26" s="24" customFormat="1" hidden="1" outlineLevel="1" x14ac:dyDescent="0.25">
      <c r="A51" s="44"/>
      <c r="B51" s="11" t="str">
        <f>CONCATENATE("          ", "5095", " - ", "PURCHASES @ COST-CUSTOMER SERV")</f>
        <v xml:space="preserve">          5095 - PURCHASES @ COST-CUSTOMER SERV</v>
      </c>
      <c r="C51" s="11"/>
      <c r="D51" s="2"/>
      <c r="E51" s="2"/>
      <c r="F51" s="19">
        <f t="shared" si="11"/>
        <v>0</v>
      </c>
      <c r="G51" s="2"/>
      <c r="H51" s="2">
        <v>2.88</v>
      </c>
      <c r="I51" s="2"/>
      <c r="J51" s="19">
        <f t="shared" si="12"/>
        <v>5.3714086631123358E-5</v>
      </c>
      <c r="K51" s="2"/>
      <c r="L51" s="2">
        <f t="shared" si="13"/>
        <v>-2.88</v>
      </c>
      <c r="M51" s="2"/>
      <c r="N51" s="19">
        <f t="shared" si="14"/>
        <v>-1</v>
      </c>
      <c r="O51" s="11"/>
      <c r="P51" s="2">
        <v>-11.85</v>
      </c>
      <c r="Q51" s="2"/>
      <c r="R51" s="19">
        <f t="shared" si="15"/>
        <v>-4.1672070555422226E-5</v>
      </c>
      <c r="S51" s="2"/>
      <c r="T51" s="2">
        <v>57.6</v>
      </c>
      <c r="U51" s="2"/>
      <c r="V51" s="19">
        <f t="shared" si="16"/>
        <v>2.1971808872269823E-4</v>
      </c>
      <c r="W51" s="2"/>
      <c r="X51" s="2">
        <f t="shared" si="17"/>
        <v>-69.45</v>
      </c>
      <c r="Y51" s="2"/>
      <c r="Z51" s="19">
        <f t="shared" si="18"/>
        <v>-1.2057291666666667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/>
      <c r="E52" s="2"/>
      <c r="F52" s="19">
        <f t="shared" si="11"/>
        <v>0</v>
      </c>
      <c r="G52" s="2"/>
      <c r="H52" s="2">
        <v>-30098</v>
      </c>
      <c r="I52" s="2"/>
      <c r="J52" s="19">
        <f t="shared" si="12"/>
        <v>-0.56134950674428852</v>
      </c>
      <c r="K52" s="2"/>
      <c r="L52" s="2">
        <f t="shared" si="13"/>
        <v>30098</v>
      </c>
      <c r="M52" s="2"/>
      <c r="N52" s="19">
        <f t="shared" si="14"/>
        <v>-1</v>
      </c>
      <c r="O52" s="11"/>
      <c r="P52" s="2">
        <v>-147712</v>
      </c>
      <c r="Q52" s="2"/>
      <c r="R52" s="19">
        <f t="shared" si="15"/>
        <v>-0.51944851357658461</v>
      </c>
      <c r="S52" s="2"/>
      <c r="T52" s="2">
        <v>-160979</v>
      </c>
      <c r="U52" s="2"/>
      <c r="V52" s="19">
        <f t="shared" si="16"/>
        <v>-0.61406246882797288</v>
      </c>
      <c r="W52" s="2"/>
      <c r="X52" s="2">
        <f t="shared" si="17"/>
        <v>13267</v>
      </c>
      <c r="Y52" s="2"/>
      <c r="Z52" s="19">
        <f t="shared" si="18"/>
        <v>-8.2414476422390498E-2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-15658</v>
      </c>
      <c r="E53" s="2"/>
      <c r="F53" s="19">
        <f t="shared" si="11"/>
        <v>-0.30079330440021151</v>
      </c>
      <c r="G53" s="2"/>
      <c r="H53" s="2">
        <v>22255</v>
      </c>
      <c r="I53" s="2"/>
      <c r="J53" s="19">
        <f t="shared" si="12"/>
        <v>0.4150718742971008</v>
      </c>
      <c r="K53" s="2"/>
      <c r="L53" s="2">
        <f t="shared" si="13"/>
        <v>-37913</v>
      </c>
      <c r="M53" s="2"/>
      <c r="N53" s="19">
        <f t="shared" si="14"/>
        <v>-1.7035722309593351</v>
      </c>
      <c r="O53" s="11"/>
      <c r="P53" s="2">
        <v>82904</v>
      </c>
      <c r="Q53" s="2"/>
      <c r="R53" s="19">
        <f t="shared" si="15"/>
        <v>0.29154272888833116</v>
      </c>
      <c r="S53" s="2"/>
      <c r="T53" s="2">
        <v>112806</v>
      </c>
      <c r="U53" s="2"/>
      <c r="V53" s="19">
        <f t="shared" si="16"/>
        <v>0.4303041443828593</v>
      </c>
      <c r="W53" s="2"/>
      <c r="X53" s="2">
        <f t="shared" si="17"/>
        <v>-29902</v>
      </c>
      <c r="Y53" s="2"/>
      <c r="Z53" s="19">
        <f t="shared" si="18"/>
        <v>-0.26507455277201569</v>
      </c>
    </row>
    <row r="54" spans="1:26" s="24" customFormat="1" hidden="1" outlineLevel="1" x14ac:dyDescent="0.25">
      <c r="A54" s="44"/>
      <c r="B54" s="11" t="str">
        <f>CONCATENATE("          ", "5540", " - ", "FREIGHT-IN-LOGO CLOTHING")</f>
        <v xml:space="preserve">          5540 - FREIGHT-IN-LOGO CLOTHING</v>
      </c>
      <c r="C54" s="11"/>
      <c r="D54" s="2"/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0</v>
      </c>
      <c r="M54" s="2"/>
      <c r="N54" s="19">
        <f t="shared" si="14"/>
        <v>0</v>
      </c>
      <c r="O54" s="11"/>
      <c r="P54" s="2"/>
      <c r="Q54" s="2"/>
      <c r="R54" s="19">
        <f t="shared" si="15"/>
        <v>0</v>
      </c>
      <c r="S54" s="2"/>
      <c r="T54" s="2">
        <v>11.96</v>
      </c>
      <c r="U54" s="2"/>
      <c r="V54" s="19">
        <f t="shared" si="16"/>
        <v>4.5622019811171371E-5</v>
      </c>
      <c r="W54" s="2"/>
      <c r="X54" s="2">
        <f t="shared" si="17"/>
        <v>-11.96</v>
      </c>
      <c r="Y54" s="2"/>
      <c r="Z54" s="19">
        <f t="shared" si="18"/>
        <v>-1</v>
      </c>
    </row>
    <row r="55" spans="1:26" s="24" customFormat="1" hidden="1" outlineLevel="1" x14ac:dyDescent="0.25">
      <c r="A55" s="44"/>
      <c r="B55" s="11" t="str">
        <f>CONCATENATE("          ", "5542", " - ", "FREIGHT-IN-EVERYDAY GIFTS")</f>
        <v xml:space="preserve">          5542 - FREIGHT-IN-EVERYDAY GIFTS</v>
      </c>
      <c r="C55" s="11"/>
      <c r="D55" s="2"/>
      <c r="E55" s="2"/>
      <c r="F55" s="19">
        <f t="shared" si="11"/>
        <v>0</v>
      </c>
      <c r="G55" s="2"/>
      <c r="H55" s="2"/>
      <c r="I55" s="2"/>
      <c r="J55" s="19">
        <f t="shared" si="12"/>
        <v>0</v>
      </c>
      <c r="K55" s="2"/>
      <c r="L55" s="2">
        <f t="shared" si="13"/>
        <v>0</v>
      </c>
      <c r="M55" s="2"/>
      <c r="N55" s="19">
        <f t="shared" si="14"/>
        <v>0</v>
      </c>
      <c r="O55" s="11"/>
      <c r="P55" s="2"/>
      <c r="Q55" s="2"/>
      <c r="R55" s="19">
        <f t="shared" si="15"/>
        <v>0</v>
      </c>
      <c r="S55" s="2"/>
      <c r="T55" s="2">
        <v>29.13</v>
      </c>
      <c r="U55" s="2"/>
      <c r="V55" s="19">
        <f t="shared" si="16"/>
        <v>1.111178459113229E-4</v>
      </c>
      <c r="W55" s="2"/>
      <c r="X55" s="2">
        <f t="shared" si="17"/>
        <v>-29.13</v>
      </c>
      <c r="Y55" s="2"/>
      <c r="Z55" s="19">
        <f t="shared" si="18"/>
        <v>-1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9" t="s">
        <v>6</v>
      </c>
      <c r="C57" s="29"/>
      <c r="D57" s="20">
        <f>D12-D37</f>
        <v>29594.879999999997</v>
      </c>
      <c r="E57" s="14"/>
      <c r="F57" s="21">
        <f>IF(D$12=0,0,D57/D$12)</f>
        <v>0.5685235501678203</v>
      </c>
      <c r="G57" s="14"/>
      <c r="H57" s="20">
        <f>H12-H37</f>
        <v>31361.77</v>
      </c>
      <c r="I57" s="14"/>
      <c r="J57" s="21">
        <f>IF(H$12=0,0,H57/H$12)</f>
        <v>0.58491973287686305</v>
      </c>
      <c r="K57" s="15"/>
      <c r="L57" s="20">
        <f>+D57-H57</f>
        <v>-1766.8900000000031</v>
      </c>
      <c r="M57" s="15"/>
      <c r="N57" s="21">
        <f>IF(H57=0,0,L57/H57)</f>
        <v>-5.6338975765717399E-2</v>
      </c>
      <c r="O57" s="28"/>
      <c r="P57" s="20">
        <f>P12-P37</f>
        <v>163340.25000000009</v>
      </c>
      <c r="Q57" s="14"/>
      <c r="R57" s="21">
        <f>IF(P$12=0,0,P57/P$12)</f>
        <v>0.57440729304137628</v>
      </c>
      <c r="S57" s="14"/>
      <c r="T57" s="20">
        <f>T12-T37</f>
        <v>149349.76000000001</v>
      </c>
      <c r="U57" s="14"/>
      <c r="V57" s="21">
        <f>IF(T$12=0,0,T57/T$12)</f>
        <v>0.56970214962489041</v>
      </c>
      <c r="W57" s="15"/>
      <c r="X57" s="20">
        <f>+P57-T57</f>
        <v>13990.490000000078</v>
      </c>
      <c r="Y57" s="15"/>
      <c r="Z57" s="21">
        <f>IF(T57=0,0,X57/T57)</f>
        <v>9.3676012602899913E-2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9</v>
      </c>
      <c r="C59" s="10"/>
      <c r="D59" s="22">
        <f>SUM(OSRRefD22x_0)</f>
        <v>35034.880000000005</v>
      </c>
      <c r="E59" s="22"/>
      <c r="F59" s="33">
        <f t="shared" ref="F59:F68" si="19">IF(D$12=0,0,D59/D$12)</f>
        <v>0.67302703566642508</v>
      </c>
      <c r="G59" s="22"/>
      <c r="H59" s="22">
        <f>SUM(OSRRefH22x_0)</f>
        <v>32272.799999999999</v>
      </c>
      <c r="I59" s="22"/>
      <c r="J59" s="33">
        <f t="shared" ref="J59:J68" si="20">IF(H$12=0,0,H59/H$12)</f>
        <v>0.60191110244059653</v>
      </c>
      <c r="K59" s="4"/>
      <c r="L59" s="22">
        <f t="shared" ref="L59:L68" si="21">+D59-H59</f>
        <v>2762.0800000000054</v>
      </c>
      <c r="M59" s="4"/>
      <c r="N59" s="33">
        <f t="shared" ref="N59:N68" si="22">IF(H59=0,0,L59/H59)</f>
        <v>8.5585384596316566E-2</v>
      </c>
      <c r="O59" s="10"/>
      <c r="P59" s="22">
        <f>SUM(OSRRefP22x_0)</f>
        <v>187718.76</v>
      </c>
      <c r="Q59" s="22"/>
      <c r="R59" s="33">
        <f t="shared" ref="R59:R68" si="23">IF(P$12=0,0,P59/P$12)</f>
        <v>0.66013750306298502</v>
      </c>
      <c r="S59" s="22"/>
      <c r="T59" s="22">
        <f>SUM(OSRRefT22x_0)</f>
        <v>171686.03000000006</v>
      </c>
      <c r="U59" s="22"/>
      <c r="V59" s="33">
        <f t="shared" ref="V59:V68" si="24">IF(T$12=0,0,T59/T$12)</f>
        <v>0.65490497173590001</v>
      </c>
      <c r="W59" s="4"/>
      <c r="X59" s="22">
        <f t="shared" ref="X59:X68" si="25">+P59-T59</f>
        <v>16032.729999999952</v>
      </c>
      <c r="Y59" s="4"/>
      <c r="Z59" s="33">
        <f t="shared" ref="Z59:Z68" si="26">IF(T59=0,0,X59/T59)</f>
        <v>9.3384010335610571E-2</v>
      </c>
    </row>
    <row r="60" spans="1:26" s="27" customFormat="1" outlineLevel="1" collapsed="1" x14ac:dyDescent="0.25">
      <c r="A60" s="25"/>
      <c r="B60" s="13" t="str">
        <f>CONCATENATE("     ","*Benefits                                         ")</f>
        <v xml:space="preserve">     *Benefits                                         </v>
      </c>
      <c r="C60" s="13"/>
      <c r="D60" s="1">
        <f>SUM(OSRRefD22_0x_0)</f>
        <v>2002.93</v>
      </c>
      <c r="E60" s="1"/>
      <c r="F60" s="5">
        <f t="shared" si="19"/>
        <v>3.8476684965022073E-2</v>
      </c>
      <c r="G60" s="1"/>
      <c r="H60" s="1">
        <f>SUM(OSRRefH22_0x_0)</f>
        <v>2536.64</v>
      </c>
      <c r="I60" s="1"/>
      <c r="J60" s="5">
        <f t="shared" si="20"/>
        <v>4.7310173858323874E-2</v>
      </c>
      <c r="K60" s="1"/>
      <c r="L60" s="1">
        <f t="shared" si="21"/>
        <v>-533.70999999999981</v>
      </c>
      <c r="M60" s="1"/>
      <c r="N60" s="5">
        <f t="shared" si="22"/>
        <v>-0.21040037214583063</v>
      </c>
      <c r="O60" s="13"/>
      <c r="P60" s="1">
        <f>SUM(OSRRefP22_0x_0)</f>
        <v>12671.240000000002</v>
      </c>
      <c r="Q60" s="1"/>
      <c r="R60" s="5">
        <f t="shared" si="23"/>
        <v>4.4560068126977929E-2</v>
      </c>
      <c r="S60" s="1"/>
      <c r="T60" s="1">
        <f>SUM(OSRRefT22_0x_0)</f>
        <v>16305.75</v>
      </c>
      <c r="U60" s="1"/>
      <c r="V60" s="5">
        <f t="shared" si="24"/>
        <v>6.2199101131773203E-2</v>
      </c>
      <c r="W60" s="1"/>
      <c r="X60" s="1">
        <f t="shared" si="25"/>
        <v>-3634.5099999999984</v>
      </c>
      <c r="Y60" s="1"/>
      <c r="Z60" s="5">
        <f t="shared" si="26"/>
        <v>-0.22289744415313606</v>
      </c>
    </row>
    <row r="61" spans="1:26" s="24" customFormat="1" hidden="1" outlineLevel="2" x14ac:dyDescent="0.25">
      <c r="A61" s="26"/>
      <c r="B61" s="11" t="str">
        <f>CONCATENATE("          ", "6111", " - ", "F.I.C.A.")</f>
        <v xml:space="preserve">          6111 - F.I.C.A.</v>
      </c>
      <c r="C61" s="11"/>
      <c r="D61" s="6">
        <v>316.92</v>
      </c>
      <c r="E61" s="2"/>
      <c r="F61" s="7">
        <f t="shared" si="19"/>
        <v>6.0880964382753252E-3</v>
      </c>
      <c r="G61" s="2"/>
      <c r="H61" s="6">
        <v>317.58</v>
      </c>
      <c r="I61" s="2"/>
      <c r="J61" s="7">
        <f t="shared" si="20"/>
        <v>5.9230970945528313E-3</v>
      </c>
      <c r="K61" s="2"/>
      <c r="L61" s="6">
        <f t="shared" si="21"/>
        <v>-0.65999999999996817</v>
      </c>
      <c r="M61" s="2"/>
      <c r="N61" s="7">
        <f t="shared" si="22"/>
        <v>-2.0782165123747346E-3</v>
      </c>
      <c r="O61" s="11"/>
      <c r="P61" s="6">
        <v>2823.02</v>
      </c>
      <c r="Q61" s="2"/>
      <c r="R61" s="7">
        <f t="shared" si="23"/>
        <v>9.9275180269508909E-3</v>
      </c>
      <c r="S61" s="2"/>
      <c r="T61" s="6">
        <v>3484.81</v>
      </c>
      <c r="U61" s="2"/>
      <c r="V61" s="7">
        <f t="shared" si="24"/>
        <v>1.3292982513224756E-2</v>
      </c>
      <c r="W61" s="2"/>
      <c r="X61" s="6">
        <f t="shared" si="25"/>
        <v>-661.79</v>
      </c>
      <c r="Y61" s="2"/>
      <c r="Z61" s="7">
        <f t="shared" si="26"/>
        <v>-0.18990705375615888</v>
      </c>
    </row>
    <row r="62" spans="1:26" s="24" customFormat="1" hidden="1" outlineLevel="2" x14ac:dyDescent="0.25">
      <c r="A62" s="26"/>
      <c r="B62" s="11" t="str">
        <f>CONCATENATE("          ", "6112", " - ", "COMPENSATION INSURANCE")</f>
        <v xml:space="preserve">          6112 - COMPENSATION INSURANCE</v>
      </c>
      <c r="C62" s="11"/>
      <c r="D62" s="6">
        <v>304.49</v>
      </c>
      <c r="E62" s="2"/>
      <c r="F62" s="7">
        <f t="shared" si="19"/>
        <v>5.8493136579908294E-3</v>
      </c>
      <c r="G62" s="2"/>
      <c r="H62" s="6">
        <v>165.47</v>
      </c>
      <c r="I62" s="2"/>
      <c r="J62" s="7">
        <f t="shared" si="20"/>
        <v>3.0861353871013825E-3</v>
      </c>
      <c r="K62" s="2"/>
      <c r="L62" s="6">
        <f t="shared" si="21"/>
        <v>139.02000000000001</v>
      </c>
      <c r="M62" s="2"/>
      <c r="N62" s="7">
        <f t="shared" si="22"/>
        <v>0.84015229346709375</v>
      </c>
      <c r="O62" s="11"/>
      <c r="P62" s="6">
        <v>1002.17</v>
      </c>
      <c r="Q62" s="2"/>
      <c r="R62" s="7">
        <f t="shared" si="23"/>
        <v>3.5242615146436704E-3</v>
      </c>
      <c r="S62" s="2"/>
      <c r="T62" s="6">
        <v>880.83</v>
      </c>
      <c r="U62" s="2"/>
      <c r="V62" s="7">
        <f t="shared" si="24"/>
        <v>3.3599702098891368E-3</v>
      </c>
      <c r="W62" s="2"/>
      <c r="X62" s="6">
        <f t="shared" si="25"/>
        <v>121.33999999999992</v>
      </c>
      <c r="Y62" s="2"/>
      <c r="Z62" s="7">
        <f t="shared" si="26"/>
        <v>0.13775643427222042</v>
      </c>
    </row>
    <row r="63" spans="1:26" s="24" customFormat="1" hidden="1" outlineLevel="2" x14ac:dyDescent="0.25">
      <c r="A63" s="26"/>
      <c r="B63" s="11" t="str">
        <f>CONCATENATE("          ", "6113", " - ", "GROUP INSURANCE")</f>
        <v xml:space="preserve">          6113 - GROUP INSURANCE</v>
      </c>
      <c r="C63" s="11"/>
      <c r="D63" s="6">
        <v>935.3</v>
      </c>
      <c r="E63" s="2"/>
      <c r="F63" s="7">
        <f t="shared" si="19"/>
        <v>1.7967299629934718E-2</v>
      </c>
      <c r="G63" s="2"/>
      <c r="H63" s="6">
        <v>1067.3599999999999</v>
      </c>
      <c r="I63" s="2"/>
      <c r="J63" s="7">
        <f t="shared" si="20"/>
        <v>1.9907037328679104E-2</v>
      </c>
      <c r="K63" s="2"/>
      <c r="L63" s="6">
        <f t="shared" si="21"/>
        <v>-132.05999999999995</v>
      </c>
      <c r="M63" s="2"/>
      <c r="N63" s="7">
        <f t="shared" si="22"/>
        <v>-0.12372582821166238</v>
      </c>
      <c r="O63" s="11"/>
      <c r="P63" s="6">
        <v>5343.76</v>
      </c>
      <c r="Q63" s="2"/>
      <c r="R63" s="7">
        <f t="shared" si="23"/>
        <v>1.879202900854372E-2</v>
      </c>
      <c r="S63" s="2"/>
      <c r="T63" s="6">
        <v>5959.71</v>
      </c>
      <c r="U63" s="2"/>
      <c r="V63" s="7">
        <f t="shared" si="24"/>
        <v>2.2733612683013053E-2</v>
      </c>
      <c r="W63" s="2"/>
      <c r="X63" s="6">
        <f t="shared" si="25"/>
        <v>-615.94999999999982</v>
      </c>
      <c r="Y63" s="2"/>
      <c r="Z63" s="7">
        <f t="shared" si="26"/>
        <v>-0.10335234432547889</v>
      </c>
    </row>
    <row r="64" spans="1:26" s="24" customFormat="1" hidden="1" outlineLevel="2" x14ac:dyDescent="0.25">
      <c r="A64" s="26"/>
      <c r="B64" s="11" t="str">
        <f>CONCATENATE("          ", "6114", " - ", "STATE UNEMPLOYMENT INSURANCE")</f>
        <v xml:space="preserve">          6114 - STATE UNEMPLOYMENT INSURANCE</v>
      </c>
      <c r="C64" s="11"/>
      <c r="D64" s="6">
        <v>41.67</v>
      </c>
      <c r="E64" s="2"/>
      <c r="F64" s="7">
        <f t="shared" si="19"/>
        <v>8.0048901483949512E-4</v>
      </c>
      <c r="G64" s="2"/>
      <c r="H64" s="6">
        <v>36.15</v>
      </c>
      <c r="I64" s="2"/>
      <c r="J64" s="7">
        <f t="shared" si="20"/>
        <v>6.7422369156774626E-4</v>
      </c>
      <c r="K64" s="2"/>
      <c r="L64" s="6">
        <f t="shared" si="21"/>
        <v>5.5200000000000031</v>
      </c>
      <c r="M64" s="2"/>
      <c r="N64" s="7">
        <f t="shared" si="22"/>
        <v>0.15269709543568474</v>
      </c>
      <c r="O64" s="11"/>
      <c r="P64" s="6">
        <v>169.85</v>
      </c>
      <c r="Q64" s="2"/>
      <c r="R64" s="7">
        <f t="shared" si="23"/>
        <v>5.9729967796105191E-4</v>
      </c>
      <c r="S64" s="2"/>
      <c r="T64" s="6">
        <v>192.45</v>
      </c>
      <c r="U64" s="2"/>
      <c r="V64" s="7">
        <f t="shared" si="24"/>
        <v>7.3411017664380684E-4</v>
      </c>
      <c r="W64" s="2"/>
      <c r="X64" s="6">
        <f t="shared" si="25"/>
        <v>-22.599999999999994</v>
      </c>
      <c r="Y64" s="2"/>
      <c r="Z64" s="7">
        <f t="shared" si="26"/>
        <v>-0.11743309950636527</v>
      </c>
    </row>
    <row r="65" spans="1:26" s="24" customFormat="1" hidden="1" outlineLevel="2" x14ac:dyDescent="0.25">
      <c r="A65" s="26"/>
      <c r="B65" s="11" t="str">
        <f>CONCATENATE("          ", "6115", " - ", "P.E.R.S.")</f>
        <v xml:space="preserve">          6115 - P.E.R.S.</v>
      </c>
      <c r="C65" s="11"/>
      <c r="D65" s="6">
        <v>155.82</v>
      </c>
      <c r="E65" s="2"/>
      <c r="F65" s="7">
        <f t="shared" si="19"/>
        <v>2.9933332923515747E-3</v>
      </c>
      <c r="G65" s="2"/>
      <c r="H65" s="6">
        <v>205.57</v>
      </c>
      <c r="I65" s="2"/>
      <c r="J65" s="7">
        <f t="shared" si="20"/>
        <v>3.8340294405416766E-3</v>
      </c>
      <c r="K65" s="2"/>
      <c r="L65" s="6">
        <f t="shared" si="21"/>
        <v>-49.75</v>
      </c>
      <c r="M65" s="2"/>
      <c r="N65" s="7">
        <f t="shared" si="22"/>
        <v>-0.24201002091744905</v>
      </c>
      <c r="O65" s="11"/>
      <c r="P65" s="6">
        <v>1153.75</v>
      </c>
      <c r="Q65" s="2"/>
      <c r="R65" s="7">
        <f t="shared" si="23"/>
        <v>4.0573123547104134E-3</v>
      </c>
      <c r="S65" s="2"/>
      <c r="T65" s="6">
        <v>1513.85</v>
      </c>
      <c r="U65" s="2"/>
      <c r="V65" s="7">
        <f t="shared" si="24"/>
        <v>5.7746567467509844E-3</v>
      </c>
      <c r="W65" s="2"/>
      <c r="X65" s="6">
        <f t="shared" si="25"/>
        <v>-360.09999999999991</v>
      </c>
      <c r="Y65" s="2"/>
      <c r="Z65" s="7">
        <f t="shared" si="26"/>
        <v>-0.23787033061399737</v>
      </c>
    </row>
    <row r="66" spans="1:26" s="24" customFormat="1" hidden="1" outlineLevel="2" x14ac:dyDescent="0.25">
      <c r="A66" s="26"/>
      <c r="B66" s="11" t="str">
        <f>CONCATENATE("          ", "6118", " - ", "VACATION")</f>
        <v xml:space="preserve">          6118 - VACATION</v>
      </c>
      <c r="C66" s="11"/>
      <c r="D66" s="6">
        <v>145.84</v>
      </c>
      <c r="E66" s="2"/>
      <c r="F66" s="7">
        <f t="shared" si="19"/>
        <v>2.8016155009405316E-3</v>
      </c>
      <c r="G66" s="2"/>
      <c r="H66" s="6">
        <v>182.62</v>
      </c>
      <c r="I66" s="2"/>
      <c r="J66" s="7">
        <f t="shared" si="20"/>
        <v>3.4059953126999126E-3</v>
      </c>
      <c r="K66" s="2"/>
      <c r="L66" s="6">
        <f t="shared" si="21"/>
        <v>-36.78</v>
      </c>
      <c r="M66" s="2"/>
      <c r="N66" s="7">
        <f t="shared" si="22"/>
        <v>-0.20140181798269632</v>
      </c>
      <c r="O66" s="11"/>
      <c r="P66" s="6">
        <v>1305.1600000000001</v>
      </c>
      <c r="Q66" s="2"/>
      <c r="R66" s="7">
        <f t="shared" si="23"/>
        <v>4.5897653676046308E-3</v>
      </c>
      <c r="S66" s="2"/>
      <c r="T66" s="6">
        <v>1911.33</v>
      </c>
      <c r="U66" s="2"/>
      <c r="V66" s="7">
        <f t="shared" si="24"/>
        <v>7.2908641409436597E-3</v>
      </c>
      <c r="W66" s="2"/>
      <c r="X66" s="6">
        <f t="shared" si="25"/>
        <v>-606.16999999999985</v>
      </c>
      <c r="Y66" s="2"/>
      <c r="Z66" s="7">
        <f t="shared" si="26"/>
        <v>-0.31714565250375387</v>
      </c>
    </row>
    <row r="67" spans="1:26" s="24" customFormat="1" hidden="1" outlineLevel="2" x14ac:dyDescent="0.25">
      <c r="A67" s="26"/>
      <c r="B67" s="11" t="str">
        <f>CONCATENATE("          ", "6119", " - ", "SICK LEAVE")</f>
        <v xml:space="preserve">          6119 - SICK LEAVE</v>
      </c>
      <c r="C67" s="11"/>
      <c r="D67" s="6">
        <v>102.89</v>
      </c>
      <c r="E67" s="2"/>
      <c r="F67" s="7">
        <f t="shared" si="19"/>
        <v>1.9765374306896003E-3</v>
      </c>
      <c r="G67" s="2"/>
      <c r="H67" s="6">
        <v>113.04</v>
      </c>
      <c r="I67" s="2"/>
      <c r="J67" s="7">
        <f t="shared" si="20"/>
        <v>2.1082779002715921E-3</v>
      </c>
      <c r="K67" s="2"/>
      <c r="L67" s="6">
        <f t="shared" si="21"/>
        <v>-10.150000000000006</v>
      </c>
      <c r="M67" s="2"/>
      <c r="N67" s="7">
        <f t="shared" si="22"/>
        <v>-8.9791224345364518E-2</v>
      </c>
      <c r="O67" s="11"/>
      <c r="P67" s="6">
        <v>384.03</v>
      </c>
      <c r="Q67" s="2"/>
      <c r="R67" s="7">
        <f t="shared" si="23"/>
        <v>1.3504915827340757E-3</v>
      </c>
      <c r="S67" s="2"/>
      <c r="T67" s="6">
        <v>1177.6400000000001</v>
      </c>
      <c r="U67" s="2"/>
      <c r="V67" s="7">
        <f t="shared" si="24"/>
        <v>4.4921668403367773E-3</v>
      </c>
      <c r="W67" s="2"/>
      <c r="X67" s="6">
        <f t="shared" si="25"/>
        <v>-793.61000000000013</v>
      </c>
      <c r="Y67" s="2"/>
      <c r="Z67" s="7">
        <f t="shared" si="26"/>
        <v>-0.67389864474712147</v>
      </c>
    </row>
    <row r="68" spans="1:26" s="24" customFormat="1" hidden="1" outlineLevel="2" x14ac:dyDescent="0.25">
      <c r="A68" s="26"/>
      <c r="B68" s="11" t="str">
        <f>CONCATENATE("          ", "6156", " - ", "EMPLOYEE MEALS")</f>
        <v xml:space="preserve">          6156 - EMPLOYEE MEALS</v>
      </c>
      <c r="C68" s="11"/>
      <c r="D68" s="6"/>
      <c r="E68" s="2"/>
      <c r="F68" s="7">
        <f t="shared" si="19"/>
        <v>0</v>
      </c>
      <c r="G68" s="2"/>
      <c r="H68" s="6">
        <v>448.85</v>
      </c>
      <c r="I68" s="2"/>
      <c r="J68" s="7">
        <f t="shared" si="20"/>
        <v>8.3713777029096256E-3</v>
      </c>
      <c r="K68" s="2"/>
      <c r="L68" s="6">
        <f t="shared" si="21"/>
        <v>-448.85</v>
      </c>
      <c r="M68" s="2"/>
      <c r="N68" s="7">
        <f t="shared" si="22"/>
        <v>-1</v>
      </c>
      <c r="O68" s="11"/>
      <c r="P68" s="6">
        <v>489.5</v>
      </c>
      <c r="Q68" s="2"/>
      <c r="R68" s="7">
        <f t="shared" si="23"/>
        <v>1.7213905938294667E-3</v>
      </c>
      <c r="S68" s="2"/>
      <c r="T68" s="6">
        <v>1185.1300000000001</v>
      </c>
      <c r="U68" s="2"/>
      <c r="V68" s="7">
        <f t="shared" si="24"/>
        <v>4.5207378209710311E-3</v>
      </c>
      <c r="W68" s="2"/>
      <c r="X68" s="6">
        <f t="shared" si="25"/>
        <v>-695.63000000000011</v>
      </c>
      <c r="Y68" s="2"/>
      <c r="Z68" s="7">
        <f t="shared" si="26"/>
        <v>-0.586965143064474</v>
      </c>
    </row>
    <row r="69" spans="1:26" s="27" customFormat="1" outlineLevel="1" collapsed="1" x14ac:dyDescent="0.25">
      <c r="A69" s="25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10739.71</v>
      </c>
      <c r="E69" s="1"/>
      <c r="F69" s="5">
        <f t="shared" ref="F69:F73" si="27">IF(D$12=0,0,D69/D$12)</f>
        <v>0.20631197210371666</v>
      </c>
      <c r="G69" s="1"/>
      <c r="H69" s="1">
        <f>SUM(OSRRefH22_1x_0)</f>
        <v>9687.2899999999991</v>
      </c>
      <c r="I69" s="1"/>
      <c r="J69" s="5">
        <f t="shared" ref="J69:J73" si="28">IF(H$12=0,0,H69/H$12)</f>
        <v>0.18067497718083853</v>
      </c>
      <c r="K69" s="1"/>
      <c r="L69" s="1">
        <f t="shared" ref="L69:L73" si="29">+D69-H69</f>
        <v>1052.42</v>
      </c>
      <c r="M69" s="1"/>
      <c r="N69" s="5">
        <f t="shared" ref="N69:N73" si="30">IF(H69=0,0,L69/H69)</f>
        <v>0.10863925824456584</v>
      </c>
      <c r="O69" s="13"/>
      <c r="P69" s="1">
        <f>SUM(OSRRefP22_1x_0)</f>
        <v>66128.95</v>
      </c>
      <c r="Q69" s="1"/>
      <c r="R69" s="5">
        <f t="shared" ref="R69:R73" si="31">IF(P$12=0,0,P69/P$12)</f>
        <v>0.2325510776502944</v>
      </c>
      <c r="S69" s="1"/>
      <c r="T69" s="1">
        <f>SUM(OSRRefT22_1x_0)</f>
        <v>63662.180000000008</v>
      </c>
      <c r="U69" s="1"/>
      <c r="V69" s="5">
        <f t="shared" ref="V69:V73" si="32">IF(T$12=0,0,T69/T$12)</f>
        <v>0.24284257835972892</v>
      </c>
      <c r="W69" s="1"/>
      <c r="X69" s="1">
        <f t="shared" ref="X69:X73" si="33">+P69-T69</f>
        <v>2466.7699999999895</v>
      </c>
      <c r="Y69" s="1"/>
      <c r="Z69" s="5">
        <f t="shared" ref="Z69:Z73" si="34">IF(T69=0,0,X69/T69)</f>
        <v>3.8747809138800923E-2</v>
      </c>
    </row>
    <row r="70" spans="1:26" s="24" customFormat="1" hidden="1" outlineLevel="2" x14ac:dyDescent="0.25">
      <c r="A70" s="26"/>
      <c r="B70" s="11" t="str">
        <f>CONCATENATE("          ", "6002", " - ", "STAFF SALARIES")</f>
        <v xml:space="preserve">          6002 - STAFF SALARIES</v>
      </c>
      <c r="C70" s="11"/>
      <c r="D70" s="6">
        <v>2230.7600000000002</v>
      </c>
      <c r="E70" s="2"/>
      <c r="F70" s="7">
        <f t="shared" si="27"/>
        <v>4.285334472626235E-2</v>
      </c>
      <c r="G70" s="2"/>
      <c r="H70" s="6">
        <v>2450.62</v>
      </c>
      <c r="I70" s="2"/>
      <c r="J70" s="7">
        <f t="shared" si="28"/>
        <v>4.5705838534709553E-2</v>
      </c>
      <c r="K70" s="2"/>
      <c r="L70" s="6">
        <f t="shared" si="29"/>
        <v>-219.85999999999967</v>
      </c>
      <c r="M70" s="2"/>
      <c r="N70" s="7">
        <f t="shared" si="30"/>
        <v>-8.9716071851204865E-2</v>
      </c>
      <c r="O70" s="11"/>
      <c r="P70" s="6">
        <v>11656.5</v>
      </c>
      <c r="Q70" s="2"/>
      <c r="R70" s="7">
        <f t="shared" si="31"/>
        <v>4.0991602567871661E-2</v>
      </c>
      <c r="S70" s="2"/>
      <c r="T70" s="6">
        <v>13849.15</v>
      </c>
      <c r="U70" s="2"/>
      <c r="V70" s="7">
        <f t="shared" si="32"/>
        <v>5.2828277229756179E-2</v>
      </c>
      <c r="W70" s="2"/>
      <c r="X70" s="6">
        <f t="shared" si="33"/>
        <v>-2192.6499999999996</v>
      </c>
      <c r="Y70" s="2"/>
      <c r="Z70" s="7">
        <f t="shared" si="34"/>
        <v>-0.15832379604524463</v>
      </c>
    </row>
    <row r="71" spans="1:26" s="24" customFormat="1" hidden="1" outlineLevel="2" x14ac:dyDescent="0.25">
      <c r="A71" s="26"/>
      <c r="B71" s="11" t="str">
        <f>CONCATENATE("          ", "6005", " - ", "TEMPORARY WAGES-HOURLY")</f>
        <v xml:space="preserve">          6005 - TEMPORARY WAGES-HOURLY</v>
      </c>
      <c r="C71" s="11"/>
      <c r="D71" s="6">
        <v>1912.5</v>
      </c>
      <c r="E71" s="2"/>
      <c r="F71" s="7">
        <f t="shared" si="27"/>
        <v>3.6739506620603171E-2</v>
      </c>
      <c r="G71" s="2"/>
      <c r="H71" s="6">
        <v>1706.35</v>
      </c>
      <c r="I71" s="2"/>
      <c r="J71" s="7">
        <f t="shared" si="28"/>
        <v>3.1824663792714356E-2</v>
      </c>
      <c r="K71" s="2"/>
      <c r="L71" s="6">
        <f t="shared" si="29"/>
        <v>206.15000000000009</v>
      </c>
      <c r="M71" s="2"/>
      <c r="N71" s="7">
        <f t="shared" si="30"/>
        <v>0.12081343217979905</v>
      </c>
      <c r="O71" s="11"/>
      <c r="P71" s="6">
        <v>4357.0200000000004</v>
      </c>
      <c r="Q71" s="2"/>
      <c r="R71" s="7">
        <f t="shared" si="31"/>
        <v>1.5322029101382766E-2</v>
      </c>
      <c r="S71" s="2"/>
      <c r="T71" s="6">
        <v>11717.11</v>
      </c>
      <c r="U71" s="2"/>
      <c r="V71" s="7">
        <f t="shared" si="32"/>
        <v>4.4695503724889146E-2</v>
      </c>
      <c r="W71" s="2"/>
      <c r="X71" s="6">
        <f t="shared" si="33"/>
        <v>-7360.09</v>
      </c>
      <c r="Y71" s="2"/>
      <c r="Z71" s="7">
        <f t="shared" si="34"/>
        <v>-0.62814892068095285</v>
      </c>
    </row>
    <row r="72" spans="1:26" s="24" customFormat="1" hidden="1" outlineLevel="2" x14ac:dyDescent="0.25">
      <c r="A72" s="26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7"/>
        <v>0</v>
      </c>
      <c r="G72" s="2"/>
      <c r="H72" s="6"/>
      <c r="I72" s="2"/>
      <c r="J72" s="7">
        <f t="shared" si="28"/>
        <v>0</v>
      </c>
      <c r="K72" s="2"/>
      <c r="L72" s="6">
        <f t="shared" si="29"/>
        <v>0</v>
      </c>
      <c r="M72" s="2"/>
      <c r="N72" s="7">
        <f t="shared" si="30"/>
        <v>0</v>
      </c>
      <c r="O72" s="11"/>
      <c r="P72" s="6"/>
      <c r="Q72" s="2"/>
      <c r="R72" s="7">
        <f t="shared" si="31"/>
        <v>0</v>
      </c>
      <c r="S72" s="2"/>
      <c r="T72" s="6">
        <v>2864.13</v>
      </c>
      <c r="U72" s="2"/>
      <c r="V72" s="7">
        <f t="shared" si="32"/>
        <v>1.0925367525231627E-2</v>
      </c>
      <c r="W72" s="2"/>
      <c r="X72" s="6">
        <f t="shared" si="33"/>
        <v>-2864.13</v>
      </c>
      <c r="Y72" s="2"/>
      <c r="Z72" s="7">
        <f t="shared" si="34"/>
        <v>-1</v>
      </c>
    </row>
    <row r="73" spans="1:26" s="24" customFormat="1" hidden="1" outlineLevel="2" x14ac:dyDescent="0.25">
      <c r="A73" s="26"/>
      <c r="B73" s="11" t="str">
        <f>CONCATENATE("          ", "6007", " - ", "STUDENT HOURLY")</f>
        <v xml:space="preserve">          6007 - STUDENT HOURLY</v>
      </c>
      <c r="C73" s="11"/>
      <c r="D73" s="6">
        <v>6596.45</v>
      </c>
      <c r="E73" s="2"/>
      <c r="F73" s="7">
        <f t="shared" si="27"/>
        <v>0.12671912075685113</v>
      </c>
      <c r="G73" s="2"/>
      <c r="H73" s="6">
        <v>5530.32</v>
      </c>
      <c r="I73" s="2"/>
      <c r="J73" s="7">
        <f t="shared" si="28"/>
        <v>0.10314447485341462</v>
      </c>
      <c r="K73" s="2"/>
      <c r="L73" s="6">
        <f t="shared" si="29"/>
        <v>1066.1300000000001</v>
      </c>
      <c r="M73" s="2"/>
      <c r="N73" s="7">
        <f t="shared" si="30"/>
        <v>0.19277907969159111</v>
      </c>
      <c r="O73" s="11"/>
      <c r="P73" s="6">
        <v>50115.43</v>
      </c>
      <c r="Q73" s="2"/>
      <c r="R73" s="7">
        <f t="shared" si="31"/>
        <v>0.17623744598103999</v>
      </c>
      <c r="S73" s="2"/>
      <c r="T73" s="6">
        <v>35231.79</v>
      </c>
      <c r="U73" s="2"/>
      <c r="V73" s="7">
        <f t="shared" si="32"/>
        <v>0.13439342987985195</v>
      </c>
      <c r="W73" s="2"/>
      <c r="X73" s="6">
        <f t="shared" si="33"/>
        <v>14883.64</v>
      </c>
      <c r="Y73" s="2"/>
      <c r="Z73" s="7">
        <f t="shared" si="34"/>
        <v>0.42244915742288425</v>
      </c>
    </row>
    <row r="74" spans="1:26" s="27" customFormat="1" outlineLevel="1" collapsed="1" x14ac:dyDescent="0.25">
      <c r="A74" s="25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579.15</v>
      </c>
      <c r="E74" s="1"/>
      <c r="F74" s="5">
        <f t="shared" ref="F74:F98" si="35">IF(D$12=0,0,D74/D$12)</f>
        <v>1.1125587063697949E-2</v>
      </c>
      <c r="G74" s="1"/>
      <c r="H74" s="1">
        <f>SUM(OSRRefH22_2x_0)</f>
        <v>509.39</v>
      </c>
      <c r="I74" s="1"/>
      <c r="J74" s="5">
        <f t="shared" ref="J74:J98" si="36">IF(H$12=0,0,H74/H$12)</f>
        <v>9.5004925656346963E-3</v>
      </c>
      <c r="K74" s="1"/>
      <c r="L74" s="1">
        <f t="shared" ref="L74:L98" si="37">+D74-H74</f>
        <v>69.759999999999991</v>
      </c>
      <c r="M74" s="1"/>
      <c r="N74" s="5">
        <f t="shared" ref="N74:N98" si="38">IF(H74=0,0,L74/H74)</f>
        <v>0.13694811441135474</v>
      </c>
      <c r="O74" s="13"/>
      <c r="P74" s="1">
        <f>SUM(OSRRefP22_2x_0)</f>
        <v>2345.38</v>
      </c>
      <c r="Q74" s="1"/>
      <c r="R74" s="5">
        <f t="shared" ref="R74:R98" si="39">IF(P$12=0,0,P74/P$12)</f>
        <v>8.247834669981113E-3</v>
      </c>
      <c r="S74" s="1"/>
      <c r="T74" s="1">
        <f>SUM(OSRRefT22_2x_0)</f>
        <v>2889.7</v>
      </c>
      <c r="U74" s="1"/>
      <c r="V74" s="5">
        <f t="shared" ref="V74:V98" si="40">IF(T$12=0,0,T74/T$12)</f>
        <v>1.1022905572603837E-2</v>
      </c>
      <c r="W74" s="1"/>
      <c r="X74" s="1">
        <f t="shared" ref="X74:X98" si="41">+P74-T74</f>
        <v>-544.31999999999971</v>
      </c>
      <c r="Y74" s="1"/>
      <c r="Z74" s="5">
        <f t="shared" ref="Z74:Z98" si="42">IF(T74=0,0,X74/T74)</f>
        <v>-0.18836557428106715</v>
      </c>
    </row>
    <row r="75" spans="1:26" s="24" customFormat="1" hidden="1" outlineLevel="2" x14ac:dyDescent="0.25">
      <c r="A75" s="26"/>
      <c r="B75" s="11" t="str">
        <f>CONCATENATE("          ", "6362", " - ", "ADVERTISING EXPENSE")</f>
        <v xml:space="preserve">          6362 - ADVERTISING EXPENSE</v>
      </c>
      <c r="C75" s="11"/>
      <c r="D75" s="6">
        <v>579.15</v>
      </c>
      <c r="E75" s="2"/>
      <c r="F75" s="7">
        <f t="shared" si="35"/>
        <v>1.1125587063697949E-2</v>
      </c>
      <c r="G75" s="2"/>
      <c r="H75" s="6">
        <v>509.39</v>
      </c>
      <c r="I75" s="2"/>
      <c r="J75" s="7">
        <f t="shared" si="36"/>
        <v>9.5004925656346963E-3</v>
      </c>
      <c r="K75" s="2"/>
      <c r="L75" s="6">
        <f t="shared" si="37"/>
        <v>69.759999999999991</v>
      </c>
      <c r="M75" s="2"/>
      <c r="N75" s="7">
        <f t="shared" si="38"/>
        <v>0.13694811441135474</v>
      </c>
      <c r="O75" s="11"/>
      <c r="P75" s="6">
        <v>2345.38</v>
      </c>
      <c r="Q75" s="2"/>
      <c r="R75" s="7">
        <f t="shared" si="39"/>
        <v>8.247834669981113E-3</v>
      </c>
      <c r="S75" s="2"/>
      <c r="T75" s="6">
        <v>2889.7</v>
      </c>
      <c r="U75" s="2"/>
      <c r="V75" s="7">
        <f t="shared" si="40"/>
        <v>1.1022905572603837E-2</v>
      </c>
      <c r="W75" s="2"/>
      <c r="X75" s="6">
        <f t="shared" si="41"/>
        <v>-544.31999999999971</v>
      </c>
      <c r="Y75" s="2"/>
      <c r="Z75" s="7">
        <f t="shared" si="42"/>
        <v>-0.18836557428106715</v>
      </c>
    </row>
    <row r="76" spans="1:26" s="27" customFormat="1" outlineLevel="1" collapsed="1" x14ac:dyDescent="0.25">
      <c r="A76" s="25"/>
      <c r="B76" s="13" t="str">
        <f>CONCATENATE("     ","Bad Debts/Over/Short                              ")</f>
        <v xml:space="preserve">     Bad Debts/Over/Short                              </v>
      </c>
      <c r="C76" s="13"/>
      <c r="D76" s="1">
        <f>SUM(OSRRefD22_3x_0)</f>
        <v>18.809999999999999</v>
      </c>
      <c r="E76" s="1"/>
      <c r="F76" s="5">
        <f t="shared" si="35"/>
        <v>3.6134385335087355E-4</v>
      </c>
      <c r="G76" s="1"/>
      <c r="H76" s="1">
        <f>SUM(OSRRefH22_3x_0)</f>
        <v>-1.05</v>
      </c>
      <c r="I76" s="1"/>
      <c r="J76" s="5">
        <f t="shared" si="36"/>
        <v>-1.9583260750930391E-5</v>
      </c>
      <c r="K76" s="1"/>
      <c r="L76" s="1">
        <f t="shared" si="37"/>
        <v>19.86</v>
      </c>
      <c r="M76" s="1"/>
      <c r="N76" s="5">
        <f t="shared" si="38"/>
        <v>-18.914285714285715</v>
      </c>
      <c r="O76" s="13"/>
      <c r="P76" s="1">
        <f>SUM(OSRRefP22_3x_0)</f>
        <v>45.94</v>
      </c>
      <c r="Q76" s="1"/>
      <c r="R76" s="5">
        <f t="shared" si="39"/>
        <v>1.6155400179882675E-4</v>
      </c>
      <c r="S76" s="1"/>
      <c r="T76" s="1">
        <f>SUM(OSRRefT22_3x_0)</f>
        <v>97.99</v>
      </c>
      <c r="U76" s="1"/>
      <c r="V76" s="5">
        <f t="shared" si="40"/>
        <v>3.7378776933918745E-4</v>
      </c>
      <c r="W76" s="1"/>
      <c r="X76" s="1">
        <f t="shared" si="41"/>
        <v>-52.05</v>
      </c>
      <c r="Y76" s="1"/>
      <c r="Z76" s="5">
        <f t="shared" si="42"/>
        <v>-0.53117665067864073</v>
      </c>
    </row>
    <row r="77" spans="1:26" s="24" customFormat="1" hidden="1" outlineLevel="2" x14ac:dyDescent="0.25">
      <c r="A77" s="26"/>
      <c r="B77" s="11" t="str">
        <f>CONCATENATE("          ", "6272", " - ", "CASH (OVER/SHORT)")</f>
        <v xml:space="preserve">          6272 - CASH (OVER/SHORT)</v>
      </c>
      <c r="C77" s="11"/>
      <c r="D77" s="6">
        <v>18.809999999999999</v>
      </c>
      <c r="E77" s="2"/>
      <c r="F77" s="7">
        <f t="shared" si="35"/>
        <v>3.6134385335087355E-4</v>
      </c>
      <c r="G77" s="2"/>
      <c r="H77" s="6">
        <v>-1.05</v>
      </c>
      <c r="I77" s="2"/>
      <c r="J77" s="7">
        <f t="shared" si="36"/>
        <v>-1.9583260750930391E-5</v>
      </c>
      <c r="K77" s="2"/>
      <c r="L77" s="6">
        <f t="shared" si="37"/>
        <v>19.86</v>
      </c>
      <c r="M77" s="2"/>
      <c r="N77" s="7">
        <f t="shared" si="38"/>
        <v>-18.914285714285715</v>
      </c>
      <c r="O77" s="11"/>
      <c r="P77" s="6">
        <v>45.94</v>
      </c>
      <c r="Q77" s="2"/>
      <c r="R77" s="7">
        <f t="shared" si="39"/>
        <v>1.6155400179882675E-4</v>
      </c>
      <c r="S77" s="2"/>
      <c r="T77" s="6">
        <v>97.99</v>
      </c>
      <c r="U77" s="2"/>
      <c r="V77" s="7">
        <f t="shared" si="40"/>
        <v>3.7378776933918745E-4</v>
      </c>
      <c r="W77" s="2"/>
      <c r="X77" s="6">
        <f t="shared" si="41"/>
        <v>-52.05</v>
      </c>
      <c r="Y77" s="2"/>
      <c r="Z77" s="7">
        <f t="shared" si="42"/>
        <v>-0.53117665067864073</v>
      </c>
    </row>
    <row r="78" spans="1:26" s="27" customFormat="1" outlineLevel="1" collapsed="1" x14ac:dyDescent="0.25">
      <c r="A78" s="25"/>
      <c r="B78" s="13" t="str">
        <f>CONCATENATE("     ","Bank/card Fees                                    ")</f>
        <v xml:space="preserve">     Bank/card Fees                                    </v>
      </c>
      <c r="C78" s="13"/>
      <c r="D78" s="1">
        <f>SUM(OSRRefD22_4x_0)</f>
        <v>1503.49</v>
      </c>
      <c r="E78" s="1"/>
      <c r="F78" s="5">
        <f t="shared" si="35"/>
        <v>2.8882342906672243E-2</v>
      </c>
      <c r="G78" s="1"/>
      <c r="H78" s="1">
        <f>SUM(OSRRefH22_4x_0)</f>
        <v>1178.8599999999999</v>
      </c>
      <c r="I78" s="1"/>
      <c r="J78" s="5">
        <f t="shared" si="36"/>
        <v>2.1986593113182667E-2</v>
      </c>
      <c r="K78" s="1"/>
      <c r="L78" s="1">
        <f t="shared" si="37"/>
        <v>324.63000000000011</v>
      </c>
      <c r="M78" s="1"/>
      <c r="N78" s="5">
        <f t="shared" si="38"/>
        <v>0.27537621091563047</v>
      </c>
      <c r="O78" s="13"/>
      <c r="P78" s="1">
        <f>SUM(OSRRefP22_4x_0)</f>
        <v>4684.47</v>
      </c>
      <c r="Q78" s="1"/>
      <c r="R78" s="5">
        <f t="shared" si="39"/>
        <v>1.6473549734578801E-2</v>
      </c>
      <c r="S78" s="1"/>
      <c r="T78" s="1">
        <f>SUM(OSRRefT22_4x_0)</f>
        <v>4132.55</v>
      </c>
      <c r="U78" s="1"/>
      <c r="V78" s="5">
        <f t="shared" si="40"/>
        <v>1.576381922831574E-2</v>
      </c>
      <c r="W78" s="1"/>
      <c r="X78" s="1">
        <f t="shared" si="41"/>
        <v>551.92000000000007</v>
      </c>
      <c r="Y78" s="1"/>
      <c r="Z78" s="5">
        <f t="shared" si="42"/>
        <v>0.13355434296015778</v>
      </c>
    </row>
    <row r="79" spans="1:26" s="24" customFormat="1" hidden="1" outlineLevel="2" x14ac:dyDescent="0.25">
      <c r="A79" s="26"/>
      <c r="B79" s="11" t="str">
        <f>CONCATENATE("          ", "6381", " - ", "BANK/CREDIT CARD FEES")</f>
        <v xml:space="preserve">          6381 - BANK/CREDIT CARD FEES</v>
      </c>
      <c r="C79" s="11"/>
      <c r="D79" s="6">
        <v>1503.49</v>
      </c>
      <c r="E79" s="2"/>
      <c r="F79" s="7">
        <f t="shared" si="35"/>
        <v>2.8882342906672243E-2</v>
      </c>
      <c r="G79" s="2"/>
      <c r="H79" s="6">
        <v>1178.8599999999999</v>
      </c>
      <c r="I79" s="2"/>
      <c r="J79" s="7">
        <f t="shared" si="36"/>
        <v>2.1986593113182667E-2</v>
      </c>
      <c r="K79" s="2"/>
      <c r="L79" s="6">
        <f t="shared" si="37"/>
        <v>324.63000000000011</v>
      </c>
      <c r="M79" s="2"/>
      <c r="N79" s="7">
        <f t="shared" si="38"/>
        <v>0.27537621091563047</v>
      </c>
      <c r="O79" s="11"/>
      <c r="P79" s="6">
        <v>4684.47</v>
      </c>
      <c r="Q79" s="2"/>
      <c r="R79" s="7">
        <f t="shared" si="39"/>
        <v>1.6473549734578801E-2</v>
      </c>
      <c r="S79" s="2"/>
      <c r="T79" s="6">
        <v>4132.55</v>
      </c>
      <c r="U79" s="2"/>
      <c r="V79" s="7">
        <f t="shared" si="40"/>
        <v>1.576381922831574E-2</v>
      </c>
      <c r="W79" s="2"/>
      <c r="X79" s="6">
        <f t="shared" si="41"/>
        <v>551.92000000000007</v>
      </c>
      <c r="Y79" s="2"/>
      <c r="Z79" s="7">
        <f t="shared" si="42"/>
        <v>0.13355434296015778</v>
      </c>
    </row>
    <row r="80" spans="1:26" s="27" customFormat="1" outlineLevel="1" collapsed="1" x14ac:dyDescent="0.25">
      <c r="A80" s="25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SUM(OSRRefD22_5x_0)</f>
        <v>11230.78</v>
      </c>
      <c r="E80" s="1"/>
      <c r="F80" s="5">
        <f t="shared" si="35"/>
        <v>0.21574552479191517</v>
      </c>
      <c r="G80" s="1"/>
      <c r="H80" s="1">
        <f>SUM(OSRRefH22_5x_0)</f>
        <v>9645.0400000000009</v>
      </c>
      <c r="I80" s="1"/>
      <c r="J80" s="5">
        <f t="shared" si="36"/>
        <v>0.17988698406967016</v>
      </c>
      <c r="K80" s="1"/>
      <c r="L80" s="1">
        <f t="shared" si="37"/>
        <v>1585.7399999999998</v>
      </c>
      <c r="M80" s="1"/>
      <c r="N80" s="5">
        <f t="shared" si="38"/>
        <v>0.16440989358260821</v>
      </c>
      <c r="O80" s="13"/>
      <c r="P80" s="1">
        <f>SUM(OSRRefP22_5x_0)</f>
        <v>48429.36</v>
      </c>
      <c r="Q80" s="1"/>
      <c r="R80" s="5">
        <f t="shared" si="39"/>
        <v>0.17030816091763232</v>
      </c>
      <c r="S80" s="1"/>
      <c r="T80" s="1">
        <f>SUM(OSRRefT22_5x_0)</f>
        <v>29335.66</v>
      </c>
      <c r="U80" s="1"/>
      <c r="V80" s="5">
        <f t="shared" si="40"/>
        <v>0.11190234629546718</v>
      </c>
      <c r="W80" s="1"/>
      <c r="X80" s="1">
        <f t="shared" si="41"/>
        <v>19093.7</v>
      </c>
      <c r="Y80" s="1"/>
      <c r="Z80" s="5">
        <f t="shared" si="42"/>
        <v>0.65086996508686024</v>
      </c>
    </row>
    <row r="81" spans="1:26" s="24" customFormat="1" hidden="1" outlineLevel="2" x14ac:dyDescent="0.25">
      <c r="A81" s="26"/>
      <c r="B81" s="11" t="str">
        <f>CONCATENATE("          ", "6382", " - ", "DISCOUNTS/MARK DOWNS")</f>
        <v xml:space="preserve">          6382 - DISCOUNTS/MARK DOWNS</v>
      </c>
      <c r="C81" s="11"/>
      <c r="D81" s="6">
        <v>11230.78</v>
      </c>
      <c r="E81" s="2"/>
      <c r="F81" s="7">
        <f t="shared" si="35"/>
        <v>0.21574552479191517</v>
      </c>
      <c r="G81" s="2"/>
      <c r="H81" s="6">
        <v>9645.0400000000009</v>
      </c>
      <c r="I81" s="2"/>
      <c r="J81" s="7">
        <f t="shared" si="36"/>
        <v>0.17988698406967016</v>
      </c>
      <c r="K81" s="2"/>
      <c r="L81" s="6">
        <f t="shared" si="37"/>
        <v>1585.7399999999998</v>
      </c>
      <c r="M81" s="2"/>
      <c r="N81" s="7">
        <f t="shared" si="38"/>
        <v>0.16440989358260821</v>
      </c>
      <c r="O81" s="11"/>
      <c r="P81" s="6">
        <v>48429.36</v>
      </c>
      <c r="Q81" s="2"/>
      <c r="R81" s="7">
        <f t="shared" si="39"/>
        <v>0.17030816091763232</v>
      </c>
      <c r="S81" s="2"/>
      <c r="T81" s="6">
        <v>29335.66</v>
      </c>
      <c r="U81" s="2"/>
      <c r="V81" s="7">
        <f t="shared" si="40"/>
        <v>0.11190234629546718</v>
      </c>
      <c r="W81" s="2"/>
      <c r="X81" s="6">
        <f t="shared" si="41"/>
        <v>19093.7</v>
      </c>
      <c r="Y81" s="2"/>
      <c r="Z81" s="7">
        <f t="shared" si="42"/>
        <v>0.65086996508686024</v>
      </c>
    </row>
    <row r="82" spans="1:26" s="27" customFormat="1" outlineLevel="1" collapsed="1" x14ac:dyDescent="0.25">
      <c r="A82" s="25"/>
      <c r="B82" s="13" t="str">
        <f>CONCATENATE("     ","Donations                                         ")</f>
        <v xml:space="preserve">     Donations                                         </v>
      </c>
      <c r="C82" s="13"/>
      <c r="D82" s="1">
        <f>SUM(OSRRefD22_6x_0)</f>
        <v>0</v>
      </c>
      <c r="E82" s="1"/>
      <c r="F82" s="5">
        <f t="shared" si="35"/>
        <v>0</v>
      </c>
      <c r="G82" s="1"/>
      <c r="H82" s="1">
        <f>SUM(OSRRefH22_6x_0)</f>
        <v>0</v>
      </c>
      <c r="I82" s="1"/>
      <c r="J82" s="5">
        <f t="shared" si="36"/>
        <v>0</v>
      </c>
      <c r="K82" s="1"/>
      <c r="L82" s="1">
        <f t="shared" si="37"/>
        <v>0</v>
      </c>
      <c r="M82" s="1"/>
      <c r="N82" s="5">
        <f t="shared" si="38"/>
        <v>0</v>
      </c>
      <c r="O82" s="13"/>
      <c r="P82" s="1">
        <f>SUM(OSRRefP22_6x_0)</f>
        <v>0</v>
      </c>
      <c r="Q82" s="1"/>
      <c r="R82" s="5">
        <f t="shared" si="39"/>
        <v>0</v>
      </c>
      <c r="S82" s="1"/>
      <c r="T82" s="1">
        <f>SUM(OSRRefT22_6x_0)</f>
        <v>124.88</v>
      </c>
      <c r="U82" s="1"/>
      <c r="V82" s="5">
        <f t="shared" si="40"/>
        <v>4.7636102291129435E-4</v>
      </c>
      <c r="W82" s="1"/>
      <c r="X82" s="1">
        <f t="shared" si="41"/>
        <v>-124.88</v>
      </c>
      <c r="Y82" s="1"/>
      <c r="Z82" s="5">
        <f t="shared" si="42"/>
        <v>-1</v>
      </c>
    </row>
    <row r="83" spans="1:26" s="24" customFormat="1" hidden="1" outlineLevel="2" x14ac:dyDescent="0.25">
      <c r="A83" s="26"/>
      <c r="B83" s="11" t="str">
        <f>CONCATENATE("          ", "6399", " - ", "DONATION-ON CAMPUS")</f>
        <v xml:space="preserve">          6399 - DONATION-ON CAMPUS</v>
      </c>
      <c r="C83" s="11"/>
      <c r="D83" s="6"/>
      <c r="E83" s="2"/>
      <c r="F83" s="7">
        <f t="shared" si="35"/>
        <v>0</v>
      </c>
      <c r="G83" s="2"/>
      <c r="H83" s="6"/>
      <c r="I83" s="2"/>
      <c r="J83" s="7">
        <f t="shared" si="36"/>
        <v>0</v>
      </c>
      <c r="K83" s="2"/>
      <c r="L83" s="6">
        <f t="shared" si="37"/>
        <v>0</v>
      </c>
      <c r="M83" s="2"/>
      <c r="N83" s="7">
        <f t="shared" si="38"/>
        <v>0</v>
      </c>
      <c r="O83" s="11"/>
      <c r="P83" s="6"/>
      <c r="Q83" s="2"/>
      <c r="R83" s="7">
        <f t="shared" si="39"/>
        <v>0</v>
      </c>
      <c r="S83" s="2"/>
      <c r="T83" s="6">
        <v>124.88</v>
      </c>
      <c r="U83" s="2"/>
      <c r="V83" s="7">
        <f t="shared" si="40"/>
        <v>4.7636102291129435E-4</v>
      </c>
      <c r="W83" s="2"/>
      <c r="X83" s="6">
        <f t="shared" si="41"/>
        <v>-124.88</v>
      </c>
      <c r="Y83" s="2"/>
      <c r="Z83" s="7">
        <f t="shared" si="42"/>
        <v>-1</v>
      </c>
    </row>
    <row r="84" spans="1:26" s="27" customFormat="1" outlineLevel="1" collapsed="1" x14ac:dyDescent="0.25">
      <c r="A84" s="25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SUM(OSRRefD22_7x_0)</f>
        <v>0</v>
      </c>
      <c r="E84" s="1"/>
      <c r="F84" s="5">
        <f t="shared" si="35"/>
        <v>0</v>
      </c>
      <c r="G84" s="1"/>
      <c r="H84" s="1">
        <f>SUM(OSRRefH22_7x_0)</f>
        <v>0</v>
      </c>
      <c r="I84" s="1"/>
      <c r="J84" s="5">
        <f t="shared" si="36"/>
        <v>0</v>
      </c>
      <c r="K84" s="1"/>
      <c r="L84" s="1">
        <f t="shared" si="37"/>
        <v>0</v>
      </c>
      <c r="M84" s="1"/>
      <c r="N84" s="5">
        <f t="shared" si="38"/>
        <v>0</v>
      </c>
      <c r="O84" s="13"/>
      <c r="P84" s="1">
        <f>SUM(OSRRefP22_7x_0)</f>
        <v>120.93</v>
      </c>
      <c r="Q84" s="1"/>
      <c r="R84" s="5">
        <f t="shared" si="39"/>
        <v>4.2526611749090382E-4</v>
      </c>
      <c r="S84" s="1"/>
      <c r="T84" s="1">
        <f>SUM(OSRRefT22_7x_0)</f>
        <v>75.53</v>
      </c>
      <c r="U84" s="1"/>
      <c r="V84" s="5">
        <f t="shared" si="40"/>
        <v>2.8811297293794092E-4</v>
      </c>
      <c r="W84" s="1"/>
      <c r="X84" s="1">
        <f t="shared" si="41"/>
        <v>45.400000000000006</v>
      </c>
      <c r="Y84" s="1"/>
      <c r="Z84" s="5">
        <f t="shared" si="42"/>
        <v>0.60108566132662522</v>
      </c>
    </row>
    <row r="85" spans="1:26" s="24" customFormat="1" hidden="1" outlineLevel="2" x14ac:dyDescent="0.25">
      <c r="A85" s="26"/>
      <c r="B85" s="11" t="str">
        <f>CONCATENATE("          ", "6277", " - ", "EMPLOYEE APPRECIATION")</f>
        <v xml:space="preserve">          6277 - EMPLOYEE APPRECIATION</v>
      </c>
      <c r="C85" s="11"/>
      <c r="D85" s="6"/>
      <c r="E85" s="2"/>
      <c r="F85" s="7">
        <f t="shared" si="35"/>
        <v>0</v>
      </c>
      <c r="G85" s="2"/>
      <c r="H85" s="6"/>
      <c r="I85" s="2"/>
      <c r="J85" s="7">
        <f t="shared" si="36"/>
        <v>0</v>
      </c>
      <c r="K85" s="2"/>
      <c r="L85" s="6">
        <f t="shared" si="37"/>
        <v>0</v>
      </c>
      <c r="M85" s="2"/>
      <c r="N85" s="7">
        <f t="shared" si="38"/>
        <v>0</v>
      </c>
      <c r="O85" s="11"/>
      <c r="P85" s="6">
        <v>120.93</v>
      </c>
      <c r="Q85" s="2"/>
      <c r="R85" s="7">
        <f t="shared" si="39"/>
        <v>4.2526611749090382E-4</v>
      </c>
      <c r="S85" s="2"/>
      <c r="T85" s="6">
        <v>75.53</v>
      </c>
      <c r="U85" s="2"/>
      <c r="V85" s="7">
        <f t="shared" si="40"/>
        <v>2.8811297293794092E-4</v>
      </c>
      <c r="W85" s="2"/>
      <c r="X85" s="6">
        <f t="shared" si="41"/>
        <v>45.400000000000006</v>
      </c>
      <c r="Y85" s="2"/>
      <c r="Z85" s="7">
        <f t="shared" si="42"/>
        <v>0.60108566132662522</v>
      </c>
    </row>
    <row r="86" spans="1:26" s="27" customFormat="1" outlineLevel="1" collapsed="1" x14ac:dyDescent="0.25">
      <c r="A86" s="25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SUM(OSRRefD22_8x_0)</f>
        <v>160</v>
      </c>
      <c r="E86" s="1"/>
      <c r="F86" s="5">
        <f t="shared" si="35"/>
        <v>3.0736319264295466E-3</v>
      </c>
      <c r="G86" s="1"/>
      <c r="H86" s="1">
        <f>SUM(OSRRefH22_8x_0)</f>
        <v>160</v>
      </c>
      <c r="I86" s="1"/>
      <c r="J86" s="5">
        <f t="shared" si="36"/>
        <v>2.9841159239512977E-3</v>
      </c>
      <c r="K86" s="1"/>
      <c r="L86" s="1">
        <f t="shared" si="37"/>
        <v>0</v>
      </c>
      <c r="M86" s="1"/>
      <c r="N86" s="5">
        <f t="shared" si="38"/>
        <v>0</v>
      </c>
      <c r="O86" s="13"/>
      <c r="P86" s="1">
        <f>SUM(OSRRefP22_8x_0)</f>
        <v>1271.44</v>
      </c>
      <c r="Q86" s="1"/>
      <c r="R86" s="5">
        <f t="shared" si="39"/>
        <v>4.4711845896190754E-3</v>
      </c>
      <c r="S86" s="1"/>
      <c r="T86" s="1">
        <f>SUM(OSRRefT22_8x_0)</f>
        <v>1373.66</v>
      </c>
      <c r="U86" s="1"/>
      <c r="V86" s="5">
        <f t="shared" si="40"/>
        <v>5.2398949610212098E-3</v>
      </c>
      <c r="W86" s="1"/>
      <c r="X86" s="1">
        <f t="shared" si="41"/>
        <v>-102.22000000000003</v>
      </c>
      <c r="Y86" s="1"/>
      <c r="Z86" s="5">
        <f t="shared" si="42"/>
        <v>-7.4414338336997524E-2</v>
      </c>
    </row>
    <row r="87" spans="1:26" s="24" customFormat="1" hidden="1" outlineLevel="2" x14ac:dyDescent="0.25">
      <c r="A87" s="26"/>
      <c r="B87" s="11" t="str">
        <f>CONCATENATE("          ", "6279", " - ", "GENERAL EXPENSE")</f>
        <v xml:space="preserve">          6279 - GENERAL EXPENSE</v>
      </c>
      <c r="C87" s="11"/>
      <c r="D87" s="6">
        <v>160</v>
      </c>
      <c r="E87" s="2"/>
      <c r="F87" s="7">
        <f t="shared" si="35"/>
        <v>3.0736319264295466E-3</v>
      </c>
      <c r="G87" s="2"/>
      <c r="H87" s="6">
        <v>160</v>
      </c>
      <c r="I87" s="2"/>
      <c r="J87" s="7">
        <f t="shared" si="36"/>
        <v>2.9841159239512977E-3</v>
      </c>
      <c r="K87" s="2"/>
      <c r="L87" s="6">
        <f t="shared" si="37"/>
        <v>0</v>
      </c>
      <c r="M87" s="2"/>
      <c r="N87" s="7">
        <f t="shared" si="38"/>
        <v>0</v>
      </c>
      <c r="O87" s="11"/>
      <c r="P87" s="6">
        <v>1271.44</v>
      </c>
      <c r="Q87" s="2"/>
      <c r="R87" s="7">
        <f t="shared" si="39"/>
        <v>4.4711845896190754E-3</v>
      </c>
      <c r="S87" s="2"/>
      <c r="T87" s="6">
        <v>1373.66</v>
      </c>
      <c r="U87" s="2"/>
      <c r="V87" s="7">
        <f t="shared" si="40"/>
        <v>5.2398949610212098E-3</v>
      </c>
      <c r="W87" s="2"/>
      <c r="X87" s="6">
        <f t="shared" si="41"/>
        <v>-102.22000000000003</v>
      </c>
      <c r="Y87" s="2"/>
      <c r="Z87" s="7">
        <f t="shared" si="42"/>
        <v>-7.4414338336997524E-2</v>
      </c>
    </row>
    <row r="88" spans="1:26" s="27" customFormat="1" outlineLevel="1" collapsed="1" x14ac:dyDescent="0.25">
      <c r="A88" s="25"/>
      <c r="B88" s="13" t="str">
        <f>CONCATENATE("     ","Insurance                                         ")</f>
        <v xml:space="preserve">     Insurance                                         </v>
      </c>
      <c r="C88" s="13"/>
      <c r="D88" s="1">
        <f>SUM(OSRRefD22_9x_0)</f>
        <v>161.18</v>
      </c>
      <c r="E88" s="1"/>
      <c r="F88" s="5">
        <f t="shared" si="35"/>
        <v>3.0962999618869644E-3</v>
      </c>
      <c r="G88" s="1"/>
      <c r="H88" s="1">
        <f>SUM(OSRRefH22_9x_0)</f>
        <v>151.85</v>
      </c>
      <c r="I88" s="1"/>
      <c r="J88" s="5">
        <f t="shared" si="36"/>
        <v>2.8321125190750285E-3</v>
      </c>
      <c r="K88" s="1"/>
      <c r="L88" s="1">
        <f t="shared" si="37"/>
        <v>9.3300000000000125</v>
      </c>
      <c r="M88" s="1"/>
      <c r="N88" s="5">
        <f t="shared" si="38"/>
        <v>6.1442212709911181E-2</v>
      </c>
      <c r="O88" s="13"/>
      <c r="P88" s="1">
        <f>SUM(OSRRefP22_9x_0)</f>
        <v>967.08</v>
      </c>
      <c r="Q88" s="1"/>
      <c r="R88" s="5">
        <f t="shared" si="39"/>
        <v>3.4008629529736481E-3</v>
      </c>
      <c r="S88" s="1"/>
      <c r="T88" s="1">
        <f>SUM(OSRRefT22_9x_0)</f>
        <v>911.1</v>
      </c>
      <c r="U88" s="1"/>
      <c r="V88" s="5">
        <f t="shared" si="40"/>
        <v>3.4754366429730964E-3</v>
      </c>
      <c r="W88" s="1"/>
      <c r="X88" s="1">
        <f t="shared" si="41"/>
        <v>55.980000000000018</v>
      </c>
      <c r="Y88" s="1"/>
      <c r="Z88" s="5">
        <f t="shared" si="42"/>
        <v>6.1442212709911112E-2</v>
      </c>
    </row>
    <row r="89" spans="1:26" s="24" customFormat="1" hidden="1" outlineLevel="2" x14ac:dyDescent="0.25">
      <c r="A89" s="26"/>
      <c r="B89" s="11" t="str">
        <f>CONCATENATE("          ", "6314", " - ", "LIABILITY INSURANCE")</f>
        <v xml:space="preserve">          6314 - LIABILITY INSURANCE</v>
      </c>
      <c r="C89" s="11"/>
      <c r="D89" s="6">
        <v>161.18</v>
      </c>
      <c r="E89" s="2"/>
      <c r="F89" s="7">
        <f t="shared" si="35"/>
        <v>3.0962999618869644E-3</v>
      </c>
      <c r="G89" s="2"/>
      <c r="H89" s="6">
        <v>151.85</v>
      </c>
      <c r="I89" s="2"/>
      <c r="J89" s="7">
        <f t="shared" si="36"/>
        <v>2.8321125190750285E-3</v>
      </c>
      <c r="K89" s="2"/>
      <c r="L89" s="6">
        <f t="shared" si="37"/>
        <v>9.3300000000000125</v>
      </c>
      <c r="M89" s="2"/>
      <c r="N89" s="7">
        <f t="shared" si="38"/>
        <v>6.1442212709911181E-2</v>
      </c>
      <c r="O89" s="11"/>
      <c r="P89" s="6">
        <v>967.08</v>
      </c>
      <c r="Q89" s="2"/>
      <c r="R89" s="7">
        <f t="shared" si="39"/>
        <v>3.4008629529736481E-3</v>
      </c>
      <c r="S89" s="2"/>
      <c r="T89" s="6">
        <v>911.1</v>
      </c>
      <c r="U89" s="2"/>
      <c r="V89" s="7">
        <f t="shared" si="40"/>
        <v>3.4754366429730964E-3</v>
      </c>
      <c r="W89" s="2"/>
      <c r="X89" s="6">
        <f t="shared" si="41"/>
        <v>55.980000000000018</v>
      </c>
      <c r="Y89" s="2"/>
      <c r="Z89" s="7">
        <f t="shared" si="42"/>
        <v>6.1442212709911112E-2</v>
      </c>
    </row>
    <row r="90" spans="1:26" s="27" customFormat="1" outlineLevel="1" collapsed="1" x14ac:dyDescent="0.25">
      <c r="A90" s="25"/>
      <c r="B90" s="13" t="str">
        <f>CONCATENATE("     ","Inventory Adjustment                              ")</f>
        <v xml:space="preserve">     Inventory Adjustment                              </v>
      </c>
      <c r="C90" s="13"/>
      <c r="D90" s="1">
        <f>SUM(OSRRefD22_10x_0)</f>
        <v>300</v>
      </c>
      <c r="E90" s="1"/>
      <c r="F90" s="5">
        <f t="shared" si="35"/>
        <v>5.7630598620554002E-3</v>
      </c>
      <c r="G90" s="1"/>
      <c r="H90" s="1">
        <f>SUM(OSRRefH22_10x_0)</f>
        <v>300</v>
      </c>
      <c r="I90" s="1"/>
      <c r="J90" s="5">
        <f t="shared" si="36"/>
        <v>5.5952173574086829E-3</v>
      </c>
      <c r="K90" s="1"/>
      <c r="L90" s="1">
        <f t="shared" si="37"/>
        <v>0</v>
      </c>
      <c r="M90" s="1"/>
      <c r="N90" s="5">
        <f t="shared" si="38"/>
        <v>0</v>
      </c>
      <c r="O90" s="13"/>
      <c r="P90" s="1">
        <f>SUM(OSRRefP22_10x_0)</f>
        <v>1800</v>
      </c>
      <c r="Q90" s="1"/>
      <c r="R90" s="5">
        <f t="shared" si="39"/>
        <v>6.329934767912237E-3</v>
      </c>
      <c r="S90" s="1"/>
      <c r="T90" s="1">
        <f>SUM(OSRRefT22_10x_0)</f>
        <v>1800</v>
      </c>
      <c r="U90" s="1"/>
      <c r="V90" s="5">
        <f t="shared" si="40"/>
        <v>6.8661902725843191E-3</v>
      </c>
      <c r="W90" s="1"/>
      <c r="X90" s="1">
        <f t="shared" si="41"/>
        <v>0</v>
      </c>
      <c r="Y90" s="1"/>
      <c r="Z90" s="5">
        <f t="shared" si="42"/>
        <v>0</v>
      </c>
    </row>
    <row r="91" spans="1:26" s="24" customFormat="1" hidden="1" outlineLevel="2" x14ac:dyDescent="0.25">
      <c r="A91" s="26"/>
      <c r="B91" s="11" t="str">
        <f>CONCATENATE("          ", "6408", " - ", "INVENTORY ADJUSTMENT")</f>
        <v xml:space="preserve">          6408 - INVENTORY ADJUSTMENT</v>
      </c>
      <c r="C91" s="11"/>
      <c r="D91" s="6">
        <v>300</v>
      </c>
      <c r="E91" s="2"/>
      <c r="F91" s="7">
        <f t="shared" si="35"/>
        <v>5.7630598620554002E-3</v>
      </c>
      <c r="G91" s="2"/>
      <c r="H91" s="6">
        <v>300</v>
      </c>
      <c r="I91" s="2"/>
      <c r="J91" s="7">
        <f t="shared" si="36"/>
        <v>5.5952173574086829E-3</v>
      </c>
      <c r="K91" s="2"/>
      <c r="L91" s="6">
        <f t="shared" si="37"/>
        <v>0</v>
      </c>
      <c r="M91" s="2"/>
      <c r="N91" s="7">
        <f t="shared" si="38"/>
        <v>0</v>
      </c>
      <c r="O91" s="11"/>
      <c r="P91" s="6">
        <v>1800</v>
      </c>
      <c r="Q91" s="2"/>
      <c r="R91" s="7">
        <f t="shared" si="39"/>
        <v>6.329934767912237E-3</v>
      </c>
      <c r="S91" s="2"/>
      <c r="T91" s="6">
        <v>1800</v>
      </c>
      <c r="U91" s="2"/>
      <c r="V91" s="7">
        <f t="shared" si="40"/>
        <v>6.8661902725843191E-3</v>
      </c>
      <c r="W91" s="2"/>
      <c r="X91" s="6">
        <f t="shared" si="41"/>
        <v>0</v>
      </c>
      <c r="Y91" s="2"/>
      <c r="Z91" s="7">
        <f t="shared" si="42"/>
        <v>0</v>
      </c>
    </row>
    <row r="92" spans="1:26" s="27" customFormat="1" outlineLevel="1" collapsed="1" x14ac:dyDescent="0.25">
      <c r="A92" s="25"/>
      <c r="B92" s="13" t="str">
        <f>CONCATENATE("     ","Professional Services                             ")</f>
        <v xml:space="preserve">     Professional Services                             </v>
      </c>
      <c r="C92" s="13"/>
      <c r="D92" s="1">
        <f>SUM(OSRRefD22_11x_0)</f>
        <v>0</v>
      </c>
      <c r="E92" s="1"/>
      <c r="F92" s="5">
        <f t="shared" si="35"/>
        <v>0</v>
      </c>
      <c r="G92" s="1"/>
      <c r="H92" s="1">
        <f>SUM(OSRRefH22_11x_0)</f>
        <v>0</v>
      </c>
      <c r="I92" s="1"/>
      <c r="J92" s="5">
        <f t="shared" si="36"/>
        <v>0</v>
      </c>
      <c r="K92" s="1"/>
      <c r="L92" s="1">
        <f t="shared" si="37"/>
        <v>0</v>
      </c>
      <c r="M92" s="1"/>
      <c r="N92" s="5">
        <f t="shared" si="38"/>
        <v>0</v>
      </c>
      <c r="O92" s="13"/>
      <c r="P92" s="1">
        <f>SUM(OSRRefP22_11x_0)</f>
        <v>750</v>
      </c>
      <c r="Q92" s="1"/>
      <c r="R92" s="5">
        <f t="shared" si="39"/>
        <v>2.6374728199634323E-3</v>
      </c>
      <c r="S92" s="1"/>
      <c r="T92" s="1">
        <f>SUM(OSRRefT22_11x_0)</f>
        <v>750</v>
      </c>
      <c r="U92" s="1"/>
      <c r="V92" s="5">
        <f t="shared" si="40"/>
        <v>2.8609126135767998E-3</v>
      </c>
      <c r="W92" s="1"/>
      <c r="X92" s="1">
        <f t="shared" si="41"/>
        <v>0</v>
      </c>
      <c r="Y92" s="1"/>
      <c r="Z92" s="5">
        <f t="shared" si="42"/>
        <v>0</v>
      </c>
    </row>
    <row r="93" spans="1:26" s="24" customFormat="1" hidden="1" outlineLevel="2" x14ac:dyDescent="0.25">
      <c r="A93" s="26"/>
      <c r="B93" s="11" t="str">
        <f>CONCATENATE("          ", "6336", " - ", "PROFESSIONAL SERVICES")</f>
        <v xml:space="preserve">          6336 - PROFESSIONAL SERVICES</v>
      </c>
      <c r="C93" s="11"/>
      <c r="D93" s="6"/>
      <c r="E93" s="2"/>
      <c r="F93" s="7">
        <f t="shared" si="35"/>
        <v>0</v>
      </c>
      <c r="G93" s="2"/>
      <c r="H93" s="6"/>
      <c r="I93" s="2"/>
      <c r="J93" s="7">
        <f t="shared" si="36"/>
        <v>0</v>
      </c>
      <c r="K93" s="2"/>
      <c r="L93" s="6">
        <f t="shared" si="37"/>
        <v>0</v>
      </c>
      <c r="M93" s="2"/>
      <c r="N93" s="7">
        <f t="shared" si="38"/>
        <v>0</v>
      </c>
      <c r="O93" s="11"/>
      <c r="P93" s="6">
        <v>750</v>
      </c>
      <c r="Q93" s="2"/>
      <c r="R93" s="7">
        <f t="shared" si="39"/>
        <v>2.6374728199634323E-3</v>
      </c>
      <c r="S93" s="2"/>
      <c r="T93" s="6">
        <v>750</v>
      </c>
      <c r="U93" s="2"/>
      <c r="V93" s="7">
        <f t="shared" si="40"/>
        <v>2.8609126135767998E-3</v>
      </c>
      <c r="W93" s="2"/>
      <c r="X93" s="6">
        <f t="shared" si="41"/>
        <v>0</v>
      </c>
      <c r="Y93" s="2"/>
      <c r="Z93" s="7">
        <f t="shared" si="42"/>
        <v>0</v>
      </c>
    </row>
    <row r="94" spans="1:26" s="27" customFormat="1" outlineLevel="1" collapsed="1" x14ac:dyDescent="0.25">
      <c r="A94" s="25"/>
      <c r="B94" s="13" t="str">
        <f>CONCATENATE("     ","Rent                                              ")</f>
        <v xml:space="preserve">     Rent                                              </v>
      </c>
      <c r="C94" s="13"/>
      <c r="D94" s="1">
        <f>SUM(OSRRefD22_12x_0)</f>
        <v>6900</v>
      </c>
      <c r="E94" s="1"/>
      <c r="F94" s="5">
        <f t="shared" si="35"/>
        <v>0.13255037682727419</v>
      </c>
      <c r="G94" s="1"/>
      <c r="H94" s="1">
        <f>SUM(OSRRefH22_12x_0)</f>
        <v>6900</v>
      </c>
      <c r="I94" s="1"/>
      <c r="J94" s="5">
        <f t="shared" si="36"/>
        <v>0.12868999922039973</v>
      </c>
      <c r="K94" s="1"/>
      <c r="L94" s="1">
        <f t="shared" si="37"/>
        <v>0</v>
      </c>
      <c r="M94" s="1"/>
      <c r="N94" s="5">
        <f t="shared" si="38"/>
        <v>0</v>
      </c>
      <c r="O94" s="13"/>
      <c r="P94" s="1">
        <f>SUM(OSRRefP22_12x_0)</f>
        <v>41400</v>
      </c>
      <c r="Q94" s="1"/>
      <c r="R94" s="5">
        <f t="shared" si="39"/>
        <v>0.14558849966198145</v>
      </c>
      <c r="S94" s="1"/>
      <c r="T94" s="1">
        <f>SUM(OSRRefT22_12x_0)</f>
        <v>41400</v>
      </c>
      <c r="U94" s="1"/>
      <c r="V94" s="5">
        <f t="shared" si="40"/>
        <v>0.15792237626943936</v>
      </c>
      <c r="W94" s="1"/>
      <c r="X94" s="1">
        <f t="shared" si="41"/>
        <v>0</v>
      </c>
      <c r="Y94" s="1"/>
      <c r="Z94" s="5">
        <f t="shared" si="42"/>
        <v>0</v>
      </c>
    </row>
    <row r="95" spans="1:26" s="24" customFormat="1" hidden="1" outlineLevel="2" x14ac:dyDescent="0.25">
      <c r="A95" s="26"/>
      <c r="B95" s="11" t="str">
        <f>CONCATENATE("          ", "6273", " - ", "RENT")</f>
        <v xml:space="preserve">          6273 - RENT</v>
      </c>
      <c r="C95" s="11"/>
      <c r="D95" s="6">
        <v>6900</v>
      </c>
      <c r="E95" s="2"/>
      <c r="F95" s="7">
        <f t="shared" si="35"/>
        <v>0.13255037682727419</v>
      </c>
      <c r="G95" s="2"/>
      <c r="H95" s="6">
        <v>6900</v>
      </c>
      <c r="I95" s="2"/>
      <c r="J95" s="7">
        <f t="shared" si="36"/>
        <v>0.12868999922039973</v>
      </c>
      <c r="K95" s="2"/>
      <c r="L95" s="6">
        <f t="shared" si="37"/>
        <v>0</v>
      </c>
      <c r="M95" s="2"/>
      <c r="N95" s="7">
        <f t="shared" si="38"/>
        <v>0</v>
      </c>
      <c r="O95" s="11"/>
      <c r="P95" s="6">
        <v>41400</v>
      </c>
      <c r="Q95" s="2"/>
      <c r="R95" s="7">
        <f t="shared" si="39"/>
        <v>0.14558849966198145</v>
      </c>
      <c r="S95" s="2"/>
      <c r="T95" s="6">
        <v>41400</v>
      </c>
      <c r="U95" s="2"/>
      <c r="V95" s="7">
        <f t="shared" si="40"/>
        <v>0.15792237626943936</v>
      </c>
      <c r="W95" s="2"/>
      <c r="X95" s="6">
        <f t="shared" si="41"/>
        <v>0</v>
      </c>
      <c r="Y95" s="2"/>
      <c r="Z95" s="7">
        <f t="shared" si="42"/>
        <v>0</v>
      </c>
    </row>
    <row r="96" spans="1:26" s="27" customFormat="1" outlineLevel="1" collapsed="1" x14ac:dyDescent="0.25">
      <c r="A96" s="25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SUM(OSRRefD22_13x_0)</f>
        <v>171.46</v>
      </c>
      <c r="E96" s="1"/>
      <c r="F96" s="5">
        <f t="shared" si="35"/>
        <v>3.2937808131600632E-3</v>
      </c>
      <c r="G96" s="1"/>
      <c r="H96" s="1">
        <f>SUM(OSRRefH22_13x_0)</f>
        <v>44.98</v>
      </c>
      <c r="I96" s="1"/>
      <c r="J96" s="5">
        <f t="shared" si="36"/>
        <v>8.3890958912080855E-4</v>
      </c>
      <c r="K96" s="1"/>
      <c r="L96" s="1">
        <f t="shared" si="37"/>
        <v>126.48000000000002</v>
      </c>
      <c r="M96" s="1"/>
      <c r="N96" s="5">
        <f t="shared" si="38"/>
        <v>2.8119164072921303</v>
      </c>
      <c r="O96" s="13"/>
      <c r="P96" s="1">
        <f>SUM(OSRRefP22_13x_0)</f>
        <v>275.75</v>
      </c>
      <c r="Q96" s="1"/>
      <c r="R96" s="5">
        <f t="shared" si="39"/>
        <v>9.6971084013988858E-4</v>
      </c>
      <c r="S96" s="1"/>
      <c r="T96" s="1">
        <f>SUM(OSRRefT22_13x_0)</f>
        <v>506.33</v>
      </c>
      <c r="U96" s="1"/>
      <c r="V96" s="5">
        <f t="shared" si="40"/>
        <v>1.9314211781764547E-3</v>
      </c>
      <c r="W96" s="1"/>
      <c r="X96" s="1">
        <f t="shared" si="41"/>
        <v>-230.57999999999998</v>
      </c>
      <c r="Y96" s="1"/>
      <c r="Z96" s="5">
        <f t="shared" si="42"/>
        <v>-0.45539470305926966</v>
      </c>
    </row>
    <row r="97" spans="1:26" s="24" customFormat="1" hidden="1" outlineLevel="2" x14ac:dyDescent="0.25">
      <c r="A97" s="26"/>
      <c r="B97" s="11" t="str">
        <f>CONCATENATE("          ", "6373", " - ", "MAINTENANCE CONTRACTS")</f>
        <v xml:space="preserve">          6373 - MAINTENANCE CONTRACTS</v>
      </c>
      <c r="C97" s="11"/>
      <c r="D97" s="6">
        <v>47.57</v>
      </c>
      <c r="E97" s="2"/>
      <c r="F97" s="7">
        <f t="shared" si="35"/>
        <v>9.1382919212658462E-4</v>
      </c>
      <c r="G97" s="2"/>
      <c r="H97" s="6">
        <v>44.98</v>
      </c>
      <c r="I97" s="2"/>
      <c r="J97" s="7">
        <f t="shared" si="36"/>
        <v>8.3890958912080855E-4</v>
      </c>
      <c r="K97" s="2"/>
      <c r="L97" s="6">
        <f t="shared" si="37"/>
        <v>2.5900000000000034</v>
      </c>
      <c r="M97" s="2"/>
      <c r="N97" s="7">
        <f t="shared" si="38"/>
        <v>5.7581147176522976E-2</v>
      </c>
      <c r="O97" s="11"/>
      <c r="P97" s="6">
        <v>93.22</v>
      </c>
      <c r="Q97" s="2"/>
      <c r="R97" s="7">
        <f t="shared" si="39"/>
        <v>3.2782028836932152E-4</v>
      </c>
      <c r="S97" s="2"/>
      <c r="T97" s="6">
        <v>89.96</v>
      </c>
      <c r="U97" s="2"/>
      <c r="V97" s="7">
        <f t="shared" si="40"/>
        <v>3.4315693162315851E-4</v>
      </c>
      <c r="W97" s="2"/>
      <c r="X97" s="6">
        <f t="shared" si="41"/>
        <v>3.2600000000000051</v>
      </c>
      <c r="Y97" s="2"/>
      <c r="Z97" s="7">
        <f t="shared" si="42"/>
        <v>3.6238328145842658E-2</v>
      </c>
    </row>
    <row r="98" spans="1:26" s="24" customFormat="1" hidden="1" outlineLevel="2" x14ac:dyDescent="0.25">
      <c r="A98" s="26"/>
      <c r="B98" s="11" t="str">
        <f>CONCATENATE("          ", "6375", " - ", "OUTSIDE REPAIRS &amp; MAINTENANCE")</f>
        <v xml:space="preserve">          6375 - OUTSIDE REPAIRS &amp; MAINTENANCE</v>
      </c>
      <c r="C98" s="11"/>
      <c r="D98" s="6">
        <v>123.89</v>
      </c>
      <c r="E98" s="2"/>
      <c r="F98" s="7">
        <f t="shared" si="35"/>
        <v>2.3799516210334785E-3</v>
      </c>
      <c r="G98" s="2"/>
      <c r="H98" s="6"/>
      <c r="I98" s="2"/>
      <c r="J98" s="7">
        <f t="shared" si="36"/>
        <v>0</v>
      </c>
      <c r="K98" s="2"/>
      <c r="L98" s="6">
        <f t="shared" si="37"/>
        <v>123.89</v>
      </c>
      <c r="M98" s="2"/>
      <c r="N98" s="7">
        <f t="shared" si="38"/>
        <v>0</v>
      </c>
      <c r="O98" s="11"/>
      <c r="P98" s="6">
        <v>182.53</v>
      </c>
      <c r="Q98" s="2"/>
      <c r="R98" s="7">
        <f t="shared" si="39"/>
        <v>6.4189055177056706E-4</v>
      </c>
      <c r="S98" s="2"/>
      <c r="T98" s="6">
        <v>416.37</v>
      </c>
      <c r="U98" s="2"/>
      <c r="V98" s="7">
        <f t="shared" si="40"/>
        <v>1.5882642465532963E-3</v>
      </c>
      <c r="W98" s="2"/>
      <c r="X98" s="6">
        <f t="shared" si="41"/>
        <v>-233.84</v>
      </c>
      <c r="Y98" s="2"/>
      <c r="Z98" s="7">
        <f t="shared" si="42"/>
        <v>-0.56161587049979589</v>
      </c>
    </row>
    <row r="99" spans="1:26" s="27" customFormat="1" outlineLevel="1" collapsed="1" x14ac:dyDescent="0.25">
      <c r="A99" s="25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SUM(OSRRefD22_14x_0)</f>
        <v>181.82</v>
      </c>
      <c r="E99" s="1"/>
      <c r="F99" s="5">
        <f t="shared" ref="F99:F102" si="43">IF(D$12=0,0,D99/D$12)</f>
        <v>3.492798480396376E-3</v>
      </c>
      <c r="G99" s="1"/>
      <c r="H99" s="1">
        <f>SUM(OSRRefH22_14x_0)</f>
        <v>316.73</v>
      </c>
      <c r="I99" s="1"/>
      <c r="J99" s="5">
        <f t="shared" ref="J99:J102" si="44">IF(H$12=0,0,H99/H$12)</f>
        <v>5.9072439787068408E-3</v>
      </c>
      <c r="K99" s="1"/>
      <c r="L99" s="1">
        <f t="shared" ref="L99:L102" si="45">+D99-H99</f>
        <v>-134.91000000000003</v>
      </c>
      <c r="M99" s="1"/>
      <c r="N99" s="5">
        <f t="shared" ref="N99:N102" si="46">IF(H99=0,0,L99/H99)</f>
        <v>-0.4259463896694346</v>
      </c>
      <c r="O99" s="13"/>
      <c r="P99" s="1">
        <f>SUM(OSRRefP22_14x_0)</f>
        <v>2002.28</v>
      </c>
      <c r="Q99" s="1"/>
      <c r="R99" s="5">
        <f t="shared" ref="R99:R102" si="47">IF(P$12=0,0,P99/P$12)</f>
        <v>7.0412787706085082E-3</v>
      </c>
      <c r="S99" s="1"/>
      <c r="T99" s="1">
        <f>SUM(OSRRefT22_14x_0)</f>
        <v>1313.21</v>
      </c>
      <c r="U99" s="1"/>
      <c r="V99" s="5">
        <f t="shared" ref="V99:V102" si="48">IF(T$12=0,0,T99/T$12)</f>
        <v>5.0093054043669188E-3</v>
      </c>
      <c r="W99" s="1"/>
      <c r="X99" s="1">
        <f t="shared" ref="X99:X102" si="49">+P99-T99</f>
        <v>689.06999999999994</v>
      </c>
      <c r="Y99" s="1"/>
      <c r="Z99" s="5">
        <f t="shared" ref="Z99:Z102" si="50">IF(T99=0,0,X99/T99)</f>
        <v>0.52472186474364335</v>
      </c>
    </row>
    <row r="100" spans="1:26" s="24" customFormat="1" hidden="1" outlineLevel="2" x14ac:dyDescent="0.25">
      <c r="A100" s="26"/>
      <c r="B100" s="11" t="str">
        <f>CONCATENATE("          ", "6283", " - ", "PLANT SERVICE")</f>
        <v xml:space="preserve">          6283 - PLANT SERVICE</v>
      </c>
      <c r="C100" s="11"/>
      <c r="D100" s="6"/>
      <c r="E100" s="2"/>
      <c r="F100" s="7">
        <f t="shared" si="43"/>
        <v>0</v>
      </c>
      <c r="G100" s="2"/>
      <c r="H100" s="6">
        <v>56</v>
      </c>
      <c r="I100" s="2"/>
      <c r="J100" s="7">
        <f t="shared" si="44"/>
        <v>1.0444405733829542E-3</v>
      </c>
      <c r="K100" s="2"/>
      <c r="L100" s="6">
        <f t="shared" si="45"/>
        <v>-56</v>
      </c>
      <c r="M100" s="2"/>
      <c r="N100" s="7">
        <f t="shared" si="46"/>
        <v>-1</v>
      </c>
      <c r="O100" s="11"/>
      <c r="P100" s="6">
        <v>178.65</v>
      </c>
      <c r="Q100" s="2"/>
      <c r="R100" s="7">
        <f t="shared" si="47"/>
        <v>6.2824602571528955E-4</v>
      </c>
      <c r="S100" s="2"/>
      <c r="T100" s="6">
        <v>336</v>
      </c>
      <c r="U100" s="2"/>
      <c r="V100" s="7">
        <f t="shared" si="48"/>
        <v>1.2816888508824062E-3</v>
      </c>
      <c r="W100" s="2"/>
      <c r="X100" s="6">
        <f t="shared" si="49"/>
        <v>-157.35</v>
      </c>
      <c r="Y100" s="2"/>
      <c r="Z100" s="7">
        <f t="shared" si="50"/>
        <v>-0.46830357142857143</v>
      </c>
    </row>
    <row r="101" spans="1:26" s="24" customFormat="1" hidden="1" outlineLevel="2" x14ac:dyDescent="0.25">
      <c r="A101" s="26"/>
      <c r="B101" s="11" t="str">
        <f>CONCATENATE("          ", "6284", " - ", "TRASH REMOVAL EXPENSE")</f>
        <v xml:space="preserve">          6284 - TRASH REMOVAL EXPENSE</v>
      </c>
      <c r="C101" s="11"/>
      <c r="D101" s="6">
        <v>134.82</v>
      </c>
      <c r="E101" s="2"/>
      <c r="F101" s="7">
        <f t="shared" si="43"/>
        <v>2.5899191020076965E-3</v>
      </c>
      <c r="G101" s="2"/>
      <c r="H101" s="6">
        <v>121.46</v>
      </c>
      <c r="I101" s="2"/>
      <c r="J101" s="7">
        <f t="shared" si="44"/>
        <v>2.2653170007695287E-3</v>
      </c>
      <c r="K101" s="2"/>
      <c r="L101" s="6">
        <f t="shared" si="45"/>
        <v>13.36</v>
      </c>
      <c r="M101" s="2"/>
      <c r="N101" s="7">
        <f t="shared" si="46"/>
        <v>0.10999506010209123</v>
      </c>
      <c r="O101" s="11"/>
      <c r="P101" s="6">
        <v>808.92</v>
      </c>
      <c r="Q101" s="2"/>
      <c r="R101" s="7">
        <f t="shared" si="47"/>
        <v>2.8446726846997595E-3</v>
      </c>
      <c r="S101" s="2"/>
      <c r="T101" s="6">
        <v>728.76</v>
      </c>
      <c r="U101" s="2"/>
      <c r="V101" s="7">
        <f t="shared" si="48"/>
        <v>2.7798915683603046E-3</v>
      </c>
      <c r="W101" s="2"/>
      <c r="X101" s="6">
        <f t="shared" si="49"/>
        <v>80.159999999999968</v>
      </c>
      <c r="Y101" s="2"/>
      <c r="Z101" s="7">
        <f t="shared" si="50"/>
        <v>0.10999506010209117</v>
      </c>
    </row>
    <row r="102" spans="1:26" s="24" customFormat="1" hidden="1" outlineLevel="2" x14ac:dyDescent="0.25">
      <c r="A102" s="26"/>
      <c r="B102" s="11" t="str">
        <f>CONCATENATE("          ", "6285", " - ", "JANITORIAL SERVICES")</f>
        <v xml:space="preserve">          6285 - JANITORIAL SERVICES</v>
      </c>
      <c r="C102" s="11"/>
      <c r="D102" s="6">
        <v>47</v>
      </c>
      <c r="E102" s="2"/>
      <c r="F102" s="7">
        <f t="shared" si="43"/>
        <v>9.0287937838867932E-4</v>
      </c>
      <c r="G102" s="2"/>
      <c r="H102" s="6">
        <v>139.27000000000001</v>
      </c>
      <c r="I102" s="2"/>
      <c r="J102" s="7">
        <f t="shared" si="44"/>
        <v>2.5974864045543579E-3</v>
      </c>
      <c r="K102" s="2"/>
      <c r="L102" s="6">
        <f t="shared" si="45"/>
        <v>-92.27000000000001</v>
      </c>
      <c r="M102" s="2"/>
      <c r="N102" s="7">
        <f t="shared" si="46"/>
        <v>-0.66252602857758314</v>
      </c>
      <c r="O102" s="11"/>
      <c r="P102" s="6">
        <v>1014.71</v>
      </c>
      <c r="Q102" s="2"/>
      <c r="R102" s="7">
        <f t="shared" si="47"/>
        <v>3.5683600601934592E-3</v>
      </c>
      <c r="S102" s="2"/>
      <c r="T102" s="6">
        <v>248.45</v>
      </c>
      <c r="U102" s="2"/>
      <c r="V102" s="7">
        <f t="shared" si="48"/>
        <v>9.4772498512420784E-4</v>
      </c>
      <c r="W102" s="2"/>
      <c r="X102" s="6">
        <f t="shared" si="49"/>
        <v>766.26</v>
      </c>
      <c r="Y102" s="2"/>
      <c r="Z102" s="7">
        <f t="shared" si="50"/>
        <v>3.0841618031797142</v>
      </c>
    </row>
    <row r="103" spans="1:26" s="27" customFormat="1" outlineLevel="1" collapsed="1" x14ac:dyDescent="0.25">
      <c r="A103" s="25"/>
      <c r="B103" s="13" t="str">
        <f>CONCATENATE("     ","Subscriptions &amp; Dues                              ")</f>
        <v xml:space="preserve">     Subscriptions &amp; Dues                              </v>
      </c>
      <c r="C103" s="13"/>
      <c r="D103" s="1">
        <f>SUM(OSRRefD22_15x_0)</f>
        <v>0</v>
      </c>
      <c r="E103" s="1"/>
      <c r="F103" s="5">
        <f t="shared" ref="F103:F110" si="51">IF(D$12=0,0,D103/D$12)</f>
        <v>0</v>
      </c>
      <c r="G103" s="1"/>
      <c r="H103" s="1">
        <f>SUM(OSRRefH22_15x_0)</f>
        <v>204.98</v>
      </c>
      <c r="I103" s="1"/>
      <c r="J103" s="5">
        <f t="shared" ref="J103:J110" si="52">IF(H$12=0,0,H103/H$12)</f>
        <v>3.8230255130721059E-3</v>
      </c>
      <c r="K103" s="1"/>
      <c r="L103" s="1">
        <f t="shared" ref="L103:L110" si="53">+D103-H103</f>
        <v>-204.98</v>
      </c>
      <c r="M103" s="1"/>
      <c r="N103" s="5">
        <f t="shared" ref="N103:N110" si="54">IF(H103=0,0,L103/H103)</f>
        <v>-1</v>
      </c>
      <c r="O103" s="13"/>
      <c r="P103" s="1">
        <f>SUM(OSRRefP22_15x_0)</f>
        <v>88.42</v>
      </c>
      <c r="Q103" s="1"/>
      <c r="R103" s="5">
        <f t="shared" ref="R103:R110" si="55">IF(P$12=0,0,P103/P$12)</f>
        <v>3.1094046232155555E-4</v>
      </c>
      <c r="S103" s="1"/>
      <c r="T103" s="1">
        <f>SUM(OSRRefT22_15x_0)</f>
        <v>1004.88</v>
      </c>
      <c r="U103" s="1"/>
      <c r="V103" s="5">
        <f t="shared" ref="V103:V110" si="56">IF(T$12=0,0,T103/T$12)</f>
        <v>3.8331651561747393E-3</v>
      </c>
      <c r="W103" s="1"/>
      <c r="X103" s="1">
        <f t="shared" ref="X103:X110" si="57">+P103-T103</f>
        <v>-916.46</v>
      </c>
      <c r="Y103" s="1"/>
      <c r="Z103" s="5">
        <f t="shared" ref="Z103:Z110" si="58">IF(T103=0,0,X103/T103)</f>
        <v>-0.91200939415651627</v>
      </c>
    </row>
    <row r="104" spans="1:26" s="24" customFormat="1" hidden="1" outlineLevel="2" x14ac:dyDescent="0.25">
      <c r="A104" s="26"/>
      <c r="B104" s="11" t="str">
        <f>CONCATENATE("          ", "6275", " - ", "SUBSCRIPTIONS")</f>
        <v xml:space="preserve">          6275 - SUBSCRIPTIONS</v>
      </c>
      <c r="C104" s="11"/>
      <c r="D104" s="6"/>
      <c r="E104" s="2"/>
      <c r="F104" s="7">
        <f t="shared" si="51"/>
        <v>0</v>
      </c>
      <c r="G104" s="2"/>
      <c r="H104" s="6">
        <v>204.98</v>
      </c>
      <c r="I104" s="2"/>
      <c r="J104" s="7">
        <f t="shared" si="52"/>
        <v>3.8230255130721059E-3</v>
      </c>
      <c r="K104" s="2"/>
      <c r="L104" s="6">
        <f t="shared" si="53"/>
        <v>-204.98</v>
      </c>
      <c r="M104" s="2"/>
      <c r="N104" s="7">
        <f t="shared" si="54"/>
        <v>-1</v>
      </c>
      <c r="O104" s="11"/>
      <c r="P104" s="6">
        <v>88.42</v>
      </c>
      <c r="Q104" s="2"/>
      <c r="R104" s="7">
        <f t="shared" si="55"/>
        <v>3.1094046232155555E-4</v>
      </c>
      <c r="S104" s="2"/>
      <c r="T104" s="6">
        <v>1004.88</v>
      </c>
      <c r="U104" s="2"/>
      <c r="V104" s="7">
        <f t="shared" si="56"/>
        <v>3.8331651561747393E-3</v>
      </c>
      <c r="W104" s="2"/>
      <c r="X104" s="6">
        <f t="shared" si="57"/>
        <v>-916.46</v>
      </c>
      <c r="Y104" s="2"/>
      <c r="Z104" s="7">
        <f t="shared" si="58"/>
        <v>-0.91200939415651627</v>
      </c>
    </row>
    <row r="105" spans="1:26" s="27" customFormat="1" outlineLevel="1" collapsed="1" x14ac:dyDescent="0.25">
      <c r="A105" s="25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SUM(OSRRefD22_16x_0)</f>
        <v>645.46</v>
      </c>
      <c r="E105" s="1"/>
      <c r="F105" s="5">
        <f t="shared" si="51"/>
        <v>1.2399415395207596E-2</v>
      </c>
      <c r="G105" s="1"/>
      <c r="H105" s="1">
        <f>SUM(OSRRefH22_16x_0)</f>
        <v>176.11999999999998</v>
      </c>
      <c r="I105" s="1"/>
      <c r="J105" s="5">
        <f t="shared" si="52"/>
        <v>3.2847656032893905E-3</v>
      </c>
      <c r="K105" s="1"/>
      <c r="L105" s="1">
        <f t="shared" si="53"/>
        <v>469.34000000000003</v>
      </c>
      <c r="M105" s="1"/>
      <c r="N105" s="5">
        <f t="shared" si="54"/>
        <v>2.664887576652283</v>
      </c>
      <c r="O105" s="13"/>
      <c r="P105" s="1">
        <f>SUM(OSRRefP22_16x_0)</f>
        <v>2103.59</v>
      </c>
      <c r="Q105" s="1"/>
      <c r="R105" s="5">
        <f t="shared" si="55"/>
        <v>7.3975485991291685E-3</v>
      </c>
      <c r="S105" s="1"/>
      <c r="T105" s="1">
        <f>SUM(OSRRefT22_16x_0)</f>
        <v>2791.46</v>
      </c>
      <c r="U105" s="1"/>
      <c r="V105" s="5">
        <f t="shared" si="56"/>
        <v>1.0648164165726792E-2</v>
      </c>
      <c r="W105" s="1"/>
      <c r="X105" s="1">
        <f t="shared" si="57"/>
        <v>-687.86999999999989</v>
      </c>
      <c r="Y105" s="1"/>
      <c r="Z105" s="5">
        <f t="shared" si="58"/>
        <v>-0.24641943642395014</v>
      </c>
    </row>
    <row r="106" spans="1:26" s="24" customFormat="1" hidden="1" outlineLevel="2" x14ac:dyDescent="0.25">
      <c r="A106" s="26"/>
      <c r="B106" s="11" t="str">
        <f>CONCATENATE("          ", "6234", " - ", "EXPENDABLE SUPPLIES &amp; EQUIPMEN")</f>
        <v xml:space="preserve">          6234 - EXPENDABLE SUPPLIES &amp; EQUIPMEN</v>
      </c>
      <c r="C106" s="11"/>
      <c r="D106" s="6"/>
      <c r="E106" s="2"/>
      <c r="F106" s="7">
        <f t="shared" si="51"/>
        <v>0</v>
      </c>
      <c r="G106" s="2"/>
      <c r="H106" s="6">
        <v>8.23</v>
      </c>
      <c r="I106" s="2"/>
      <c r="J106" s="7">
        <f t="shared" si="52"/>
        <v>1.5349546283824488E-4</v>
      </c>
      <c r="K106" s="2"/>
      <c r="L106" s="6">
        <f t="shared" si="53"/>
        <v>-8.23</v>
      </c>
      <c r="M106" s="2"/>
      <c r="N106" s="7">
        <f t="shared" si="54"/>
        <v>-1</v>
      </c>
      <c r="O106" s="11"/>
      <c r="P106" s="6"/>
      <c r="Q106" s="2"/>
      <c r="R106" s="7">
        <f t="shared" si="55"/>
        <v>0</v>
      </c>
      <c r="S106" s="2"/>
      <c r="T106" s="6">
        <v>158.22999999999999</v>
      </c>
      <c r="U106" s="2"/>
      <c r="V106" s="7">
        <f t="shared" si="56"/>
        <v>6.0357627046167604E-4</v>
      </c>
      <c r="W106" s="2"/>
      <c r="X106" s="6">
        <f t="shared" si="57"/>
        <v>-158.22999999999999</v>
      </c>
      <c r="Y106" s="2"/>
      <c r="Z106" s="7">
        <f t="shared" si="58"/>
        <v>-1</v>
      </c>
    </row>
    <row r="107" spans="1:26" s="24" customFormat="1" hidden="1" outlineLevel="2" x14ac:dyDescent="0.25">
      <c r="A107" s="26"/>
      <c r="B107" s="11" t="str">
        <f>CONCATENATE("          ", "6237", " - ", "JANITORIAL SUPPLIES")</f>
        <v xml:space="preserve">          6237 - JANITORIAL SUPPLIES</v>
      </c>
      <c r="C107" s="11"/>
      <c r="D107" s="6"/>
      <c r="E107" s="2"/>
      <c r="F107" s="7">
        <f t="shared" si="51"/>
        <v>0</v>
      </c>
      <c r="G107" s="2"/>
      <c r="H107" s="6"/>
      <c r="I107" s="2"/>
      <c r="J107" s="7">
        <f t="shared" si="52"/>
        <v>0</v>
      </c>
      <c r="K107" s="2"/>
      <c r="L107" s="6">
        <f t="shared" si="53"/>
        <v>0</v>
      </c>
      <c r="M107" s="2"/>
      <c r="N107" s="7">
        <f t="shared" si="54"/>
        <v>0</v>
      </c>
      <c r="O107" s="11"/>
      <c r="P107" s="6">
        <v>287.72000000000003</v>
      </c>
      <c r="Q107" s="2"/>
      <c r="R107" s="7">
        <f t="shared" si="55"/>
        <v>1.0118049063465051E-3</v>
      </c>
      <c r="S107" s="2"/>
      <c r="T107" s="6">
        <v>177.88</v>
      </c>
      <c r="U107" s="2"/>
      <c r="V107" s="7">
        <f t="shared" si="56"/>
        <v>6.7853218093738815E-4</v>
      </c>
      <c r="W107" s="2"/>
      <c r="X107" s="6">
        <f t="shared" si="57"/>
        <v>109.84000000000003</v>
      </c>
      <c r="Y107" s="2"/>
      <c r="Z107" s="7">
        <f t="shared" si="58"/>
        <v>0.61749494040926489</v>
      </c>
    </row>
    <row r="108" spans="1:26" s="24" customFormat="1" hidden="1" outlineLevel="2" x14ac:dyDescent="0.25">
      <c r="A108" s="26"/>
      <c r="B108" s="11" t="str">
        <f>CONCATENATE("          ", "6241", " - ", "OFFICE EXPENSE")</f>
        <v xml:space="preserve">          6241 - OFFICE EXPENSE</v>
      </c>
      <c r="C108" s="11"/>
      <c r="D108" s="6">
        <v>645.46</v>
      </c>
      <c r="E108" s="2"/>
      <c r="F108" s="7">
        <f t="shared" si="51"/>
        <v>1.2399415395207596E-2</v>
      </c>
      <c r="G108" s="2"/>
      <c r="H108" s="6">
        <v>167.89</v>
      </c>
      <c r="I108" s="2"/>
      <c r="J108" s="7">
        <f t="shared" si="52"/>
        <v>3.1312701404511457E-3</v>
      </c>
      <c r="K108" s="2"/>
      <c r="L108" s="6">
        <f t="shared" si="53"/>
        <v>477.57000000000005</v>
      </c>
      <c r="M108" s="2"/>
      <c r="N108" s="7">
        <f t="shared" si="54"/>
        <v>2.8445410685567936</v>
      </c>
      <c r="O108" s="11"/>
      <c r="P108" s="6">
        <v>1795.75</v>
      </c>
      <c r="Q108" s="2"/>
      <c r="R108" s="7">
        <f t="shared" si="55"/>
        <v>6.3149890885991107E-3</v>
      </c>
      <c r="S108" s="2"/>
      <c r="T108" s="6">
        <v>1280.23</v>
      </c>
      <c r="U108" s="2"/>
      <c r="V108" s="7">
        <f t="shared" si="56"/>
        <v>4.8835015403725689E-3</v>
      </c>
      <c r="W108" s="2"/>
      <c r="X108" s="6">
        <f t="shared" si="57"/>
        <v>515.52</v>
      </c>
      <c r="Y108" s="2"/>
      <c r="Z108" s="7">
        <f t="shared" si="58"/>
        <v>0.40267764386086874</v>
      </c>
    </row>
    <row r="109" spans="1:26" s="24" customFormat="1" hidden="1" outlineLevel="2" x14ac:dyDescent="0.25">
      <c r="A109" s="26"/>
      <c r="B109" s="11" t="str">
        <f>CONCATENATE("          ", "6245", " - ", "PRINTING")</f>
        <v xml:space="preserve">          6245 - PRINTING</v>
      </c>
      <c r="C109" s="11"/>
      <c r="D109" s="6"/>
      <c r="E109" s="2"/>
      <c r="F109" s="7">
        <f t="shared" si="51"/>
        <v>0</v>
      </c>
      <c r="G109" s="2"/>
      <c r="H109" s="6"/>
      <c r="I109" s="2"/>
      <c r="J109" s="7">
        <f t="shared" si="52"/>
        <v>0</v>
      </c>
      <c r="K109" s="2"/>
      <c r="L109" s="6">
        <f t="shared" si="53"/>
        <v>0</v>
      </c>
      <c r="M109" s="2"/>
      <c r="N109" s="7">
        <f t="shared" si="54"/>
        <v>0</v>
      </c>
      <c r="O109" s="11"/>
      <c r="P109" s="6"/>
      <c r="Q109" s="2"/>
      <c r="R109" s="7">
        <f t="shared" si="55"/>
        <v>0</v>
      </c>
      <c r="S109" s="2"/>
      <c r="T109" s="6">
        <v>750.25</v>
      </c>
      <c r="U109" s="2"/>
      <c r="V109" s="7">
        <f t="shared" si="56"/>
        <v>2.8618662511146588E-3</v>
      </c>
      <c r="W109" s="2"/>
      <c r="X109" s="6">
        <f t="shared" si="57"/>
        <v>-750.25</v>
      </c>
      <c r="Y109" s="2"/>
      <c r="Z109" s="7">
        <f t="shared" si="58"/>
        <v>-1</v>
      </c>
    </row>
    <row r="110" spans="1:26" s="24" customFormat="1" hidden="1" outlineLevel="2" x14ac:dyDescent="0.25">
      <c r="A110" s="26"/>
      <c r="B110" s="11" t="str">
        <f>CONCATENATE("          ", "6247", " - ", "STORE SUPPLIES")</f>
        <v xml:space="preserve">          6247 - STORE SUPPLIES</v>
      </c>
      <c r="C110" s="11"/>
      <c r="D110" s="6"/>
      <c r="E110" s="2"/>
      <c r="F110" s="7">
        <f t="shared" si="51"/>
        <v>0</v>
      </c>
      <c r="G110" s="2"/>
      <c r="H110" s="6"/>
      <c r="I110" s="2"/>
      <c r="J110" s="7">
        <f t="shared" si="52"/>
        <v>0</v>
      </c>
      <c r="K110" s="2"/>
      <c r="L110" s="6">
        <f t="shared" si="53"/>
        <v>0</v>
      </c>
      <c r="M110" s="2"/>
      <c r="N110" s="7">
        <f t="shared" si="54"/>
        <v>0</v>
      </c>
      <c r="O110" s="11"/>
      <c r="P110" s="6">
        <v>20.12</v>
      </c>
      <c r="Q110" s="2"/>
      <c r="R110" s="7">
        <f t="shared" si="55"/>
        <v>7.0754604183552344E-5</v>
      </c>
      <c r="S110" s="2"/>
      <c r="T110" s="6">
        <v>424.87</v>
      </c>
      <c r="U110" s="2"/>
      <c r="V110" s="7">
        <f t="shared" si="56"/>
        <v>1.6206879228405E-3</v>
      </c>
      <c r="W110" s="2"/>
      <c r="X110" s="6">
        <f t="shared" si="57"/>
        <v>-404.75</v>
      </c>
      <c r="Y110" s="2"/>
      <c r="Z110" s="7">
        <f t="shared" si="58"/>
        <v>-0.95264433826817618</v>
      </c>
    </row>
    <row r="111" spans="1:26" s="27" customFormat="1" outlineLevel="1" collapsed="1" x14ac:dyDescent="0.25">
      <c r="A111" s="25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SUM(OSRRefD22_17x_0)</f>
        <v>259.85000000000002</v>
      </c>
      <c r="E111" s="1"/>
      <c r="F111" s="5">
        <f t="shared" ref="F111:F116" si="59">IF(D$12=0,0,D111/D$12)</f>
        <v>4.9917703505169856E-3</v>
      </c>
      <c r="G111" s="1"/>
      <c r="H111" s="1">
        <f>SUM(OSRRefH22_17x_0)</f>
        <v>370.3</v>
      </c>
      <c r="I111" s="1"/>
      <c r="J111" s="5">
        <f t="shared" ref="J111:J116" si="60">IF(H$12=0,0,H111/H$12)</f>
        <v>6.9063632914947845E-3</v>
      </c>
      <c r="K111" s="1"/>
      <c r="L111" s="1">
        <f t="shared" ref="L111:L116" si="61">+D111-H111</f>
        <v>-110.44999999999999</v>
      </c>
      <c r="M111" s="1"/>
      <c r="N111" s="5">
        <f t="shared" ref="N111:N116" si="62">IF(H111=0,0,L111/H111)</f>
        <v>-0.29827167161760731</v>
      </c>
      <c r="O111" s="13"/>
      <c r="P111" s="1">
        <f>SUM(OSRRefP22_17x_0)</f>
        <v>1745.78</v>
      </c>
      <c r="Q111" s="1"/>
      <c r="R111" s="5">
        <f t="shared" ref="R111:R116" si="63">IF(P$12=0,0,P111/P$12)</f>
        <v>6.1392630661810136E-3</v>
      </c>
      <c r="S111" s="1"/>
      <c r="T111" s="1">
        <f>SUM(OSRRefT22_17x_0)</f>
        <v>2488.29</v>
      </c>
      <c r="U111" s="1"/>
      <c r="V111" s="5">
        <f t="shared" ref="V111:V116" si="64">IF(T$12=0,0,T111/T$12)</f>
        <v>9.4917069963160201E-3</v>
      </c>
      <c r="W111" s="1"/>
      <c r="X111" s="1">
        <f t="shared" ref="X111:X116" si="65">+P111-T111</f>
        <v>-742.51</v>
      </c>
      <c r="Y111" s="1"/>
      <c r="Z111" s="5">
        <f t="shared" ref="Z111:Z116" si="66">IF(T111=0,0,X111/T111)</f>
        <v>-0.2984017136266271</v>
      </c>
    </row>
    <row r="112" spans="1:26" s="24" customFormat="1" hidden="1" outlineLevel="2" x14ac:dyDescent="0.25">
      <c r="A112" s="26"/>
      <c r="B112" s="11" t="str">
        <f>CONCATENATE("          ", "6309", " - ", "TELEPHONE")</f>
        <v xml:space="preserve">          6309 - TELEPHONE</v>
      </c>
      <c r="C112" s="11"/>
      <c r="D112" s="6">
        <v>259.85000000000002</v>
      </c>
      <c r="E112" s="2"/>
      <c r="F112" s="7">
        <f t="shared" si="59"/>
        <v>4.9917703505169856E-3</v>
      </c>
      <c r="G112" s="2"/>
      <c r="H112" s="6">
        <v>370.3</v>
      </c>
      <c r="I112" s="2"/>
      <c r="J112" s="7">
        <f t="shared" si="60"/>
        <v>6.9063632914947845E-3</v>
      </c>
      <c r="K112" s="2"/>
      <c r="L112" s="6">
        <f t="shared" si="61"/>
        <v>-110.44999999999999</v>
      </c>
      <c r="M112" s="2"/>
      <c r="N112" s="7">
        <f t="shared" si="62"/>
        <v>-0.29827167161760731</v>
      </c>
      <c r="O112" s="11"/>
      <c r="P112" s="6">
        <v>1745.78</v>
      </c>
      <c r="Q112" s="2"/>
      <c r="R112" s="7">
        <f t="shared" si="63"/>
        <v>6.1392630661810136E-3</v>
      </c>
      <c r="S112" s="2"/>
      <c r="T112" s="6">
        <v>2488.29</v>
      </c>
      <c r="U112" s="2"/>
      <c r="V112" s="7">
        <f t="shared" si="64"/>
        <v>9.4917069963160201E-3</v>
      </c>
      <c r="W112" s="2"/>
      <c r="X112" s="6">
        <f t="shared" si="65"/>
        <v>-742.51</v>
      </c>
      <c r="Y112" s="2"/>
      <c r="Z112" s="7">
        <f t="shared" si="66"/>
        <v>-0.2984017136266271</v>
      </c>
    </row>
    <row r="113" spans="1:26" s="27" customFormat="1" outlineLevel="1" collapsed="1" x14ac:dyDescent="0.25">
      <c r="A113" s="25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SUM(OSRRefD22_18x_0)</f>
        <v>109.48</v>
      </c>
      <c r="E113" s="1"/>
      <c r="F113" s="5">
        <f t="shared" si="59"/>
        <v>2.1031326456594172E-3</v>
      </c>
      <c r="G113" s="1"/>
      <c r="H113" s="1">
        <f>SUM(OSRRefH22_18x_0)</f>
        <v>38.18</v>
      </c>
      <c r="I113" s="1"/>
      <c r="J113" s="5">
        <f t="shared" si="60"/>
        <v>7.1208466235287836E-4</v>
      </c>
      <c r="K113" s="1"/>
      <c r="L113" s="1">
        <f t="shared" si="61"/>
        <v>71.300000000000011</v>
      </c>
      <c r="M113" s="1"/>
      <c r="N113" s="5">
        <f t="shared" si="62"/>
        <v>1.8674698795180726</v>
      </c>
      <c r="O113" s="13"/>
      <c r="P113" s="1">
        <f>SUM(OSRRefP22_18x_0)</f>
        <v>590.47</v>
      </c>
      <c r="Q113" s="1"/>
      <c r="R113" s="5">
        <f t="shared" si="63"/>
        <v>2.0764647680050772E-3</v>
      </c>
      <c r="S113" s="1"/>
      <c r="T113" s="1">
        <f>SUM(OSRRefT22_18x_0)</f>
        <v>352.13</v>
      </c>
      <c r="U113" s="1"/>
      <c r="V113" s="5">
        <f t="shared" si="64"/>
        <v>1.3432175448250647E-3</v>
      </c>
      <c r="W113" s="1"/>
      <c r="X113" s="1">
        <f t="shared" si="65"/>
        <v>238.34000000000003</v>
      </c>
      <c r="Y113" s="1"/>
      <c r="Z113" s="5">
        <f t="shared" si="66"/>
        <v>0.6768522988668958</v>
      </c>
    </row>
    <row r="114" spans="1:26" s="24" customFormat="1" hidden="1" outlineLevel="2" x14ac:dyDescent="0.25">
      <c r="A114" s="26"/>
      <c r="B114" s="11" t="str">
        <f>CONCATENATE("          ", "6294", " - ", "TRAVEL OPERATIONAL")</f>
        <v xml:space="preserve">          6294 - TRAVEL OPERATIONAL</v>
      </c>
      <c r="C114" s="11"/>
      <c r="D114" s="6">
        <v>109.48</v>
      </c>
      <c r="E114" s="2"/>
      <c r="F114" s="7">
        <f t="shared" si="59"/>
        <v>2.1031326456594172E-3</v>
      </c>
      <c r="G114" s="2"/>
      <c r="H114" s="6">
        <v>38.18</v>
      </c>
      <c r="I114" s="2"/>
      <c r="J114" s="7">
        <f t="shared" si="60"/>
        <v>7.1208466235287836E-4</v>
      </c>
      <c r="K114" s="2"/>
      <c r="L114" s="6">
        <f t="shared" si="61"/>
        <v>71.300000000000011</v>
      </c>
      <c r="M114" s="2"/>
      <c r="N114" s="7">
        <f t="shared" si="62"/>
        <v>1.8674698795180726</v>
      </c>
      <c r="O114" s="11"/>
      <c r="P114" s="6">
        <v>590.47</v>
      </c>
      <c r="Q114" s="2"/>
      <c r="R114" s="7">
        <f t="shared" si="63"/>
        <v>2.0764647680050772E-3</v>
      </c>
      <c r="S114" s="2"/>
      <c r="T114" s="6">
        <v>352.13</v>
      </c>
      <c r="U114" s="2"/>
      <c r="V114" s="7">
        <f t="shared" si="64"/>
        <v>1.3432175448250647E-3</v>
      </c>
      <c r="W114" s="2"/>
      <c r="X114" s="6">
        <f t="shared" si="65"/>
        <v>238.34000000000003</v>
      </c>
      <c r="Y114" s="2"/>
      <c r="Z114" s="7">
        <f t="shared" si="66"/>
        <v>0.6768522988668958</v>
      </c>
    </row>
    <row r="115" spans="1:26" s="27" customFormat="1" outlineLevel="1" collapsed="1" x14ac:dyDescent="0.25">
      <c r="A115" s="25"/>
      <c r="B115" s="13" t="str">
        <f>CONCATENATE("     ","Utilities                                         ")</f>
        <v xml:space="preserve">     Utilities                                         </v>
      </c>
      <c r="C115" s="13"/>
      <c r="D115" s="1">
        <f>SUM(OSRRefD22_19x_0)</f>
        <v>70.760000000000005</v>
      </c>
      <c r="E115" s="1"/>
      <c r="F115" s="5">
        <f t="shared" si="59"/>
        <v>1.3593137194634671E-3</v>
      </c>
      <c r="G115" s="1"/>
      <c r="H115" s="1">
        <f>SUM(OSRRefH22_19x_0)</f>
        <v>53.49</v>
      </c>
      <c r="I115" s="1"/>
      <c r="J115" s="5">
        <f t="shared" si="60"/>
        <v>9.9762725482596833E-4</v>
      </c>
      <c r="K115" s="1"/>
      <c r="L115" s="1">
        <f t="shared" si="61"/>
        <v>17.270000000000003</v>
      </c>
      <c r="M115" s="1"/>
      <c r="N115" s="5">
        <f t="shared" si="62"/>
        <v>0.32286408674518607</v>
      </c>
      <c r="O115" s="13"/>
      <c r="P115" s="1">
        <f>SUM(OSRRefP22_19x_0)</f>
        <v>297.68</v>
      </c>
      <c r="Q115" s="1"/>
      <c r="R115" s="5">
        <f t="shared" si="63"/>
        <v>1.0468305453956194E-3</v>
      </c>
      <c r="S115" s="1"/>
      <c r="T115" s="1">
        <f>SUM(OSRRefT22_19x_0)</f>
        <v>370.73</v>
      </c>
      <c r="U115" s="1"/>
      <c r="V115" s="5">
        <f t="shared" si="64"/>
        <v>1.4141681776417695E-3</v>
      </c>
      <c r="W115" s="1"/>
      <c r="X115" s="1">
        <f t="shared" si="65"/>
        <v>-73.050000000000011</v>
      </c>
      <c r="Y115" s="1"/>
      <c r="Z115" s="5">
        <f t="shared" si="66"/>
        <v>-0.19704367059585146</v>
      </c>
    </row>
    <row r="116" spans="1:26" s="24" customFormat="1" hidden="1" outlineLevel="2" x14ac:dyDescent="0.25">
      <c r="A116" s="26"/>
      <c r="B116" s="11" t="str">
        <f>CONCATENATE("          ", "6274", " - ", "UTILITIES")</f>
        <v xml:space="preserve">          6274 - UTILITIES</v>
      </c>
      <c r="C116" s="11"/>
      <c r="D116" s="6">
        <v>70.760000000000005</v>
      </c>
      <c r="E116" s="2"/>
      <c r="F116" s="7">
        <f t="shared" si="59"/>
        <v>1.3593137194634671E-3</v>
      </c>
      <c r="G116" s="2"/>
      <c r="H116" s="6">
        <v>53.49</v>
      </c>
      <c r="I116" s="2"/>
      <c r="J116" s="7">
        <f t="shared" si="60"/>
        <v>9.9762725482596833E-4</v>
      </c>
      <c r="K116" s="2"/>
      <c r="L116" s="6">
        <f t="shared" si="61"/>
        <v>17.270000000000003</v>
      </c>
      <c r="M116" s="2"/>
      <c r="N116" s="7">
        <f t="shared" si="62"/>
        <v>0.32286408674518607</v>
      </c>
      <c r="O116" s="11"/>
      <c r="P116" s="6">
        <v>297.68</v>
      </c>
      <c r="Q116" s="2"/>
      <c r="R116" s="7">
        <f t="shared" si="63"/>
        <v>1.0468305453956194E-3</v>
      </c>
      <c r="S116" s="2"/>
      <c r="T116" s="6">
        <v>370.73</v>
      </c>
      <c r="U116" s="2"/>
      <c r="V116" s="7">
        <f t="shared" si="64"/>
        <v>1.4141681776417695E-3</v>
      </c>
      <c r="W116" s="2"/>
      <c r="X116" s="6">
        <f t="shared" si="65"/>
        <v>-73.050000000000011</v>
      </c>
      <c r="Y116" s="2"/>
      <c r="Z116" s="7">
        <f t="shared" si="66"/>
        <v>-0.19704367059585146</v>
      </c>
    </row>
    <row r="117" spans="1:26" s="61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x14ac:dyDescent="0.25">
      <c r="A118" s="10"/>
      <c r="B118" s="28" t="s">
        <v>0</v>
      </c>
      <c r="C118" s="10"/>
      <c r="D118" s="4">
        <f>SUM(0)</f>
        <v>0</v>
      </c>
      <c r="E118" s="4"/>
      <c r="F118" s="12">
        <f>IF(D$12=0,0,D118/D$12)</f>
        <v>0</v>
      </c>
      <c r="G118" s="4"/>
      <c r="H118" s="4">
        <f>SUM(0)</f>
        <v>0</v>
      </c>
      <c r="I118" s="4"/>
      <c r="J118" s="12">
        <f>IF(H$12=0,0,H118/H$12)</f>
        <v>0</v>
      </c>
      <c r="K118" s="4"/>
      <c r="L118" s="4">
        <f>+D118-H118</f>
        <v>0</v>
      </c>
      <c r="M118" s="4"/>
      <c r="N118" s="12">
        <f>IF(H118=0,0,L118/H118)</f>
        <v>0</v>
      </c>
      <c r="O118" s="10"/>
      <c r="P118" s="4">
        <f>SUM(0)</f>
        <v>0</v>
      </c>
      <c r="Q118" s="4"/>
      <c r="R118" s="12">
        <f>IF(P$12=0,0,P118/P$12)</f>
        <v>0</v>
      </c>
      <c r="S118" s="4"/>
      <c r="T118" s="4">
        <f>SUM(0)</f>
        <v>0</v>
      </c>
      <c r="U118" s="4"/>
      <c r="V118" s="12">
        <f>IF(T$12=0,0,T118/T$12)</f>
        <v>0</v>
      </c>
      <c r="W118" s="4"/>
      <c r="X118" s="4">
        <f>+P118-T118</f>
        <v>0</v>
      </c>
      <c r="Y118" s="4"/>
      <c r="Z118" s="12">
        <f>IF(T118=0,0,X118/T118)</f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3</v>
      </c>
      <c r="C120" s="29"/>
      <c r="D120" s="20">
        <f>+D57-D59+D118</f>
        <v>-5440.0000000000073</v>
      </c>
      <c r="E120" s="14"/>
      <c r="F120" s="21">
        <f>IF(D$12=0,0,D120/D$12)</f>
        <v>-0.10450348549860472</v>
      </c>
      <c r="G120" s="14"/>
      <c r="H120" s="20">
        <f>+H57-H59+H118</f>
        <v>-911.02999999999884</v>
      </c>
      <c r="I120" s="14"/>
      <c r="J120" s="21">
        <f>IF(H$12=0,0,H120/H$12)</f>
        <v>-1.699136956373342E-2</v>
      </c>
      <c r="K120" s="15"/>
      <c r="L120" s="20">
        <f>+D120-H120</f>
        <v>-4528.9700000000084</v>
      </c>
      <c r="M120" s="15"/>
      <c r="N120" s="21">
        <f>IF(H120=0,0,L120/H120)</f>
        <v>4.9712632953909468</v>
      </c>
      <c r="O120" s="28"/>
      <c r="P120" s="20">
        <f>+P57-P59+P118</f>
        <v>-24378.509999999922</v>
      </c>
      <c r="Q120" s="14"/>
      <c r="R120" s="21">
        <f>IF(P$12=0,0,P120/P$12)</f>
        <v>-8.5730210021608702E-2</v>
      </c>
      <c r="S120" s="14"/>
      <c r="T120" s="20">
        <f>+T57-T59+T118</f>
        <v>-22336.270000000048</v>
      </c>
      <c r="U120" s="14"/>
      <c r="V120" s="21">
        <f>IF(T$12=0,0,T120/T$12)</f>
        <v>-8.5202822111009602E-2</v>
      </c>
      <c r="W120" s="15"/>
      <c r="X120" s="20">
        <f>+P120-T120</f>
        <v>-2042.2399999998743</v>
      </c>
      <c r="Y120" s="15"/>
      <c r="Z120" s="21">
        <f>IF(T120=0,0,X120/T120)</f>
        <v>9.1431559521794367E-2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6113.62</v>
      </c>
      <c r="E122" s="4"/>
      <c r="F122" s="12">
        <f>IF(D$12=0,0,D122/D$12)</f>
        <v>0.11744386011286378</v>
      </c>
      <c r="G122" s="4"/>
      <c r="H122" s="4">
        <v>6347.65</v>
      </c>
      <c r="I122" s="4"/>
      <c r="J122" s="12">
        <f>IF(H$12=0,0,H122/H$12)</f>
        <v>0.11838827152918409</v>
      </c>
      <c r="K122" s="4"/>
      <c r="L122" s="4">
        <f>+D122-H122</f>
        <v>-234.02999999999975</v>
      </c>
      <c r="M122" s="4"/>
      <c r="N122" s="12">
        <f>IF(H122=0,0,L122/H122)</f>
        <v>-3.6868762455396845E-2</v>
      </c>
      <c r="O122" s="10"/>
      <c r="P122" s="4">
        <v>30713.41</v>
      </c>
      <c r="Q122" s="4"/>
      <c r="R122" s="12">
        <f>IF(P$12=0,0,P122/P$12)</f>
        <v>0.10800771211119077</v>
      </c>
      <c r="S122" s="4"/>
      <c r="T122" s="4">
        <v>28290.400000000001</v>
      </c>
      <c r="U122" s="4"/>
      <c r="V122" s="12">
        <f>IF(T$12=0,0,T122/T$12)</f>
        <v>0.10791514960417747</v>
      </c>
      <c r="W122" s="4"/>
      <c r="X122" s="4">
        <f>+P122-T122</f>
        <v>2423.0099999999984</v>
      </c>
      <c r="Y122" s="4"/>
      <c r="Z122" s="12">
        <f>IF(T122=0,0,X122/T122)</f>
        <v>8.5647781579617055E-2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4</v>
      </c>
      <c r="C124" s="29"/>
      <c r="D124" s="32">
        <f>+D120-D122</f>
        <v>-11553.620000000006</v>
      </c>
      <c r="E124" s="14"/>
      <c r="F124" s="30">
        <f>IF(D$12=0,0,D124/D$12)</f>
        <v>-0.22194734561146848</v>
      </c>
      <c r="G124" s="14"/>
      <c r="H124" s="32">
        <f>+H120-H122</f>
        <v>-7258.6799999999985</v>
      </c>
      <c r="I124" s="14"/>
      <c r="J124" s="30">
        <f>IF(H$12=0,0,H124/H$12)</f>
        <v>-0.1353796410929175</v>
      </c>
      <c r="K124" s="15"/>
      <c r="L124" s="32">
        <f>D124-H124</f>
        <v>-4294.9400000000078</v>
      </c>
      <c r="M124" s="15"/>
      <c r="N124" s="30">
        <f>IF(H124=0,0,L124/H124)</f>
        <v>0.59169711297370986</v>
      </c>
      <c r="O124" s="28"/>
      <c r="P124" s="32">
        <f>+P120-P122</f>
        <v>-55091.919999999925</v>
      </c>
      <c r="Q124" s="14"/>
      <c r="R124" s="30">
        <f>IF(P$12=0,0,P124/P$12)</f>
        <v>-0.19373792213279947</v>
      </c>
      <c r="S124" s="14"/>
      <c r="T124" s="32">
        <f>+T120-T122</f>
        <v>-50626.670000000049</v>
      </c>
      <c r="U124" s="14"/>
      <c r="V124" s="30">
        <f>IF(T$12=0,0,T124/T$12)</f>
        <v>-0.19311797171518708</v>
      </c>
      <c r="W124" s="15"/>
      <c r="X124" s="32">
        <f>P124-T124</f>
        <v>-4465.2499999998763</v>
      </c>
      <c r="Y124" s="15"/>
      <c r="Z124" s="30">
        <f>IF(T124=0,0,X124/T124)</f>
        <v>8.8199559639215303E-2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5</v>
      </c>
      <c r="C127" s="29"/>
      <c r="D127" s="36">
        <f>SUM(D124:D126)</f>
        <v>-11553.620000000006</v>
      </c>
      <c r="E127" s="14"/>
      <c r="F127" s="31">
        <f>IF(D$12=0,0,D127/D$12)</f>
        <v>-0.22194734561146848</v>
      </c>
      <c r="G127" s="14"/>
      <c r="H127" s="36">
        <f>SUM(H124:H126)</f>
        <v>-7258.6799999999985</v>
      </c>
      <c r="I127" s="14"/>
      <c r="J127" s="31">
        <f>IF(H$12=0,0,H127/H$12)</f>
        <v>-0.1353796410929175</v>
      </c>
      <c r="K127" s="15"/>
      <c r="L127" s="36">
        <f>+D127-H127</f>
        <v>-4294.9400000000078</v>
      </c>
      <c r="M127" s="15"/>
      <c r="N127" s="31">
        <f>IF(H127=0,0,L127/H127)</f>
        <v>0.59169711297370986</v>
      </c>
      <c r="O127" s="28"/>
      <c r="P127" s="36">
        <f>SUM(P124:P126)</f>
        <v>-55091.919999999925</v>
      </c>
      <c r="Q127" s="14"/>
      <c r="R127" s="31">
        <f>IF(P$12=0,0,P127/P$12)</f>
        <v>-0.19373792213279947</v>
      </c>
      <c r="S127" s="14"/>
      <c r="T127" s="36">
        <f>SUM(T124:T126)</f>
        <v>-50626.670000000049</v>
      </c>
      <c r="U127" s="14"/>
      <c r="V127" s="31">
        <f>IF(T$12=0,0,T127/T$12)</f>
        <v>-0.19311797171518708</v>
      </c>
      <c r="W127" s="15"/>
      <c r="X127" s="36">
        <f>+P127-T127</f>
        <v>-4465.2499999998763</v>
      </c>
      <c r="Y127" s="15"/>
      <c r="Z127" s="31">
        <f>IF(T127=0,0,X127/T127)</f>
        <v>8.8199559639215303E-2</v>
      </c>
    </row>
    <row r="128" spans="1:26" ht="15.75" thickTop="1" x14ac:dyDescent="0.25">
      <c r="A128" s="9"/>
      <c r="C128" s="9"/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62">
        <v>43847.453910104166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6" t="s">
        <v>313</v>
      </c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A131" s="9"/>
      <c r="B131" s="54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4" x14ac:dyDescent="0.25"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303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37088.239999999998</v>
      </c>
      <c r="E12" s="4"/>
      <c r="F12" s="12"/>
      <c r="G12" s="4"/>
      <c r="H12" s="4">
        <f>SUM(OSRRefH13x_0)</f>
        <v>43681.04</v>
      </c>
      <c r="I12" s="4"/>
      <c r="J12" s="12"/>
      <c r="K12" s="4"/>
      <c r="L12" s="4">
        <f t="shared" ref="L12:L28" si="0">+D12-H12</f>
        <v>-6592.8000000000029</v>
      </c>
      <c r="M12" s="4"/>
      <c r="N12" s="12">
        <f t="shared" ref="N12:N28" si="1">IF(H12=0,0,L12/H12)</f>
        <v>-0.15093047235139095</v>
      </c>
      <c r="O12" s="10"/>
      <c r="P12" s="4">
        <f>SUM(OSRRefP13x_0)</f>
        <v>307644.60000000003</v>
      </c>
      <c r="Q12" s="4"/>
      <c r="R12" s="12"/>
      <c r="S12" s="4"/>
      <c r="T12" s="4">
        <f>SUM(OSRRefT13x_0)</f>
        <v>320851.78000000003</v>
      </c>
      <c r="U12" s="4"/>
      <c r="V12" s="12"/>
      <c r="W12" s="4"/>
      <c r="X12" s="4">
        <f t="shared" ref="X12:X28" si="2">+P12-T12</f>
        <v>-13207.179999999993</v>
      </c>
      <c r="Y12" s="4"/>
      <c r="Z12" s="12">
        <f t="shared" ref="Z12:Z28" si="3">IF(T12=0,0,X12/T12)</f>
        <v>-4.1162869659005764E-2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--96.53</f>
        <v>96.53</v>
      </c>
      <c r="E13" s="2"/>
      <c r="F13" s="19"/>
      <c r="G13" s="2"/>
      <c r="H13" s="2">
        <f>--1644.6</f>
        <v>1644.6</v>
      </c>
      <c r="I13" s="2"/>
      <c r="J13" s="19"/>
      <c r="K13" s="2"/>
      <c r="L13" s="2">
        <f t="shared" si="0"/>
        <v>-1548.07</v>
      </c>
      <c r="M13" s="2"/>
      <c r="N13" s="19">
        <f t="shared" si="1"/>
        <v>-0.94130487656573025</v>
      </c>
      <c r="O13" s="11"/>
      <c r="P13" s="2">
        <f>--97064.88</f>
        <v>97064.88</v>
      </c>
      <c r="Q13" s="2"/>
      <c r="R13" s="19"/>
      <c r="S13" s="2"/>
      <c r="T13" s="2">
        <f>--111035.35</f>
        <v>111035.35</v>
      </c>
      <c r="U13" s="2"/>
      <c r="V13" s="19"/>
      <c r="W13" s="2"/>
      <c r="X13" s="2">
        <f t="shared" si="2"/>
        <v>-13970.470000000001</v>
      </c>
      <c r="Y13" s="2"/>
      <c r="Z13" s="19">
        <f t="shared" si="3"/>
        <v>-0.12582002038089671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--8211.3</f>
        <v>8211.2999999999993</v>
      </c>
      <c r="E14" s="2"/>
      <c r="F14" s="19"/>
      <c r="G14" s="2"/>
      <c r="H14" s="2">
        <f>--8349.16</f>
        <v>8349.16</v>
      </c>
      <c r="I14" s="2"/>
      <c r="J14" s="19"/>
      <c r="K14" s="2"/>
      <c r="L14" s="2">
        <f t="shared" si="0"/>
        <v>-137.86000000000058</v>
      </c>
      <c r="M14" s="2"/>
      <c r="N14" s="19">
        <f t="shared" si="1"/>
        <v>-1.6511840712119613E-2</v>
      </c>
      <c r="O14" s="11"/>
      <c r="P14" s="2">
        <f>--48106.94</f>
        <v>48106.94</v>
      </c>
      <c r="Q14" s="2"/>
      <c r="R14" s="19"/>
      <c r="S14" s="2"/>
      <c r="T14" s="2">
        <f>--42095.27</f>
        <v>42095.27</v>
      </c>
      <c r="U14" s="2"/>
      <c r="V14" s="19"/>
      <c r="W14" s="2"/>
      <c r="X14" s="2">
        <f t="shared" si="2"/>
        <v>6011.6700000000055</v>
      </c>
      <c r="Y14" s="2"/>
      <c r="Z14" s="19">
        <f t="shared" si="3"/>
        <v>0.14281105691922172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--2.08</f>
        <v>2.08</v>
      </c>
      <c r="E15" s="2"/>
      <c r="F15" s="19"/>
      <c r="G15" s="2"/>
      <c r="H15" s="2">
        <f>--88.28</f>
        <v>88.28</v>
      </c>
      <c r="I15" s="2"/>
      <c r="J15" s="19"/>
      <c r="K15" s="2"/>
      <c r="L15" s="2">
        <f t="shared" si="0"/>
        <v>-86.2</v>
      </c>
      <c r="M15" s="2"/>
      <c r="N15" s="19">
        <f t="shared" si="1"/>
        <v>-0.97643860444041686</v>
      </c>
      <c r="O15" s="11"/>
      <c r="P15" s="2">
        <f>--104.06</f>
        <v>104.06</v>
      </c>
      <c r="Q15" s="2"/>
      <c r="R15" s="19"/>
      <c r="S15" s="2"/>
      <c r="T15" s="2">
        <f>--508.5</f>
        <v>508.5</v>
      </c>
      <c r="U15" s="2"/>
      <c r="V15" s="19"/>
      <c r="W15" s="2"/>
      <c r="X15" s="2">
        <f t="shared" si="2"/>
        <v>-404.44</v>
      </c>
      <c r="Y15" s="2"/>
      <c r="Z15" s="19">
        <f t="shared" si="3"/>
        <v>-0.7953588987217306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--115.39</f>
        <v>115.39</v>
      </c>
      <c r="E16" s="2"/>
      <c r="F16" s="19"/>
      <c r="G16" s="2"/>
      <c r="H16" s="2">
        <f>--282.87</f>
        <v>282.87</v>
      </c>
      <c r="I16" s="2"/>
      <c r="J16" s="19"/>
      <c r="K16" s="2"/>
      <c r="L16" s="2">
        <f t="shared" si="0"/>
        <v>-167.48000000000002</v>
      </c>
      <c r="M16" s="2"/>
      <c r="N16" s="19">
        <f t="shared" si="1"/>
        <v>-0.59207409764202645</v>
      </c>
      <c r="O16" s="11"/>
      <c r="P16" s="2">
        <f>--1793.94</f>
        <v>1793.94</v>
      </c>
      <c r="Q16" s="2"/>
      <c r="R16" s="19"/>
      <c r="S16" s="2"/>
      <c r="T16" s="2">
        <f>--1892.28</f>
        <v>1892.28</v>
      </c>
      <c r="U16" s="2"/>
      <c r="V16" s="19"/>
      <c r="W16" s="2"/>
      <c r="X16" s="2">
        <f t="shared" si="2"/>
        <v>-98.339999999999918</v>
      </c>
      <c r="Y16" s="2"/>
      <c r="Z16" s="19">
        <f t="shared" si="3"/>
        <v>-5.1969053205656625E-2</v>
      </c>
    </row>
    <row r="17" spans="1:26" s="24" customFormat="1" hidden="1" outlineLevel="1" x14ac:dyDescent="0.25">
      <c r="A17" s="44"/>
      <c r="B17" s="11" t="str">
        <f>CONCATENATE("          ", "4092", " - ", "TAXABLE SALES-GRAD MERCH")</f>
        <v xml:space="preserve">          4092 - TAXABLE SALES-GRAD MERCH</v>
      </c>
      <c r="C17" s="11"/>
      <c r="D17" s="2">
        <f>--218.75</f>
        <v>218.75</v>
      </c>
      <c r="E17" s="2"/>
      <c r="F17" s="19"/>
      <c r="G17" s="2"/>
      <c r="H17" s="2">
        <f>--334.6</f>
        <v>334.6</v>
      </c>
      <c r="I17" s="2"/>
      <c r="J17" s="19"/>
      <c r="K17" s="2"/>
      <c r="L17" s="2">
        <f t="shared" si="0"/>
        <v>-115.85000000000002</v>
      </c>
      <c r="M17" s="2"/>
      <c r="N17" s="19">
        <f t="shared" si="1"/>
        <v>-0.34623430962343099</v>
      </c>
      <c r="O17" s="11"/>
      <c r="P17" s="2">
        <f>--7699.32</f>
        <v>7699.32</v>
      </c>
      <c r="Q17" s="2"/>
      <c r="R17" s="19"/>
      <c r="S17" s="2"/>
      <c r="T17" s="2">
        <f>--6961.06</f>
        <v>6961.06</v>
      </c>
      <c r="U17" s="2"/>
      <c r="V17" s="19"/>
      <c r="W17" s="2"/>
      <c r="X17" s="2">
        <f t="shared" si="2"/>
        <v>738.25999999999931</v>
      </c>
      <c r="Y17" s="2"/>
      <c r="Z17" s="19">
        <f t="shared" si="3"/>
        <v>0.10605568692124465</v>
      </c>
    </row>
    <row r="18" spans="1:26" s="24" customFormat="1" hidden="1" outlineLevel="1" x14ac:dyDescent="0.25">
      <c r="A18" s="44"/>
      <c r="B18" s="11" t="str">
        <f>CONCATENATE("          ", "4095", " - ", "TAXABLE SALES-CUSTOMER SERVICE")</f>
        <v xml:space="preserve">          4095 - TAXABLE SALES-CUSTOMER SERVICE</v>
      </c>
      <c r="C18" s="11"/>
      <c r="D18" s="2">
        <f>--19.9</f>
        <v>19.899999999999999</v>
      </c>
      <c r="E18" s="2"/>
      <c r="F18" s="19"/>
      <c r="G18" s="2"/>
      <c r="H18" s="2">
        <f>--91.18</f>
        <v>91.18</v>
      </c>
      <c r="I18" s="2"/>
      <c r="J18" s="19"/>
      <c r="K18" s="2"/>
      <c r="L18" s="2">
        <f t="shared" si="0"/>
        <v>-71.28</v>
      </c>
      <c r="M18" s="2"/>
      <c r="N18" s="19">
        <f t="shared" si="1"/>
        <v>-0.78175038385610873</v>
      </c>
      <c r="O18" s="11"/>
      <c r="P18" s="2">
        <f>--268.62</f>
        <v>268.62</v>
      </c>
      <c r="Q18" s="2"/>
      <c r="R18" s="19"/>
      <c r="S18" s="2"/>
      <c r="T18" s="2">
        <f>--1316.94</f>
        <v>1316.94</v>
      </c>
      <c r="U18" s="2"/>
      <c r="V18" s="19"/>
      <c r="W18" s="2"/>
      <c r="X18" s="2">
        <f t="shared" si="2"/>
        <v>-1048.3200000000002</v>
      </c>
      <c r="Y18" s="2"/>
      <c r="Z18" s="19">
        <f t="shared" si="3"/>
        <v>-0.79602715385666778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0</f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--152.75</f>
        <v>152.75</v>
      </c>
      <c r="Q19" s="2"/>
      <c r="R19" s="19"/>
      <c r="S19" s="2"/>
      <c r="T19" s="2">
        <f>--1187.45</f>
        <v>1187.45</v>
      </c>
      <c r="U19" s="2"/>
      <c r="V19" s="19"/>
      <c r="W19" s="2"/>
      <c r="X19" s="2">
        <f t="shared" si="2"/>
        <v>-1034.7</v>
      </c>
      <c r="Y19" s="2"/>
      <c r="Z19" s="19">
        <f t="shared" si="3"/>
        <v>-0.87136300475809503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--1239.89</f>
        <v>1239.8900000000001</v>
      </c>
      <c r="E20" s="2"/>
      <c r="F20" s="19"/>
      <c r="G20" s="2"/>
      <c r="H20" s="2">
        <f>--1511.15</f>
        <v>1511.15</v>
      </c>
      <c r="I20" s="2"/>
      <c r="J20" s="19"/>
      <c r="K20" s="2"/>
      <c r="L20" s="2">
        <f t="shared" si="0"/>
        <v>-271.26</v>
      </c>
      <c r="M20" s="2"/>
      <c r="N20" s="19">
        <f t="shared" si="1"/>
        <v>-0.17950567448631835</v>
      </c>
      <c r="O20" s="11"/>
      <c r="P20" s="2">
        <f>--6756.89</f>
        <v>6756.89</v>
      </c>
      <c r="Q20" s="2"/>
      <c r="R20" s="19"/>
      <c r="S20" s="2"/>
      <c r="T20" s="2">
        <f>--7452.64</f>
        <v>7452.64</v>
      </c>
      <c r="U20" s="2"/>
      <c r="V20" s="19"/>
      <c r="W20" s="2"/>
      <c r="X20" s="2">
        <f t="shared" si="2"/>
        <v>-695.75</v>
      </c>
      <c r="Y20" s="2"/>
      <c r="Z20" s="19">
        <f t="shared" si="3"/>
        <v>-9.335617982352562E-2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--27126.9</f>
        <v>27126.9</v>
      </c>
      <c r="E21" s="2"/>
      <c r="F21" s="19"/>
      <c r="G21" s="2"/>
      <c r="H21" s="2">
        <f>--31432.85</f>
        <v>31432.85</v>
      </c>
      <c r="I21" s="2"/>
      <c r="J21" s="19"/>
      <c r="K21" s="2"/>
      <c r="L21" s="2">
        <f t="shared" si="0"/>
        <v>-4305.9499999999971</v>
      </c>
      <c r="M21" s="2"/>
      <c r="N21" s="19">
        <f t="shared" si="1"/>
        <v>-0.13698885083598838</v>
      </c>
      <c r="O21" s="11"/>
      <c r="P21" s="2">
        <f>--146467.95</f>
        <v>146467.95000000001</v>
      </c>
      <c r="Q21" s="2"/>
      <c r="R21" s="19"/>
      <c r="S21" s="2"/>
      <c r="T21" s="2">
        <f>--149484</f>
        <v>149484</v>
      </c>
      <c r="U21" s="2"/>
      <c r="V21" s="19"/>
      <c r="W21" s="2"/>
      <c r="X21" s="2">
        <f t="shared" si="2"/>
        <v>-3016.0499999999884</v>
      </c>
      <c r="Y21" s="2"/>
      <c r="Z21" s="19">
        <f t="shared" si="3"/>
        <v>-2.0176406839527899E-2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--57.5</f>
        <v>57.5</v>
      </c>
      <c r="E22" s="2"/>
      <c r="F22" s="19"/>
      <c r="G22" s="2"/>
      <c r="H22" s="2">
        <f>--38.5</f>
        <v>38.5</v>
      </c>
      <c r="I22" s="2"/>
      <c r="J22" s="19"/>
      <c r="K22" s="2"/>
      <c r="L22" s="2">
        <f t="shared" si="0"/>
        <v>19</v>
      </c>
      <c r="M22" s="2"/>
      <c r="N22" s="19">
        <f t="shared" si="1"/>
        <v>0.4935064935064935</v>
      </c>
      <c r="O22" s="11"/>
      <c r="P22" s="2">
        <f>--307.4</f>
        <v>307.39999999999998</v>
      </c>
      <c r="Q22" s="2"/>
      <c r="R22" s="19"/>
      <c r="S22" s="2"/>
      <c r="T22" s="2">
        <f>--408.5</f>
        <v>408.5</v>
      </c>
      <c r="U22" s="2"/>
      <c r="V22" s="19"/>
      <c r="W22" s="2"/>
      <c r="X22" s="2">
        <f t="shared" si="2"/>
        <v>-101.10000000000002</v>
      </c>
      <c r="Y22" s="2"/>
      <c r="Z22" s="19">
        <f t="shared" si="3"/>
        <v>-0.24749082007343948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8" si="4">0</f>
        <v>0</v>
      </c>
      <c r="E23" s="2"/>
      <c r="F23" s="19"/>
      <c r="G23" s="2"/>
      <c r="H23" s="2">
        <f>-32.15</f>
        <v>-32.15</v>
      </c>
      <c r="I23" s="2"/>
      <c r="J23" s="19"/>
      <c r="K23" s="2"/>
      <c r="L23" s="2">
        <f t="shared" si="0"/>
        <v>32.15</v>
      </c>
      <c r="M23" s="2"/>
      <c r="N23" s="19">
        <f t="shared" si="1"/>
        <v>-1</v>
      </c>
      <c r="O23" s="11"/>
      <c r="P23" s="2">
        <f>-634.75</f>
        <v>-634.75</v>
      </c>
      <c r="Q23" s="2"/>
      <c r="R23" s="19"/>
      <c r="S23" s="2"/>
      <c r="T23" s="2">
        <f>-807.1</f>
        <v>-807.1</v>
      </c>
      <c r="U23" s="2"/>
      <c r="V23" s="19"/>
      <c r="W23" s="2"/>
      <c r="X23" s="2">
        <f t="shared" si="2"/>
        <v>172.35000000000002</v>
      </c>
      <c r="Y23" s="2"/>
      <c r="Z23" s="19">
        <f t="shared" si="3"/>
        <v>-0.21354231198116716</v>
      </c>
    </row>
    <row r="24" spans="1:26" s="24" customFormat="1" hidden="1" outlineLevel="1" x14ac:dyDescent="0.25">
      <c r="A24" s="44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 t="shared" si="4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-16.2</f>
        <v>-16.2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-16.2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"4292", " - ", "SALES RETURN TAXABLE-GRAD MERC")</f>
        <v xml:space="preserve">          4292 - SALES RETURN TAXABLE-GRAD MERC</v>
      </c>
      <c r="C25" s="11"/>
      <c r="D25" s="2">
        <f t="shared" si="4"/>
        <v>0</v>
      </c>
      <c r="E25" s="2"/>
      <c r="F25" s="19"/>
      <c r="G25" s="2"/>
      <c r="H25" s="2">
        <f>-60</f>
        <v>-60</v>
      </c>
      <c r="I25" s="2"/>
      <c r="J25" s="19"/>
      <c r="K25" s="2"/>
      <c r="L25" s="2">
        <f t="shared" si="0"/>
        <v>60</v>
      </c>
      <c r="M25" s="2"/>
      <c r="N25" s="19">
        <f t="shared" si="1"/>
        <v>-1</v>
      </c>
      <c r="O25" s="11"/>
      <c r="P25" s="2">
        <f>-419.05</f>
        <v>-419.05</v>
      </c>
      <c r="Q25" s="2"/>
      <c r="R25" s="19"/>
      <c r="S25" s="2"/>
      <c r="T25" s="2">
        <f>-548.24</f>
        <v>-548.24</v>
      </c>
      <c r="U25" s="2"/>
      <c r="V25" s="19"/>
      <c r="W25" s="2"/>
      <c r="X25" s="2">
        <f t="shared" si="2"/>
        <v>129.19</v>
      </c>
      <c r="Y25" s="2"/>
      <c r="Z25" s="19">
        <f t="shared" si="3"/>
        <v>-0.23564497300452356</v>
      </c>
    </row>
    <row r="26" spans="1:26" s="24" customFormat="1" hidden="1" outlineLevel="1" x14ac:dyDescent="0.25">
      <c r="A26" s="44"/>
      <c r="B26" s="11" t="str">
        <f>CONCATENATE("          ", "4295", " - ", "SALES RETURN TAXABLE-CUSTOMER")</f>
        <v xml:space="preserve">          4295 - SALES RETURN TAXABLE-CUSTOMER</v>
      </c>
      <c r="C26" s="11"/>
      <c r="D26" s="2">
        <f t="shared" si="4"/>
        <v>0</v>
      </c>
      <c r="E26" s="2"/>
      <c r="F26" s="19"/>
      <c r="G26" s="2"/>
      <c r="H26" s="2">
        <f t="shared" ref="H26:H28" si="5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27" si="6">0</f>
        <v>0</v>
      </c>
      <c r="Q26" s="2"/>
      <c r="R26" s="19"/>
      <c r="S26" s="2"/>
      <c r="T26" s="2">
        <f>-126.72</f>
        <v>-126.72</v>
      </c>
      <c r="U26" s="2"/>
      <c r="V26" s="19"/>
      <c r="W26" s="2"/>
      <c r="X26" s="2">
        <f t="shared" si="2"/>
        <v>126.72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"4341", " - ", "SALES RETURN NON TAXABLE-LOGO")</f>
        <v xml:space="preserve">          4341 - SALES RETURN NON TAXABLE-LOGO</v>
      </c>
      <c r="C27" s="11"/>
      <c r="D27" s="2">
        <f t="shared" si="4"/>
        <v>0</v>
      </c>
      <c r="E27" s="2"/>
      <c r="F27" s="19"/>
      <c r="G27" s="2"/>
      <c r="H27" s="2">
        <f t="shared" si="5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6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 t="shared" si="4"/>
        <v>0</v>
      </c>
      <c r="E28" s="2"/>
      <c r="F28" s="19"/>
      <c r="G28" s="2"/>
      <c r="H28" s="2">
        <f t="shared" si="5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-8.15</f>
        <v>-8.15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-8.15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8" t="s">
        <v>8</v>
      </c>
      <c r="C30" s="10"/>
      <c r="D30" s="4">
        <f>SUM(OSRRefD16x_0)</f>
        <v>115</v>
      </c>
      <c r="E30" s="4"/>
      <c r="F30" s="12">
        <f t="shared" ref="F30:F35" si="7">IF(D$12=0,0,D30/D$12)</f>
        <v>3.1007133258412912E-3</v>
      </c>
      <c r="G30" s="4"/>
      <c r="H30" s="4">
        <f>SUM(OSRRefH16x_0)</f>
        <v>113.12</v>
      </c>
      <c r="I30" s="4"/>
      <c r="J30" s="12">
        <f t="shared" ref="J30:J35" si="8">IF(H$12=0,0,H30/H$12)</f>
        <v>2.5896819306500027E-3</v>
      </c>
      <c r="K30" s="4"/>
      <c r="L30" s="4">
        <f t="shared" ref="L30:L35" si="9">+D30-H30</f>
        <v>1.8799999999999955</v>
      </c>
      <c r="M30" s="4"/>
      <c r="N30" s="12">
        <f t="shared" ref="N30:N35" si="10">IF(H30=0,0,L30/H30)</f>
        <v>1.6619519094766579E-2</v>
      </c>
      <c r="O30" s="10"/>
      <c r="P30" s="4">
        <f>SUM(OSRRefP16x_0)</f>
        <v>3803.1200000000003</v>
      </c>
      <c r="Q30" s="4"/>
      <c r="R30" s="12">
        <f t="shared" ref="R30:R35" si="11">IF(P$12=0,0,P30/P$12)</f>
        <v>1.2362056736897055E-2</v>
      </c>
      <c r="S30" s="4"/>
      <c r="T30" s="4">
        <f>SUM(OSRRefT16x_0)</f>
        <v>2623.6600000000003</v>
      </c>
      <c r="U30" s="4"/>
      <c r="V30" s="12">
        <f t="shared" ref="V30:V35" si="12">IF(T$12=0,0,T30/T$12)</f>
        <v>8.177171402944999E-3</v>
      </c>
      <c r="W30" s="4"/>
      <c r="X30" s="4">
        <f t="shared" ref="X30:X35" si="13">+P30-T30</f>
        <v>1179.46</v>
      </c>
      <c r="Y30" s="4"/>
      <c r="Z30" s="12">
        <f t="shared" ref="Z30:Z35" si="14">IF(T30=0,0,X30/T30)</f>
        <v>0.44954757857344319</v>
      </c>
    </row>
    <row r="31" spans="1:26" s="24" customFormat="1" hidden="1" outlineLevel="1" x14ac:dyDescent="0.25">
      <c r="A31" s="44"/>
      <c r="B31" s="11" t="str">
        <f>CONCATENATE("          ", "5092", " - ", "PURCHASES @ COST-GRAD MERCH")</f>
        <v xml:space="preserve">          5092 - PURCHASES @ COST-GRAD MERCH</v>
      </c>
      <c r="C31" s="11"/>
      <c r="D31" s="2"/>
      <c r="E31" s="2"/>
      <c r="F31" s="19">
        <f t="shared" si="7"/>
        <v>0</v>
      </c>
      <c r="G31" s="2"/>
      <c r="H31" s="2">
        <v>828</v>
      </c>
      <c r="I31" s="2"/>
      <c r="J31" s="19">
        <f t="shared" si="8"/>
        <v>1.895559263240985E-2</v>
      </c>
      <c r="K31" s="2"/>
      <c r="L31" s="2">
        <f t="shared" si="9"/>
        <v>-828</v>
      </c>
      <c r="M31" s="2"/>
      <c r="N31" s="19">
        <f t="shared" si="10"/>
        <v>-1</v>
      </c>
      <c r="O31" s="11"/>
      <c r="P31" s="2">
        <v>1984.49</v>
      </c>
      <c r="Q31" s="2"/>
      <c r="R31" s="19">
        <f t="shared" si="11"/>
        <v>6.4505926643926136E-3</v>
      </c>
      <c r="S31" s="2"/>
      <c r="T31" s="2">
        <v>-1870.04</v>
      </c>
      <c r="U31" s="2"/>
      <c r="V31" s="19">
        <f t="shared" si="12"/>
        <v>-5.8283609958467422E-3</v>
      </c>
      <c r="W31" s="2"/>
      <c r="X31" s="2">
        <f t="shared" si="13"/>
        <v>3854.5299999999997</v>
      </c>
      <c r="Y31" s="2"/>
      <c r="Z31" s="19">
        <f t="shared" si="14"/>
        <v>-2.0612018994246113</v>
      </c>
    </row>
    <row r="32" spans="1:26" s="24" customFormat="1" hidden="1" outlineLevel="1" x14ac:dyDescent="0.25">
      <c r="A32" s="44"/>
      <c r="B32" s="11" t="str">
        <f>CONCATENATE("          ", "5095", " - ", "PURCHASES @ COST-CUSTOMER SERV")</f>
        <v xml:space="preserve">          5095 - PURCHASES @ COST-CUSTOMER SERV</v>
      </c>
      <c r="C32" s="11"/>
      <c r="D32" s="2"/>
      <c r="E32" s="2"/>
      <c r="F32" s="19">
        <f t="shared" si="7"/>
        <v>0</v>
      </c>
      <c r="G32" s="2"/>
      <c r="H32" s="2">
        <v>-2.88</v>
      </c>
      <c r="I32" s="2"/>
      <c r="J32" s="19">
        <f t="shared" si="8"/>
        <v>-6.5932496112729909E-5</v>
      </c>
      <c r="K32" s="2"/>
      <c r="L32" s="2">
        <f t="shared" si="9"/>
        <v>2.88</v>
      </c>
      <c r="M32" s="2"/>
      <c r="N32" s="19">
        <f t="shared" si="10"/>
        <v>-1</v>
      </c>
      <c r="O32" s="11"/>
      <c r="P32" s="2">
        <v>11.85</v>
      </c>
      <c r="Q32" s="2"/>
      <c r="R32" s="19">
        <f t="shared" si="11"/>
        <v>3.8518472289128426E-5</v>
      </c>
      <c r="S32" s="2"/>
      <c r="T32" s="2">
        <v>-57.6</v>
      </c>
      <c r="U32" s="2"/>
      <c r="V32" s="19">
        <f t="shared" si="12"/>
        <v>-1.7952214570852621E-4</v>
      </c>
      <c r="W32" s="2"/>
      <c r="X32" s="2">
        <f t="shared" si="13"/>
        <v>69.45</v>
      </c>
      <c r="Y32" s="2"/>
      <c r="Z32" s="19">
        <f t="shared" si="14"/>
        <v>-1.2057291666666667</v>
      </c>
    </row>
    <row r="33" spans="1:26" s="24" customFormat="1" hidden="1" outlineLevel="1" x14ac:dyDescent="0.25">
      <c r="A33" s="44"/>
      <c r="B33" s="11" t="str">
        <f>CONCATENATE("          ", "5200", " - ", "PURCHASES OFFSET")</f>
        <v xml:space="preserve">          5200 - PURCHASES OFFSET</v>
      </c>
      <c r="C33" s="11"/>
      <c r="D33" s="2"/>
      <c r="E33" s="2"/>
      <c r="F33" s="19">
        <f t="shared" si="7"/>
        <v>0</v>
      </c>
      <c r="G33" s="2"/>
      <c r="H33" s="2">
        <v>-825</v>
      </c>
      <c r="I33" s="2"/>
      <c r="J33" s="19">
        <f t="shared" si="8"/>
        <v>-1.8886912948959091E-2</v>
      </c>
      <c r="K33" s="2"/>
      <c r="L33" s="2">
        <f t="shared" si="9"/>
        <v>825</v>
      </c>
      <c r="M33" s="2"/>
      <c r="N33" s="19">
        <f t="shared" si="10"/>
        <v>-1</v>
      </c>
      <c r="O33" s="11"/>
      <c r="P33" s="2">
        <v>-2103</v>
      </c>
      <c r="Q33" s="2"/>
      <c r="R33" s="19">
        <f t="shared" si="11"/>
        <v>-6.8358098923238042E-3</v>
      </c>
      <c r="S33" s="2"/>
      <c r="T33" s="2">
        <v>1815</v>
      </c>
      <c r="U33" s="2"/>
      <c r="V33" s="19">
        <f t="shared" si="12"/>
        <v>5.6568176121697062E-3</v>
      </c>
      <c r="W33" s="2"/>
      <c r="X33" s="2">
        <f t="shared" si="13"/>
        <v>-3918</v>
      </c>
      <c r="Y33" s="2"/>
      <c r="Z33" s="19">
        <f t="shared" si="14"/>
        <v>-2.1586776859504133</v>
      </c>
    </row>
    <row r="34" spans="1:26" s="24" customFormat="1" hidden="1" outlineLevel="1" x14ac:dyDescent="0.25">
      <c r="A34" s="44"/>
      <c r="B34" s="11" t="str">
        <f>CONCATENATE("          ", "5300", " - ", "COG$ OFFSET")</f>
        <v xml:space="preserve">          5300 - COG$ OFFSET</v>
      </c>
      <c r="C34" s="11"/>
      <c r="D34" s="2">
        <v>115</v>
      </c>
      <c r="E34" s="2"/>
      <c r="F34" s="19">
        <f t="shared" si="7"/>
        <v>3.1007133258412912E-3</v>
      </c>
      <c r="G34" s="2"/>
      <c r="H34" s="2">
        <v>113</v>
      </c>
      <c r="I34" s="2"/>
      <c r="J34" s="19">
        <f t="shared" si="8"/>
        <v>2.5869347433119722E-3</v>
      </c>
      <c r="K34" s="2"/>
      <c r="L34" s="2">
        <f t="shared" si="9"/>
        <v>2</v>
      </c>
      <c r="M34" s="2"/>
      <c r="N34" s="19">
        <f t="shared" si="10"/>
        <v>1.7699115044247787E-2</v>
      </c>
      <c r="O34" s="11"/>
      <c r="P34" s="2">
        <v>3804</v>
      </c>
      <c r="Q34" s="2"/>
      <c r="R34" s="19">
        <f t="shared" si="11"/>
        <v>1.2364917180408821E-2</v>
      </c>
      <c r="S34" s="2"/>
      <c r="T34" s="2">
        <v>2622</v>
      </c>
      <c r="U34" s="2"/>
      <c r="V34" s="19">
        <f t="shared" si="12"/>
        <v>8.1719976744402036E-3</v>
      </c>
      <c r="W34" s="2"/>
      <c r="X34" s="2">
        <f t="shared" si="13"/>
        <v>1182</v>
      </c>
      <c r="Y34" s="2"/>
      <c r="Z34" s="19">
        <f t="shared" si="14"/>
        <v>0.45080091533180777</v>
      </c>
    </row>
    <row r="35" spans="1:26" s="24" customFormat="1" hidden="1" outlineLevel="1" x14ac:dyDescent="0.25">
      <c r="A35" s="44"/>
      <c r="B35" s="11" t="str">
        <f>CONCATENATE("          ", "5592", " - ", "FREIGHT-IN-GRAD MERCH")</f>
        <v xml:space="preserve">          5592 - FREIGHT-IN-GRAD MERCH</v>
      </c>
      <c r="C35" s="11"/>
      <c r="D35" s="2"/>
      <c r="E35" s="2"/>
      <c r="F35" s="19">
        <f t="shared" si="7"/>
        <v>0</v>
      </c>
      <c r="G35" s="2"/>
      <c r="H35" s="2"/>
      <c r="I35" s="2"/>
      <c r="J35" s="19">
        <f t="shared" si="8"/>
        <v>0</v>
      </c>
      <c r="K35" s="2"/>
      <c r="L35" s="2">
        <f t="shared" si="9"/>
        <v>0</v>
      </c>
      <c r="M35" s="2"/>
      <c r="N35" s="19">
        <f t="shared" si="10"/>
        <v>0</v>
      </c>
      <c r="O35" s="11"/>
      <c r="P35" s="2">
        <v>105.78</v>
      </c>
      <c r="Q35" s="2"/>
      <c r="R35" s="19">
        <f t="shared" si="11"/>
        <v>3.4383831213029574E-4</v>
      </c>
      <c r="S35" s="2"/>
      <c r="T35" s="2">
        <v>114.3</v>
      </c>
      <c r="U35" s="2"/>
      <c r="V35" s="19">
        <f t="shared" si="12"/>
        <v>3.562392578903567E-4</v>
      </c>
      <c r="W35" s="2"/>
      <c r="X35" s="2">
        <f t="shared" si="13"/>
        <v>-8.519999999999996</v>
      </c>
      <c r="Y35" s="2"/>
      <c r="Z35" s="19">
        <f t="shared" si="14"/>
        <v>-7.4540682414698134E-2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6</v>
      </c>
      <c r="C37" s="29"/>
      <c r="D37" s="20">
        <f>D12-D30</f>
        <v>36973.24</v>
      </c>
      <c r="E37" s="14"/>
      <c r="F37" s="21">
        <f>IF(D$12=0,0,D37/D$12)</f>
        <v>0.99689928667415872</v>
      </c>
      <c r="G37" s="14"/>
      <c r="H37" s="20">
        <f>H12-H30</f>
        <v>43567.92</v>
      </c>
      <c r="I37" s="14"/>
      <c r="J37" s="21">
        <f>IF(H$12=0,0,H37/H$12)</f>
        <v>0.99741031806934999</v>
      </c>
      <c r="K37" s="15"/>
      <c r="L37" s="20">
        <f>+D37-H37</f>
        <v>-6594.68</v>
      </c>
      <c r="M37" s="15"/>
      <c r="N37" s="21">
        <f>IF(H37=0,0,L37/H37)</f>
        <v>-0.151365500120272</v>
      </c>
      <c r="O37" s="28"/>
      <c r="P37" s="20">
        <f>P12-P30</f>
        <v>303841.48000000004</v>
      </c>
      <c r="Q37" s="14"/>
      <c r="R37" s="21">
        <f>IF(P$12=0,0,P37/P$12)</f>
        <v>0.98763794326310295</v>
      </c>
      <c r="S37" s="14"/>
      <c r="T37" s="20">
        <f>T12-T30</f>
        <v>318228.12000000005</v>
      </c>
      <c r="U37" s="14"/>
      <c r="V37" s="21">
        <f>IF(T$12=0,0,T37/T$12)</f>
        <v>0.99182282859705506</v>
      </c>
      <c r="W37" s="15"/>
      <c r="X37" s="20">
        <f>+P37-T37</f>
        <v>-14386.640000000014</v>
      </c>
      <c r="Y37" s="15"/>
      <c r="Z37" s="21">
        <f>IF(T37=0,0,X37/T37)</f>
        <v>-4.5208575533802642E-2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8" t="s">
        <v>9</v>
      </c>
      <c r="C39" s="10"/>
      <c r="D39" s="22">
        <f>SUM(OSRRefD22x_0)</f>
        <v>47944.63</v>
      </c>
      <c r="E39" s="22"/>
      <c r="F39" s="33">
        <f t="shared" ref="F39:F48" si="15">IF(D$12=0,0,D39/D$12)</f>
        <v>1.2927178534220012</v>
      </c>
      <c r="G39" s="22"/>
      <c r="H39" s="22">
        <f>SUM(OSRRefH22x_0)</f>
        <v>37248.920000000006</v>
      </c>
      <c r="I39" s="22"/>
      <c r="J39" s="33">
        <f t="shared" ref="J39:J48" si="16">IF(H$12=0,0,H39/H$12)</f>
        <v>0.85274801149423196</v>
      </c>
      <c r="K39" s="4"/>
      <c r="L39" s="22">
        <f t="shared" ref="L39:L48" si="17">+D39-H39</f>
        <v>10695.709999999992</v>
      </c>
      <c r="M39" s="4"/>
      <c r="N39" s="33">
        <f t="shared" ref="N39:N48" si="18">IF(H39=0,0,L39/H39)</f>
        <v>0.28714147953819841</v>
      </c>
      <c r="O39" s="10"/>
      <c r="P39" s="22">
        <f>SUM(OSRRefP22x_0)</f>
        <v>274962.56000000006</v>
      </c>
      <c r="Q39" s="22"/>
      <c r="R39" s="33">
        <f t="shared" ref="R39:R48" si="19">IF(P$12=0,0,P39/P$12)</f>
        <v>0.89376689855762148</v>
      </c>
      <c r="S39" s="22"/>
      <c r="T39" s="22">
        <f>SUM(OSRRefT22x_0)</f>
        <v>293492.33000000007</v>
      </c>
      <c r="U39" s="22"/>
      <c r="V39" s="33">
        <f t="shared" ref="V39:V48" si="20">IF(T$12=0,0,T39/T$12)</f>
        <v>0.91472869497560538</v>
      </c>
      <c r="W39" s="4"/>
      <c r="X39" s="22">
        <f t="shared" ref="X39:X48" si="21">+P39-T39</f>
        <v>-18529.770000000019</v>
      </c>
      <c r="Y39" s="4"/>
      <c r="Z39" s="33">
        <f t="shared" ref="Z39:Z48" si="22">IF(T39=0,0,X39/T39)</f>
        <v>-6.3135448888902865E-2</v>
      </c>
    </row>
    <row r="40" spans="1:26" s="27" customFormat="1" outlineLevel="1" collapsed="1" x14ac:dyDescent="0.25">
      <c r="A40" s="25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7538.7500000000009</v>
      </c>
      <c r="E40" s="1"/>
      <c r="F40" s="5">
        <f t="shared" si="15"/>
        <v>0.20326523987118292</v>
      </c>
      <c r="G40" s="1"/>
      <c r="H40" s="1">
        <f>SUM(OSRRefH22_0x_0)</f>
        <v>6882.0800000000008</v>
      </c>
      <c r="I40" s="1"/>
      <c r="J40" s="5">
        <f t="shared" si="16"/>
        <v>0.15755302529426957</v>
      </c>
      <c r="K40" s="1"/>
      <c r="L40" s="1">
        <f t="shared" si="17"/>
        <v>656.67000000000007</v>
      </c>
      <c r="M40" s="1"/>
      <c r="N40" s="5">
        <f t="shared" si="18"/>
        <v>9.5417373817218043E-2</v>
      </c>
      <c r="O40" s="13"/>
      <c r="P40" s="1">
        <f>SUM(OSRRefP22_0x_0)</f>
        <v>48102.65</v>
      </c>
      <c r="Q40" s="1"/>
      <c r="R40" s="5">
        <f t="shared" si="19"/>
        <v>0.15635785578553954</v>
      </c>
      <c r="S40" s="1"/>
      <c r="T40" s="1">
        <f>SUM(OSRRefT22_0x_0)</f>
        <v>44048.27</v>
      </c>
      <c r="U40" s="1"/>
      <c r="V40" s="5">
        <f t="shared" si="20"/>
        <v>0.13728541571438374</v>
      </c>
      <c r="W40" s="1"/>
      <c r="X40" s="1">
        <f t="shared" si="21"/>
        <v>4054.3800000000047</v>
      </c>
      <c r="Y40" s="1"/>
      <c r="Z40" s="5">
        <f t="shared" si="22"/>
        <v>9.2044023522376811E-2</v>
      </c>
    </row>
    <row r="41" spans="1:26" s="24" customFormat="1" hidden="1" outlineLevel="2" x14ac:dyDescent="0.25">
      <c r="A41" s="26"/>
      <c r="B41" s="11" t="str">
        <f>CONCATENATE("          ", "6111", " - ", "F.I.C.A.")</f>
        <v xml:space="preserve">          6111 - F.I.C.A.</v>
      </c>
      <c r="C41" s="11"/>
      <c r="D41" s="6">
        <v>1091.3900000000001</v>
      </c>
      <c r="E41" s="2"/>
      <c r="F41" s="7">
        <f t="shared" si="15"/>
        <v>2.9426847971216755E-2</v>
      </c>
      <c r="G41" s="2"/>
      <c r="H41" s="6">
        <v>961.97</v>
      </c>
      <c r="I41" s="2"/>
      <c r="J41" s="7">
        <f t="shared" si="16"/>
        <v>2.2022598363042638E-2</v>
      </c>
      <c r="K41" s="2"/>
      <c r="L41" s="6">
        <f t="shared" si="17"/>
        <v>129.42000000000007</v>
      </c>
      <c r="M41" s="2"/>
      <c r="N41" s="7">
        <f t="shared" si="18"/>
        <v>0.13453642005467953</v>
      </c>
      <c r="O41" s="11"/>
      <c r="P41" s="6">
        <v>8053.82</v>
      </c>
      <c r="Q41" s="2"/>
      <c r="R41" s="7">
        <f t="shared" si="19"/>
        <v>2.6178974049926439E-2</v>
      </c>
      <c r="S41" s="2"/>
      <c r="T41" s="6">
        <v>7559.99</v>
      </c>
      <c r="U41" s="2"/>
      <c r="V41" s="7">
        <f t="shared" si="20"/>
        <v>2.3562250457204878E-2</v>
      </c>
      <c r="W41" s="2"/>
      <c r="X41" s="6">
        <f t="shared" si="21"/>
        <v>493.82999999999993</v>
      </c>
      <c r="Y41" s="2"/>
      <c r="Z41" s="7">
        <f t="shared" si="22"/>
        <v>6.5321514975548903E-2</v>
      </c>
    </row>
    <row r="42" spans="1:26" s="24" customFormat="1" hidden="1" outlineLevel="2" x14ac:dyDescent="0.25">
      <c r="A42" s="26"/>
      <c r="B42" s="11" t="str">
        <f>CONCATENATE("          ", "6112", " - ", "COMPENSATION INSURANCE")</f>
        <v xml:space="preserve">          6112 - COMPENSATION INSURANCE</v>
      </c>
      <c r="C42" s="11"/>
      <c r="D42" s="6">
        <v>301.45</v>
      </c>
      <c r="E42" s="2"/>
      <c r="F42" s="7">
        <f t="shared" si="15"/>
        <v>8.1279133223900631E-3</v>
      </c>
      <c r="G42" s="2"/>
      <c r="H42" s="6">
        <v>270.58999999999997</v>
      </c>
      <c r="I42" s="2"/>
      <c r="J42" s="7">
        <f t="shared" si="16"/>
        <v>6.1946785149804119E-3</v>
      </c>
      <c r="K42" s="2"/>
      <c r="L42" s="6">
        <f t="shared" si="17"/>
        <v>30.860000000000014</v>
      </c>
      <c r="M42" s="2"/>
      <c r="N42" s="7">
        <f t="shared" si="18"/>
        <v>0.11404708230163722</v>
      </c>
      <c r="O42" s="11"/>
      <c r="P42" s="6">
        <v>1215.4100000000001</v>
      </c>
      <c r="Q42" s="2"/>
      <c r="R42" s="7">
        <f t="shared" si="19"/>
        <v>3.9506950552683192E-3</v>
      </c>
      <c r="S42" s="2"/>
      <c r="T42" s="6">
        <v>1392.53</v>
      </c>
      <c r="U42" s="2"/>
      <c r="V42" s="7">
        <f t="shared" si="20"/>
        <v>4.3401037076995488E-3</v>
      </c>
      <c r="W42" s="2"/>
      <c r="X42" s="6">
        <f t="shared" si="21"/>
        <v>-177.11999999999989</v>
      </c>
      <c r="Y42" s="2"/>
      <c r="Z42" s="7">
        <f t="shared" si="22"/>
        <v>-0.1271929509597638</v>
      </c>
    </row>
    <row r="43" spans="1:26" s="24" customFormat="1" hidden="1" outlineLevel="2" x14ac:dyDescent="0.25">
      <c r="A43" s="26"/>
      <c r="B43" s="11" t="str">
        <f>CONCATENATE("          ", "6113", " - ", "GROUP INSURANCE")</f>
        <v xml:space="preserve">          6113 - GROUP INSURANCE</v>
      </c>
      <c r="C43" s="11"/>
      <c r="D43" s="6">
        <v>3051.28</v>
      </c>
      <c r="E43" s="2"/>
      <c r="F43" s="7">
        <f t="shared" si="15"/>
        <v>8.227082223367839E-2</v>
      </c>
      <c r="G43" s="2"/>
      <c r="H43" s="6">
        <v>2888.63</v>
      </c>
      <c r="I43" s="2"/>
      <c r="J43" s="7">
        <f t="shared" si="16"/>
        <v>6.6130064668789942E-2</v>
      </c>
      <c r="K43" s="2"/>
      <c r="L43" s="6">
        <f t="shared" si="17"/>
        <v>162.65000000000009</v>
      </c>
      <c r="M43" s="2"/>
      <c r="N43" s="7">
        <f t="shared" si="18"/>
        <v>5.6306969047610837E-2</v>
      </c>
      <c r="O43" s="11"/>
      <c r="P43" s="6">
        <v>17688.7</v>
      </c>
      <c r="Q43" s="2"/>
      <c r="R43" s="7">
        <f t="shared" si="19"/>
        <v>5.7497189939300086E-2</v>
      </c>
      <c r="S43" s="2"/>
      <c r="T43" s="6">
        <v>14972</v>
      </c>
      <c r="U43" s="2"/>
      <c r="V43" s="7">
        <f t="shared" si="20"/>
        <v>4.6663291068542612E-2</v>
      </c>
      <c r="W43" s="2"/>
      <c r="X43" s="6">
        <f t="shared" si="21"/>
        <v>2716.7000000000007</v>
      </c>
      <c r="Y43" s="2"/>
      <c r="Z43" s="7">
        <f t="shared" si="22"/>
        <v>0.18145204381512162</v>
      </c>
    </row>
    <row r="44" spans="1:26" s="24" customFormat="1" hidden="1" outlineLevel="2" x14ac:dyDescent="0.25">
      <c r="A44" s="26"/>
      <c r="B44" s="11" t="str">
        <f>CONCATENATE("          ", "6114", " - ", "STATE UNEMPLOYMENT INSURANCE")</f>
        <v xml:space="preserve">          6114 - STATE UNEMPLOYMENT INSURANCE</v>
      </c>
      <c r="C44" s="11"/>
      <c r="D44" s="6">
        <v>63.88</v>
      </c>
      <c r="E44" s="2"/>
      <c r="F44" s="7">
        <f t="shared" si="15"/>
        <v>1.722378845693406E-3</v>
      </c>
      <c r="G44" s="2"/>
      <c r="H44" s="6">
        <v>59.13</v>
      </c>
      <c r="I44" s="2"/>
      <c r="J44" s="7">
        <f t="shared" si="16"/>
        <v>1.3536765608144861E-3</v>
      </c>
      <c r="K44" s="2"/>
      <c r="L44" s="6">
        <f t="shared" si="17"/>
        <v>4.75</v>
      </c>
      <c r="M44" s="2"/>
      <c r="N44" s="7">
        <f t="shared" si="18"/>
        <v>8.0331473025536948E-2</v>
      </c>
      <c r="O44" s="11"/>
      <c r="P44" s="6">
        <v>317</v>
      </c>
      <c r="Q44" s="2"/>
      <c r="R44" s="7">
        <f t="shared" si="19"/>
        <v>1.0304097650340684E-3</v>
      </c>
      <c r="S44" s="2"/>
      <c r="T44" s="6">
        <v>304.26</v>
      </c>
      <c r="U44" s="2"/>
      <c r="V44" s="7">
        <f t="shared" si="20"/>
        <v>9.4828833425826705E-4</v>
      </c>
      <c r="W44" s="2"/>
      <c r="X44" s="6">
        <f t="shared" si="21"/>
        <v>12.740000000000009</v>
      </c>
      <c r="Y44" s="2"/>
      <c r="Z44" s="7">
        <f t="shared" si="22"/>
        <v>4.1872083086833663E-2</v>
      </c>
    </row>
    <row r="45" spans="1:26" s="24" customFormat="1" hidden="1" outlineLevel="2" x14ac:dyDescent="0.25">
      <c r="A45" s="26"/>
      <c r="B45" s="11" t="str">
        <f>CONCATENATE("          ", "6115", " - ", "P.E.R.S.")</f>
        <v xml:space="preserve">          6115 - P.E.R.S.</v>
      </c>
      <c r="C45" s="11"/>
      <c r="D45" s="6">
        <v>1187.75</v>
      </c>
      <c r="E45" s="2"/>
      <c r="F45" s="7">
        <f t="shared" si="15"/>
        <v>3.2024976111026032E-2</v>
      </c>
      <c r="G45" s="2"/>
      <c r="H45" s="6">
        <v>1047.29</v>
      </c>
      <c r="I45" s="2"/>
      <c r="J45" s="7">
        <f t="shared" si="16"/>
        <v>2.3975848560382259E-2</v>
      </c>
      <c r="K45" s="2"/>
      <c r="L45" s="6">
        <f t="shared" si="17"/>
        <v>140.46000000000004</v>
      </c>
      <c r="M45" s="2"/>
      <c r="N45" s="7">
        <f t="shared" si="18"/>
        <v>0.13411757965797444</v>
      </c>
      <c r="O45" s="11"/>
      <c r="P45" s="6">
        <v>7955.53</v>
      </c>
      <c r="Q45" s="2"/>
      <c r="R45" s="7">
        <f t="shared" si="19"/>
        <v>2.5859482012686064E-2</v>
      </c>
      <c r="S45" s="2"/>
      <c r="T45" s="6">
        <v>7646.31</v>
      </c>
      <c r="U45" s="2"/>
      <c r="V45" s="7">
        <f t="shared" si="20"/>
        <v>2.3831284339454185E-2</v>
      </c>
      <c r="W45" s="2"/>
      <c r="X45" s="6">
        <f t="shared" si="21"/>
        <v>309.21999999999935</v>
      </c>
      <c r="Y45" s="2"/>
      <c r="Z45" s="7">
        <f t="shared" si="22"/>
        <v>4.0440421588975511E-2</v>
      </c>
    </row>
    <row r="46" spans="1:26" s="24" customFormat="1" hidden="1" outlineLevel="2" x14ac:dyDescent="0.25">
      <c r="A46" s="26"/>
      <c r="B46" s="11" t="str">
        <f>CONCATENATE("          ", "6118", " - ", "VACATION")</f>
        <v xml:space="preserve">          6118 - VACATION</v>
      </c>
      <c r="C46" s="11"/>
      <c r="D46" s="6">
        <v>969.46</v>
      </c>
      <c r="E46" s="2"/>
      <c r="F46" s="7">
        <f t="shared" si="15"/>
        <v>2.6139282964087809E-2</v>
      </c>
      <c r="G46" s="2"/>
      <c r="H46" s="6">
        <v>986.65</v>
      </c>
      <c r="I46" s="2"/>
      <c r="J46" s="7">
        <f t="shared" si="16"/>
        <v>2.2587603225564225E-2</v>
      </c>
      <c r="K46" s="2"/>
      <c r="L46" s="6">
        <f t="shared" si="17"/>
        <v>-17.189999999999941</v>
      </c>
      <c r="M46" s="2"/>
      <c r="N46" s="7">
        <f t="shared" si="18"/>
        <v>-1.7422591597830984E-2</v>
      </c>
      <c r="O46" s="11"/>
      <c r="P46" s="6">
        <v>7021.05</v>
      </c>
      <c r="Q46" s="2"/>
      <c r="R46" s="7">
        <f t="shared" si="19"/>
        <v>2.2821951043509293E-2</v>
      </c>
      <c r="S46" s="2"/>
      <c r="T46" s="6">
        <v>6254.69</v>
      </c>
      <c r="U46" s="2"/>
      <c r="V46" s="7">
        <f t="shared" si="20"/>
        <v>1.9494016832320517E-2</v>
      </c>
      <c r="W46" s="2"/>
      <c r="X46" s="6">
        <f t="shared" si="21"/>
        <v>766.36000000000058</v>
      </c>
      <c r="Y46" s="2"/>
      <c r="Z46" s="7">
        <f t="shared" si="22"/>
        <v>0.12252565674717703</v>
      </c>
    </row>
    <row r="47" spans="1:26" s="24" customFormat="1" hidden="1" outlineLevel="2" x14ac:dyDescent="0.25">
      <c r="A47" s="26"/>
      <c r="B47" s="11" t="str">
        <f>CONCATENATE("          ", "6119", " - ", "SICK LEAVE")</f>
        <v xml:space="preserve">          6119 - SICK LEAVE</v>
      </c>
      <c r="C47" s="11"/>
      <c r="D47" s="6">
        <v>556.54</v>
      </c>
      <c r="E47" s="2"/>
      <c r="F47" s="7">
        <f t="shared" si="15"/>
        <v>1.5005834733597496E-2</v>
      </c>
      <c r="G47" s="2"/>
      <c r="H47" s="6">
        <v>524.92999999999995</v>
      </c>
      <c r="I47" s="2"/>
      <c r="J47" s="7">
        <f t="shared" si="16"/>
        <v>1.2017342077935872E-2</v>
      </c>
      <c r="K47" s="2"/>
      <c r="L47" s="6">
        <f t="shared" si="17"/>
        <v>31.610000000000014</v>
      </c>
      <c r="M47" s="2"/>
      <c r="N47" s="7">
        <f t="shared" si="18"/>
        <v>6.0217552816566051E-2</v>
      </c>
      <c r="O47" s="11"/>
      <c r="P47" s="6">
        <v>4184.8599999999997</v>
      </c>
      <c r="Q47" s="2"/>
      <c r="R47" s="7">
        <f t="shared" si="19"/>
        <v>1.3602904130285398E-2</v>
      </c>
      <c r="S47" s="2"/>
      <c r="T47" s="6">
        <v>4326.13</v>
      </c>
      <c r="U47" s="2"/>
      <c r="V47" s="7">
        <f t="shared" si="20"/>
        <v>1.3483266323160182E-2</v>
      </c>
      <c r="W47" s="2"/>
      <c r="X47" s="6">
        <f t="shared" si="21"/>
        <v>-141.27000000000044</v>
      </c>
      <c r="Y47" s="2"/>
      <c r="Z47" s="7">
        <f t="shared" si="22"/>
        <v>-3.265505197485985E-2</v>
      </c>
    </row>
    <row r="48" spans="1:26" s="24" customFormat="1" hidden="1" outlineLevel="2" x14ac:dyDescent="0.25">
      <c r="A48" s="26"/>
      <c r="B48" s="11" t="str">
        <f>CONCATENATE("          ", "6156", " - ", "EMPLOYEE MEALS")</f>
        <v xml:space="preserve">          6156 - EMPLOYEE MEALS</v>
      </c>
      <c r="C48" s="11"/>
      <c r="D48" s="6">
        <v>317</v>
      </c>
      <c r="E48" s="2"/>
      <c r="F48" s="7">
        <f t="shared" si="15"/>
        <v>8.5471836894929504E-3</v>
      </c>
      <c r="G48" s="2"/>
      <c r="H48" s="6">
        <v>142.88999999999999</v>
      </c>
      <c r="I48" s="2"/>
      <c r="J48" s="7">
        <f t="shared" si="16"/>
        <v>3.2712133227597142E-3</v>
      </c>
      <c r="K48" s="2"/>
      <c r="L48" s="6">
        <f t="shared" si="17"/>
        <v>174.11</v>
      </c>
      <c r="M48" s="2"/>
      <c r="N48" s="7">
        <f t="shared" si="18"/>
        <v>1.2184897473581078</v>
      </c>
      <c r="O48" s="11"/>
      <c r="P48" s="6">
        <v>1666.28</v>
      </c>
      <c r="Q48" s="2"/>
      <c r="R48" s="7">
        <f t="shared" si="19"/>
        <v>5.4162497895298657E-3</v>
      </c>
      <c r="S48" s="2"/>
      <c r="T48" s="6">
        <v>1592.36</v>
      </c>
      <c r="U48" s="2"/>
      <c r="V48" s="7">
        <f t="shared" si="20"/>
        <v>4.9629146517435555E-3</v>
      </c>
      <c r="W48" s="2"/>
      <c r="X48" s="6">
        <f t="shared" si="21"/>
        <v>73.920000000000073</v>
      </c>
      <c r="Y48" s="2"/>
      <c r="Z48" s="7">
        <f t="shared" si="22"/>
        <v>4.6421663442940089E-2</v>
      </c>
    </row>
    <row r="49" spans="1:26" s="27" customFormat="1" outlineLevel="1" collapsed="1" x14ac:dyDescent="0.25">
      <c r="A49" s="25"/>
      <c r="B49" s="13" t="str">
        <f>CONCATENATE("     ","*Payroll                                          ")</f>
        <v xml:space="preserve">     *Payroll                                          </v>
      </c>
      <c r="C49" s="13"/>
      <c r="D49" s="1">
        <f>SUM(OSRRefD22_1x_0)</f>
        <v>16061.960000000001</v>
      </c>
      <c r="E49" s="1"/>
      <c r="F49" s="5">
        <f t="shared" ref="F49:F53" si="23">IF(D$12=0,0,D49/D$12)</f>
        <v>0.43307420357504162</v>
      </c>
      <c r="G49" s="1"/>
      <c r="H49" s="1">
        <f>SUM(OSRRefH22_1x_0)</f>
        <v>15049.800000000001</v>
      </c>
      <c r="I49" s="1"/>
      <c r="J49" s="5">
        <f t="shared" ref="J49:J53" si="24">IF(H$12=0,0,H49/H$12)</f>
        <v>0.34453849999908431</v>
      </c>
      <c r="K49" s="1"/>
      <c r="L49" s="1">
        <f t="shared" ref="L49:L53" si="25">+D49-H49</f>
        <v>1012.1599999999999</v>
      </c>
      <c r="M49" s="1"/>
      <c r="N49" s="5">
        <f t="shared" ref="N49:N53" si="26">IF(H49=0,0,L49/H49)</f>
        <v>6.7254049887706141E-2</v>
      </c>
      <c r="O49" s="13"/>
      <c r="P49" s="1">
        <f>SUM(OSRRefP22_1x_0)</f>
        <v>103847.16999999998</v>
      </c>
      <c r="Q49" s="1"/>
      <c r="R49" s="5">
        <f t="shared" ref="R49:R53" si="27">IF(P$12=0,0,P49/P$12)</f>
        <v>0.33755564050205977</v>
      </c>
      <c r="S49" s="1"/>
      <c r="T49" s="1">
        <f>SUM(OSRRefT22_1x_0)</f>
        <v>97565.760000000009</v>
      </c>
      <c r="U49" s="1"/>
      <c r="V49" s="5">
        <f t="shared" ref="V49:V53" si="28">IF(T$12=0,0,T49/T$12)</f>
        <v>0.30408358650838713</v>
      </c>
      <c r="W49" s="1"/>
      <c r="X49" s="1">
        <f t="shared" ref="X49:X53" si="29">+P49-T49</f>
        <v>6281.4099999999744</v>
      </c>
      <c r="Y49" s="1"/>
      <c r="Z49" s="5">
        <f t="shared" ref="Z49:Z53" si="30">IF(T49=0,0,X49/T49)</f>
        <v>6.4381295241281097E-2</v>
      </c>
    </row>
    <row r="50" spans="1:26" s="24" customFormat="1" hidden="1" outlineLevel="2" x14ac:dyDescent="0.25">
      <c r="A50" s="26"/>
      <c r="B50" s="11" t="str">
        <f>CONCATENATE("          ", "6002", " - ", "STAFF SALARIES")</f>
        <v xml:space="preserve">          6002 - STAFF SALARIES</v>
      </c>
      <c r="C50" s="11"/>
      <c r="D50" s="6">
        <v>11747.2</v>
      </c>
      <c r="E50" s="2"/>
      <c r="F50" s="7">
        <f t="shared" si="23"/>
        <v>0.31673651809845926</v>
      </c>
      <c r="G50" s="2"/>
      <c r="H50" s="6">
        <v>11026.19</v>
      </c>
      <c r="I50" s="2"/>
      <c r="J50" s="7">
        <f t="shared" si="24"/>
        <v>0.25242507962264638</v>
      </c>
      <c r="K50" s="2"/>
      <c r="L50" s="6">
        <f t="shared" si="25"/>
        <v>721.01000000000022</v>
      </c>
      <c r="M50" s="2"/>
      <c r="N50" s="7">
        <f t="shared" si="26"/>
        <v>6.5390674385259112E-2</v>
      </c>
      <c r="O50" s="11"/>
      <c r="P50" s="6">
        <v>69465.759999999995</v>
      </c>
      <c r="Q50" s="2"/>
      <c r="R50" s="7">
        <f t="shared" si="27"/>
        <v>0.22579873009310089</v>
      </c>
      <c r="S50" s="2"/>
      <c r="T50" s="6">
        <v>68070.3</v>
      </c>
      <c r="U50" s="2"/>
      <c r="V50" s="7">
        <f t="shared" si="28"/>
        <v>0.21215497074692868</v>
      </c>
      <c r="W50" s="2"/>
      <c r="X50" s="6">
        <f t="shared" si="29"/>
        <v>1395.4599999999919</v>
      </c>
      <c r="Y50" s="2"/>
      <c r="Z50" s="7">
        <f t="shared" si="30"/>
        <v>2.0500276919596237E-2</v>
      </c>
    </row>
    <row r="51" spans="1:26" s="24" customFormat="1" hidden="1" outlineLevel="2" x14ac:dyDescent="0.25">
      <c r="A51" s="26"/>
      <c r="B51" s="11" t="str">
        <f>CONCATENATE("          ", "6005", " - ", "TEMPORARY WAGES-HOURLY")</f>
        <v xml:space="preserve">          6005 - TEMPORARY WAGES-HOURLY</v>
      </c>
      <c r="C51" s="11"/>
      <c r="D51" s="6">
        <v>1897</v>
      </c>
      <c r="E51" s="2"/>
      <c r="F51" s="7">
        <f t="shared" si="23"/>
        <v>5.1148288514095037E-2</v>
      </c>
      <c r="G51" s="2"/>
      <c r="H51" s="6">
        <v>1127.8599999999999</v>
      </c>
      <c r="I51" s="2"/>
      <c r="J51" s="7">
        <f t="shared" si="24"/>
        <v>2.5820355925591513E-2</v>
      </c>
      <c r="K51" s="2"/>
      <c r="L51" s="6">
        <f t="shared" si="25"/>
        <v>769.1400000000001</v>
      </c>
      <c r="M51" s="2"/>
      <c r="N51" s="7">
        <f t="shared" si="26"/>
        <v>0.68194634085790806</v>
      </c>
      <c r="O51" s="11"/>
      <c r="P51" s="6">
        <v>11858</v>
      </c>
      <c r="Q51" s="2"/>
      <c r="R51" s="7">
        <f t="shared" si="27"/>
        <v>3.8544476321053574E-2</v>
      </c>
      <c r="S51" s="2"/>
      <c r="T51" s="6">
        <v>7139.68</v>
      </c>
      <c r="U51" s="2"/>
      <c r="V51" s="7">
        <f t="shared" si="28"/>
        <v>2.2252268633198794E-2</v>
      </c>
      <c r="W51" s="2"/>
      <c r="X51" s="6">
        <f t="shared" si="29"/>
        <v>4718.32</v>
      </c>
      <c r="Y51" s="2"/>
      <c r="Z51" s="7">
        <f t="shared" si="30"/>
        <v>0.66085874997198746</v>
      </c>
    </row>
    <row r="52" spans="1:26" s="24" customFormat="1" hidden="1" outlineLevel="2" x14ac:dyDescent="0.25">
      <c r="A52" s="26"/>
      <c r="B52" s="11" t="str">
        <f>CONCATENATE("          ", "6006", " - ", "TEMPORARY PART TIME")</f>
        <v xml:space="preserve">          6006 - TEMPORARY PART TIME</v>
      </c>
      <c r="C52" s="11"/>
      <c r="D52" s="6"/>
      <c r="E52" s="2"/>
      <c r="F52" s="7">
        <f t="shared" si="23"/>
        <v>0</v>
      </c>
      <c r="G52" s="2"/>
      <c r="H52" s="6">
        <v>49.5</v>
      </c>
      <c r="I52" s="2"/>
      <c r="J52" s="7">
        <f t="shared" si="24"/>
        <v>1.1332147769375453E-3</v>
      </c>
      <c r="K52" s="2"/>
      <c r="L52" s="6">
        <f t="shared" si="25"/>
        <v>-49.5</v>
      </c>
      <c r="M52" s="2"/>
      <c r="N52" s="7">
        <f t="shared" si="26"/>
        <v>-1</v>
      </c>
      <c r="O52" s="11"/>
      <c r="P52" s="6">
        <v>57.37</v>
      </c>
      <c r="Q52" s="2"/>
      <c r="R52" s="7">
        <f t="shared" si="27"/>
        <v>1.8648141394323186E-4</v>
      </c>
      <c r="S52" s="2"/>
      <c r="T52" s="6">
        <v>4735.6499999999996</v>
      </c>
      <c r="U52" s="2"/>
      <c r="V52" s="7">
        <f t="shared" si="28"/>
        <v>1.4759618911885106E-2</v>
      </c>
      <c r="W52" s="2"/>
      <c r="X52" s="6">
        <f t="shared" si="29"/>
        <v>-4678.28</v>
      </c>
      <c r="Y52" s="2"/>
      <c r="Z52" s="7">
        <f t="shared" si="30"/>
        <v>-0.98788550674141884</v>
      </c>
    </row>
    <row r="53" spans="1:26" s="24" customFormat="1" hidden="1" outlineLevel="2" x14ac:dyDescent="0.25">
      <c r="A53" s="26"/>
      <c r="B53" s="11" t="str">
        <f>CONCATENATE("          ", "6007", " - ", "STUDENT HOURLY")</f>
        <v xml:space="preserve">          6007 - STUDENT HOURLY</v>
      </c>
      <c r="C53" s="11"/>
      <c r="D53" s="6">
        <v>2417.7600000000002</v>
      </c>
      <c r="E53" s="2"/>
      <c r="F53" s="7">
        <f t="shared" si="23"/>
        <v>6.5189396962487309E-2</v>
      </c>
      <c r="G53" s="2"/>
      <c r="H53" s="6">
        <v>2846.25</v>
      </c>
      <c r="I53" s="2"/>
      <c r="J53" s="7">
        <f t="shared" si="24"/>
        <v>6.5159849673908865E-2</v>
      </c>
      <c r="K53" s="2"/>
      <c r="L53" s="6">
        <f t="shared" si="25"/>
        <v>-428.48999999999978</v>
      </c>
      <c r="M53" s="2"/>
      <c r="N53" s="7">
        <f t="shared" si="26"/>
        <v>-0.15054545454545448</v>
      </c>
      <c r="O53" s="11"/>
      <c r="P53" s="6">
        <v>22466.04</v>
      </c>
      <c r="Q53" s="2"/>
      <c r="R53" s="7">
        <f t="shared" si="27"/>
        <v>7.3025952673962086E-2</v>
      </c>
      <c r="S53" s="2"/>
      <c r="T53" s="6">
        <v>17620.129999999997</v>
      </c>
      <c r="U53" s="2"/>
      <c r="V53" s="7">
        <f t="shared" si="28"/>
        <v>5.4916728216374541E-2</v>
      </c>
      <c r="W53" s="2"/>
      <c r="X53" s="6">
        <f t="shared" si="29"/>
        <v>4845.9100000000035</v>
      </c>
      <c r="Y53" s="2"/>
      <c r="Z53" s="7">
        <f t="shared" si="30"/>
        <v>0.27502123991139704</v>
      </c>
    </row>
    <row r="54" spans="1:26" s="27" customFormat="1" outlineLevel="1" collapsed="1" x14ac:dyDescent="0.25">
      <c r="A54" s="25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397.5</v>
      </c>
      <c r="E54" s="1"/>
      <c r="F54" s="5">
        <f t="shared" ref="F54:F64" si="31">IF(D$12=0,0,D54/D$12)</f>
        <v>1.0717683017581855E-2</v>
      </c>
      <c r="G54" s="1"/>
      <c r="H54" s="1">
        <f>SUM(OSRRefH22_2x_0)</f>
        <v>18</v>
      </c>
      <c r="I54" s="1"/>
      <c r="J54" s="5">
        <f t="shared" ref="J54:J64" si="32">IF(H$12=0,0,H54/H$12)</f>
        <v>4.1207810070456195E-4</v>
      </c>
      <c r="K54" s="1"/>
      <c r="L54" s="1">
        <f t="shared" ref="L54:L64" si="33">+D54-H54</f>
        <v>379.5</v>
      </c>
      <c r="M54" s="1"/>
      <c r="N54" s="5">
        <f t="shared" ref="N54:N64" si="34">IF(H54=0,0,L54/H54)</f>
        <v>21.083333333333332</v>
      </c>
      <c r="O54" s="13"/>
      <c r="P54" s="1">
        <f>SUM(OSRRefP22_2x_0)</f>
        <v>-459.96</v>
      </c>
      <c r="Q54" s="1"/>
      <c r="R54" s="5">
        <f t="shared" ref="R54:R64" si="35">IF(P$12=0,0,P54/P$12)</f>
        <v>-1.4951018155364988E-3</v>
      </c>
      <c r="S54" s="1"/>
      <c r="T54" s="1">
        <f>SUM(OSRRefT22_2x_0)</f>
        <v>569.5</v>
      </c>
      <c r="U54" s="1"/>
      <c r="V54" s="5">
        <f t="shared" ref="V54:V64" si="36">IF(T$12=0,0,T54/T$12)</f>
        <v>1.7749628816146818E-3</v>
      </c>
      <c r="W54" s="1"/>
      <c r="X54" s="1">
        <f t="shared" ref="X54:X64" si="37">+P54-T54</f>
        <v>-1029.46</v>
      </c>
      <c r="Y54" s="1"/>
      <c r="Z54" s="5">
        <f t="shared" ref="Z54:Z64" si="38">IF(T54=0,0,X54/T54)</f>
        <v>-1.8076558384547849</v>
      </c>
    </row>
    <row r="55" spans="1:26" s="24" customFormat="1" hidden="1" outlineLevel="2" x14ac:dyDescent="0.25">
      <c r="A55" s="26"/>
      <c r="B55" s="11" t="str">
        <f>CONCATENATE("          ", "6362", " - ", "ADVERTISING EXPENSE")</f>
        <v xml:space="preserve">          6362 - ADVERTISING EXPENSE</v>
      </c>
      <c r="C55" s="11"/>
      <c r="D55" s="6">
        <v>397.5</v>
      </c>
      <c r="E55" s="2"/>
      <c r="F55" s="7">
        <f t="shared" si="31"/>
        <v>1.0717683017581855E-2</v>
      </c>
      <c r="G55" s="2"/>
      <c r="H55" s="6">
        <v>18</v>
      </c>
      <c r="I55" s="2"/>
      <c r="J55" s="7">
        <f t="shared" si="32"/>
        <v>4.1207810070456195E-4</v>
      </c>
      <c r="K55" s="2"/>
      <c r="L55" s="6">
        <f t="shared" si="33"/>
        <v>379.5</v>
      </c>
      <c r="M55" s="2"/>
      <c r="N55" s="7">
        <f t="shared" si="34"/>
        <v>21.083333333333332</v>
      </c>
      <c r="O55" s="11"/>
      <c r="P55" s="6">
        <v>-459.96</v>
      </c>
      <c r="Q55" s="2"/>
      <c r="R55" s="7">
        <f t="shared" si="35"/>
        <v>-1.4951018155364988E-3</v>
      </c>
      <c r="S55" s="2"/>
      <c r="T55" s="6">
        <v>569.5</v>
      </c>
      <c r="U55" s="2"/>
      <c r="V55" s="7">
        <f t="shared" si="36"/>
        <v>1.7749628816146818E-3</v>
      </c>
      <c r="W55" s="2"/>
      <c r="X55" s="6">
        <f t="shared" si="37"/>
        <v>-1029.46</v>
      </c>
      <c r="Y55" s="2"/>
      <c r="Z55" s="7">
        <f t="shared" si="38"/>
        <v>-1.8076558384547849</v>
      </c>
    </row>
    <row r="56" spans="1:26" s="27" customFormat="1" outlineLevel="1" collapsed="1" x14ac:dyDescent="0.25">
      <c r="A56" s="25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SUM(OSRRefD22_3x_0)</f>
        <v>169.88</v>
      </c>
      <c r="E56" s="1"/>
      <c r="F56" s="5">
        <f t="shared" si="31"/>
        <v>4.5804276503819E-3</v>
      </c>
      <c r="G56" s="1"/>
      <c r="H56" s="1">
        <f>SUM(OSRRefH22_3x_0)</f>
        <v>0</v>
      </c>
      <c r="I56" s="1"/>
      <c r="J56" s="5">
        <f t="shared" si="32"/>
        <v>0</v>
      </c>
      <c r="K56" s="1"/>
      <c r="L56" s="1">
        <f t="shared" si="33"/>
        <v>169.88</v>
      </c>
      <c r="M56" s="1"/>
      <c r="N56" s="5">
        <f t="shared" si="34"/>
        <v>0</v>
      </c>
      <c r="O56" s="13"/>
      <c r="P56" s="1">
        <f>SUM(OSRRefP22_3x_0)</f>
        <v>169.88</v>
      </c>
      <c r="Q56" s="1"/>
      <c r="R56" s="5">
        <f t="shared" si="35"/>
        <v>5.5219561793056003E-4</v>
      </c>
      <c r="S56" s="1"/>
      <c r="T56" s="1">
        <f>SUM(OSRRefT22_3x_0)</f>
        <v>0</v>
      </c>
      <c r="U56" s="1"/>
      <c r="V56" s="5">
        <f t="shared" si="36"/>
        <v>0</v>
      </c>
      <c r="W56" s="1"/>
      <c r="X56" s="1">
        <f t="shared" si="37"/>
        <v>169.88</v>
      </c>
      <c r="Y56" s="1"/>
      <c r="Z56" s="5">
        <f t="shared" si="38"/>
        <v>0</v>
      </c>
    </row>
    <row r="57" spans="1:26" s="24" customFormat="1" hidden="1" outlineLevel="2" x14ac:dyDescent="0.25">
      <c r="A57" s="26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169.88</v>
      </c>
      <c r="E57" s="2"/>
      <c r="F57" s="7">
        <f t="shared" si="31"/>
        <v>4.5804276503819E-3</v>
      </c>
      <c r="G57" s="2"/>
      <c r="H57" s="6"/>
      <c r="I57" s="2"/>
      <c r="J57" s="7">
        <f t="shared" si="32"/>
        <v>0</v>
      </c>
      <c r="K57" s="2"/>
      <c r="L57" s="6">
        <f t="shared" si="33"/>
        <v>169.88</v>
      </c>
      <c r="M57" s="2"/>
      <c r="N57" s="7">
        <f t="shared" si="34"/>
        <v>0</v>
      </c>
      <c r="O57" s="11"/>
      <c r="P57" s="6">
        <v>169.88</v>
      </c>
      <c r="Q57" s="2"/>
      <c r="R57" s="7">
        <f t="shared" si="35"/>
        <v>5.5219561793056003E-4</v>
      </c>
      <c r="S57" s="2"/>
      <c r="T57" s="6"/>
      <c r="U57" s="2"/>
      <c r="V57" s="7">
        <f t="shared" si="36"/>
        <v>0</v>
      </c>
      <c r="W57" s="2"/>
      <c r="X57" s="6">
        <f t="shared" si="37"/>
        <v>169.88</v>
      </c>
      <c r="Y57" s="2"/>
      <c r="Z57" s="7">
        <f t="shared" si="38"/>
        <v>0</v>
      </c>
    </row>
    <row r="58" spans="1:26" s="27" customFormat="1" outlineLevel="1" collapsed="1" x14ac:dyDescent="0.25">
      <c r="A58" s="25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SUM(OSRRefD22_4x_0)</f>
        <v>43.8</v>
      </c>
      <c r="E58" s="1"/>
      <c r="F58" s="5">
        <f t="shared" si="31"/>
        <v>1.1809673362769438E-3</v>
      </c>
      <c r="G58" s="1"/>
      <c r="H58" s="1">
        <f>SUM(OSRRefH22_4x_0)</f>
        <v>127.71</v>
      </c>
      <c r="I58" s="1"/>
      <c r="J58" s="5">
        <f t="shared" si="32"/>
        <v>2.9236941244988671E-3</v>
      </c>
      <c r="K58" s="1"/>
      <c r="L58" s="1">
        <f t="shared" si="33"/>
        <v>-83.91</v>
      </c>
      <c r="M58" s="1"/>
      <c r="N58" s="5">
        <f t="shared" si="34"/>
        <v>-0.65703547098895931</v>
      </c>
      <c r="O58" s="13"/>
      <c r="P58" s="1">
        <f>SUM(OSRRefP22_4x_0)</f>
        <v>751.56</v>
      </c>
      <c r="Q58" s="1"/>
      <c r="R58" s="5">
        <f t="shared" si="35"/>
        <v>2.4429487792082157E-3</v>
      </c>
      <c r="S58" s="1"/>
      <c r="T58" s="1">
        <f>SUM(OSRRefT22_4x_0)</f>
        <v>1264.32</v>
      </c>
      <c r="U58" s="1"/>
      <c r="V58" s="5">
        <f t="shared" si="36"/>
        <v>3.9405110983021501E-3</v>
      </c>
      <c r="W58" s="1"/>
      <c r="X58" s="1">
        <f t="shared" si="37"/>
        <v>-512.76</v>
      </c>
      <c r="Y58" s="1"/>
      <c r="Z58" s="5">
        <f t="shared" si="38"/>
        <v>-0.40556188306757784</v>
      </c>
    </row>
    <row r="59" spans="1:26" s="24" customFormat="1" hidden="1" outlineLevel="2" x14ac:dyDescent="0.25">
      <c r="A59" s="26"/>
      <c r="B59" s="11" t="str">
        <f>CONCATENATE("          ", "6382", " - ", "DISCOUNTS/MARK DOWNS")</f>
        <v xml:space="preserve">          6382 - DISCOUNTS/MARK DOWNS</v>
      </c>
      <c r="C59" s="11"/>
      <c r="D59" s="6">
        <v>43.8</v>
      </c>
      <c r="E59" s="2"/>
      <c r="F59" s="7">
        <f t="shared" si="31"/>
        <v>1.1809673362769438E-3</v>
      </c>
      <c r="G59" s="2"/>
      <c r="H59" s="6">
        <v>127.71</v>
      </c>
      <c r="I59" s="2"/>
      <c r="J59" s="7">
        <f t="shared" si="32"/>
        <v>2.9236941244988671E-3</v>
      </c>
      <c r="K59" s="2"/>
      <c r="L59" s="6">
        <f t="shared" si="33"/>
        <v>-83.91</v>
      </c>
      <c r="M59" s="2"/>
      <c r="N59" s="7">
        <f t="shared" si="34"/>
        <v>-0.65703547098895931</v>
      </c>
      <c r="O59" s="11"/>
      <c r="P59" s="6">
        <v>751.56</v>
      </c>
      <c r="Q59" s="2"/>
      <c r="R59" s="7">
        <f t="shared" si="35"/>
        <v>2.4429487792082157E-3</v>
      </c>
      <c r="S59" s="2"/>
      <c r="T59" s="6">
        <v>1264.32</v>
      </c>
      <c r="U59" s="2"/>
      <c r="V59" s="7">
        <f t="shared" si="36"/>
        <v>3.9405110983021501E-3</v>
      </c>
      <c r="W59" s="2"/>
      <c r="X59" s="6">
        <f t="shared" si="37"/>
        <v>-512.76</v>
      </c>
      <c r="Y59" s="2"/>
      <c r="Z59" s="7">
        <f t="shared" si="38"/>
        <v>-0.40556188306757784</v>
      </c>
    </row>
    <row r="60" spans="1:26" s="27" customFormat="1" outlineLevel="1" collapsed="1" x14ac:dyDescent="0.25">
      <c r="A60" s="25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SUM(OSRRefD22_5x_0)</f>
        <v>0</v>
      </c>
      <c r="E60" s="1"/>
      <c r="F60" s="5">
        <f t="shared" si="31"/>
        <v>0</v>
      </c>
      <c r="G60" s="1"/>
      <c r="H60" s="1">
        <f>SUM(OSRRefH22_5x_0)</f>
        <v>3309.15</v>
      </c>
      <c r="I60" s="1"/>
      <c r="J60" s="5">
        <f t="shared" si="32"/>
        <v>7.5757124830361178E-2</v>
      </c>
      <c r="K60" s="1"/>
      <c r="L60" s="1">
        <f t="shared" si="33"/>
        <v>-3309.15</v>
      </c>
      <c r="M60" s="1"/>
      <c r="N60" s="5">
        <f t="shared" si="34"/>
        <v>-1</v>
      </c>
      <c r="O60" s="13"/>
      <c r="P60" s="1">
        <f>SUM(OSRRefP22_5x_0)</f>
        <v>9932.16</v>
      </c>
      <c r="Q60" s="1"/>
      <c r="R60" s="5">
        <f t="shared" si="35"/>
        <v>3.228452571571222E-2</v>
      </c>
      <c r="S60" s="1"/>
      <c r="T60" s="1">
        <f>SUM(OSRRefT22_5x_0)</f>
        <v>19191.22</v>
      </c>
      <c r="U60" s="1"/>
      <c r="V60" s="5">
        <f t="shared" si="36"/>
        <v>5.981335057577053E-2</v>
      </c>
      <c r="W60" s="1"/>
      <c r="X60" s="1">
        <f t="shared" si="37"/>
        <v>-9259.0600000000013</v>
      </c>
      <c r="Y60" s="1"/>
      <c r="Z60" s="5">
        <f t="shared" si="38"/>
        <v>-0.48246333479580772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6"/>
      <c r="E61" s="2"/>
      <c r="F61" s="7">
        <f t="shared" si="31"/>
        <v>0</v>
      </c>
      <c r="G61" s="2"/>
      <c r="H61" s="6">
        <v>3309.15</v>
      </c>
      <c r="I61" s="2"/>
      <c r="J61" s="7">
        <f t="shared" si="32"/>
        <v>7.5757124830361178E-2</v>
      </c>
      <c r="K61" s="2"/>
      <c r="L61" s="6">
        <f t="shared" si="33"/>
        <v>-3309.15</v>
      </c>
      <c r="M61" s="2"/>
      <c r="N61" s="7">
        <f t="shared" si="34"/>
        <v>-1</v>
      </c>
      <c r="O61" s="11"/>
      <c r="P61" s="6">
        <v>9932.16</v>
      </c>
      <c r="Q61" s="2"/>
      <c r="R61" s="7">
        <f t="shared" si="35"/>
        <v>3.228452571571222E-2</v>
      </c>
      <c r="S61" s="2"/>
      <c r="T61" s="6">
        <v>19191.22</v>
      </c>
      <c r="U61" s="2"/>
      <c r="V61" s="7">
        <f t="shared" si="36"/>
        <v>5.981335057577053E-2</v>
      </c>
      <c r="W61" s="2"/>
      <c r="X61" s="6">
        <f t="shared" si="37"/>
        <v>-9259.0600000000013</v>
      </c>
      <c r="Y61" s="2"/>
      <c r="Z61" s="7">
        <f t="shared" si="38"/>
        <v>-0.48246333479580772</v>
      </c>
    </row>
    <row r="62" spans="1:26" s="27" customFormat="1" outlineLevel="1" collapsed="1" x14ac:dyDescent="0.25">
      <c r="A62" s="25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SUM(OSRRefD22_6x_0)</f>
        <v>-687.14999999999964</v>
      </c>
      <c r="E62" s="1"/>
      <c r="F62" s="5">
        <f t="shared" si="31"/>
        <v>-1.8527436190016018E-2</v>
      </c>
      <c r="G62" s="1"/>
      <c r="H62" s="1">
        <f>SUM(OSRRefH22_6x_0)</f>
        <v>-163.28999999999996</v>
      </c>
      <c r="I62" s="1"/>
      <c r="J62" s="5">
        <f t="shared" si="32"/>
        <v>-3.738235170224884E-3</v>
      </c>
      <c r="K62" s="1"/>
      <c r="L62" s="1">
        <f t="shared" si="33"/>
        <v>-523.85999999999967</v>
      </c>
      <c r="M62" s="1"/>
      <c r="N62" s="5">
        <f t="shared" si="34"/>
        <v>3.2081572662134841</v>
      </c>
      <c r="O62" s="13"/>
      <c r="P62" s="1">
        <f>SUM(OSRRefP22_6x_0)</f>
        <v>-5884.3200000000033</v>
      </c>
      <c r="Q62" s="1"/>
      <c r="R62" s="5">
        <f t="shared" si="35"/>
        <v>-1.9127005642224835E-2</v>
      </c>
      <c r="S62" s="1"/>
      <c r="T62" s="1">
        <f>SUM(OSRRefT22_6x_0)</f>
        <v>-2804.4399999999987</v>
      </c>
      <c r="U62" s="1"/>
      <c r="V62" s="5">
        <f t="shared" si="36"/>
        <v>-8.7406091373406075E-3</v>
      </c>
      <c r="W62" s="1"/>
      <c r="X62" s="1">
        <f t="shared" si="37"/>
        <v>-3079.8800000000047</v>
      </c>
      <c r="Y62" s="1"/>
      <c r="Z62" s="5">
        <f t="shared" si="38"/>
        <v>1.0982156865541806</v>
      </c>
    </row>
    <row r="63" spans="1:26" s="24" customFormat="1" hidden="1" outlineLevel="2" x14ac:dyDescent="0.25">
      <c r="A63" s="26"/>
      <c r="B63" s="11" t="str">
        <f>CONCATENATE("          ", "6305", " - ", "FREIGHT OUT")</f>
        <v xml:space="preserve">          6305 - FREIGHT OUT</v>
      </c>
      <c r="C63" s="11"/>
      <c r="D63" s="6">
        <v>3419.09</v>
      </c>
      <c r="E63" s="2"/>
      <c r="F63" s="7">
        <f t="shared" si="31"/>
        <v>9.2187981958701745E-2</v>
      </c>
      <c r="G63" s="2"/>
      <c r="H63" s="6">
        <v>1629.63</v>
      </c>
      <c r="I63" s="2"/>
      <c r="J63" s="7">
        <f t="shared" si="32"/>
        <v>3.7307490847287524E-2</v>
      </c>
      <c r="K63" s="2"/>
      <c r="L63" s="6">
        <f t="shared" si="33"/>
        <v>1789.46</v>
      </c>
      <c r="M63" s="2"/>
      <c r="N63" s="7">
        <f t="shared" si="34"/>
        <v>1.098077477709664</v>
      </c>
      <c r="O63" s="11"/>
      <c r="P63" s="6">
        <v>22684.91</v>
      </c>
      <c r="Q63" s="2"/>
      <c r="R63" s="7">
        <f t="shared" si="35"/>
        <v>7.3737390482394291E-2</v>
      </c>
      <c r="S63" s="2"/>
      <c r="T63" s="6">
        <v>22168.01</v>
      </c>
      <c r="U63" s="2"/>
      <c r="V63" s="7">
        <f t="shared" si="36"/>
        <v>6.9091123633473361E-2</v>
      </c>
      <c r="W63" s="2"/>
      <c r="X63" s="6">
        <f t="shared" si="37"/>
        <v>516.90000000000146</v>
      </c>
      <c r="Y63" s="2"/>
      <c r="Z63" s="7">
        <f t="shared" si="38"/>
        <v>2.3317383923951742E-2</v>
      </c>
    </row>
    <row r="64" spans="1:26" s="24" customFormat="1" hidden="1" outlineLevel="2" x14ac:dyDescent="0.25">
      <c r="A64" s="26"/>
      <c r="B64" s="11" t="str">
        <f>CONCATENATE("          ", "6307", " - ", "POSTAGE")</f>
        <v xml:space="preserve">          6307 - POSTAGE</v>
      </c>
      <c r="C64" s="11"/>
      <c r="D64" s="6">
        <v>-4106.24</v>
      </c>
      <c r="E64" s="2"/>
      <c r="F64" s="7">
        <f t="shared" si="31"/>
        <v>-0.11071541814871776</v>
      </c>
      <c r="G64" s="2"/>
      <c r="H64" s="6">
        <v>-1792.92</v>
      </c>
      <c r="I64" s="2"/>
      <c r="J64" s="7">
        <f t="shared" si="32"/>
        <v>-4.1045726017512406E-2</v>
      </c>
      <c r="K64" s="2"/>
      <c r="L64" s="6">
        <f t="shared" si="33"/>
        <v>-2313.3199999999997</v>
      </c>
      <c r="M64" s="2"/>
      <c r="N64" s="7">
        <f t="shared" si="34"/>
        <v>1.2902527720143675</v>
      </c>
      <c r="O64" s="11"/>
      <c r="P64" s="6">
        <v>-28569.230000000003</v>
      </c>
      <c r="Q64" s="2"/>
      <c r="R64" s="7">
        <f t="shared" si="35"/>
        <v>-9.2864396124619122E-2</v>
      </c>
      <c r="S64" s="2"/>
      <c r="T64" s="6">
        <v>-24972.449999999997</v>
      </c>
      <c r="U64" s="2"/>
      <c r="V64" s="7">
        <f t="shared" si="36"/>
        <v>-7.7831732770813969E-2</v>
      </c>
      <c r="W64" s="2"/>
      <c r="X64" s="6">
        <f t="shared" si="37"/>
        <v>-3596.7800000000061</v>
      </c>
      <c r="Y64" s="2"/>
      <c r="Z64" s="7">
        <f t="shared" si="38"/>
        <v>0.14402992097291242</v>
      </c>
    </row>
    <row r="65" spans="1:26" s="27" customFormat="1" outlineLevel="1" collapsed="1" x14ac:dyDescent="0.25">
      <c r="A65" s="25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SUM(OSRRefD22_7x_0)</f>
        <v>75</v>
      </c>
      <c r="E65" s="1"/>
      <c r="F65" s="5">
        <f t="shared" ref="F65:F71" si="39">IF(D$12=0,0,D65/D$12)</f>
        <v>2.0222043429399725E-3</v>
      </c>
      <c r="G65" s="1"/>
      <c r="H65" s="1">
        <f>SUM(OSRRefH22_7x_0)</f>
        <v>0</v>
      </c>
      <c r="I65" s="1"/>
      <c r="J65" s="5">
        <f t="shared" ref="J65:J71" si="40">IF(H$12=0,0,H65/H$12)</f>
        <v>0</v>
      </c>
      <c r="K65" s="1"/>
      <c r="L65" s="1">
        <f t="shared" ref="L65:L71" si="41">+D65-H65</f>
        <v>75</v>
      </c>
      <c r="M65" s="1"/>
      <c r="N65" s="5">
        <f t="shared" ref="N65:N71" si="42">IF(H65=0,0,L65/H65)</f>
        <v>0</v>
      </c>
      <c r="O65" s="13"/>
      <c r="P65" s="1">
        <f>SUM(OSRRefP22_7x_0)</f>
        <v>155.16999999999999</v>
      </c>
      <c r="Q65" s="1"/>
      <c r="R65" s="5">
        <f t="shared" ref="R65:R71" si="43">IF(P$12=0,0,P65/P$12)</f>
        <v>5.0438070422819043E-4</v>
      </c>
      <c r="S65" s="1"/>
      <c r="T65" s="1">
        <f>SUM(OSRRefT22_7x_0)</f>
        <v>268.68</v>
      </c>
      <c r="U65" s="1"/>
      <c r="V65" s="5">
        <f t="shared" ref="V65:V71" si="44">IF(T$12=0,0,T65/T$12)</f>
        <v>8.3739600883622951E-4</v>
      </c>
      <c r="W65" s="1"/>
      <c r="X65" s="1">
        <f t="shared" ref="X65:X71" si="45">+P65-T65</f>
        <v>-113.51000000000002</v>
      </c>
      <c r="Y65" s="1"/>
      <c r="Z65" s="5">
        <f t="shared" ref="Z65:Z71" si="46">IF(T65=0,0,X65/T65)</f>
        <v>-0.4224728301324997</v>
      </c>
    </row>
    <row r="66" spans="1:26" s="24" customFormat="1" hidden="1" outlineLevel="2" x14ac:dyDescent="0.25">
      <c r="A66" s="26"/>
      <c r="B66" s="11" t="str">
        <f>CONCATENATE("          ", "6279", " - ", "GENERAL EXPENSE")</f>
        <v xml:space="preserve">          6279 - GENERAL EXPENSE</v>
      </c>
      <c r="C66" s="11"/>
      <c r="D66" s="6">
        <v>75</v>
      </c>
      <c r="E66" s="2"/>
      <c r="F66" s="7">
        <f t="shared" si="39"/>
        <v>2.0222043429399725E-3</v>
      </c>
      <c r="G66" s="2"/>
      <c r="H66" s="6"/>
      <c r="I66" s="2"/>
      <c r="J66" s="7">
        <f t="shared" si="40"/>
        <v>0</v>
      </c>
      <c r="K66" s="2"/>
      <c r="L66" s="6">
        <f t="shared" si="41"/>
        <v>75</v>
      </c>
      <c r="M66" s="2"/>
      <c r="N66" s="7">
        <f t="shared" si="42"/>
        <v>0</v>
      </c>
      <c r="O66" s="11"/>
      <c r="P66" s="6">
        <v>155.16999999999999</v>
      </c>
      <c r="Q66" s="2"/>
      <c r="R66" s="7">
        <f t="shared" si="43"/>
        <v>5.0438070422819043E-4</v>
      </c>
      <c r="S66" s="2"/>
      <c r="T66" s="6">
        <v>268.68</v>
      </c>
      <c r="U66" s="2"/>
      <c r="V66" s="7">
        <f t="shared" si="44"/>
        <v>8.3739600883622951E-4</v>
      </c>
      <c r="W66" s="2"/>
      <c r="X66" s="6">
        <f t="shared" si="45"/>
        <v>-113.51000000000002</v>
      </c>
      <c r="Y66" s="2"/>
      <c r="Z66" s="7">
        <f t="shared" si="46"/>
        <v>-0.4224728301324997</v>
      </c>
    </row>
    <row r="67" spans="1:26" s="27" customFormat="1" outlineLevel="1" collapsed="1" x14ac:dyDescent="0.25">
      <c r="A67" s="25"/>
      <c r="B67" s="13" t="str">
        <f>CONCATENATE("     ","Inventory Adjustment                              ")</f>
        <v xml:space="preserve">     Inventory Adjustment                              </v>
      </c>
      <c r="C67" s="13"/>
      <c r="D67" s="1">
        <f>SUM(OSRRefD22_8x_0)</f>
        <v>100</v>
      </c>
      <c r="E67" s="1"/>
      <c r="F67" s="5">
        <f t="shared" si="39"/>
        <v>2.6962724572532964E-3</v>
      </c>
      <c r="G67" s="1"/>
      <c r="H67" s="1">
        <f>SUM(OSRRefH22_8x_0)</f>
        <v>100</v>
      </c>
      <c r="I67" s="1"/>
      <c r="J67" s="5">
        <f t="shared" si="40"/>
        <v>2.2893227816920109E-3</v>
      </c>
      <c r="K67" s="1"/>
      <c r="L67" s="1">
        <f t="shared" si="41"/>
        <v>0</v>
      </c>
      <c r="M67" s="1"/>
      <c r="N67" s="5">
        <f t="shared" si="42"/>
        <v>0</v>
      </c>
      <c r="O67" s="13"/>
      <c r="P67" s="1">
        <f>SUM(OSRRefP22_8x_0)</f>
        <v>500</v>
      </c>
      <c r="Q67" s="1"/>
      <c r="R67" s="5">
        <f t="shared" si="43"/>
        <v>1.6252519953218745E-3</v>
      </c>
      <c r="S67" s="1"/>
      <c r="T67" s="1">
        <f>SUM(OSRRefT22_8x_0)</f>
        <v>600</v>
      </c>
      <c r="U67" s="1"/>
      <c r="V67" s="5">
        <f t="shared" si="44"/>
        <v>1.8700223511304813E-3</v>
      </c>
      <c r="W67" s="1"/>
      <c r="X67" s="1">
        <f t="shared" si="45"/>
        <v>-100</v>
      </c>
      <c r="Y67" s="1"/>
      <c r="Z67" s="5">
        <f t="shared" si="46"/>
        <v>-0.16666666666666666</v>
      </c>
    </row>
    <row r="68" spans="1:26" s="24" customFormat="1" hidden="1" outlineLevel="2" x14ac:dyDescent="0.25">
      <c r="A68" s="26"/>
      <c r="B68" s="11" t="str">
        <f>CONCATENATE("          ", "6408", " - ", "INVENTORY ADJUSTMENT")</f>
        <v xml:space="preserve">          6408 - INVENTORY ADJUSTMENT</v>
      </c>
      <c r="C68" s="11"/>
      <c r="D68" s="6">
        <v>100</v>
      </c>
      <c r="E68" s="2"/>
      <c r="F68" s="7">
        <f t="shared" si="39"/>
        <v>2.6962724572532964E-3</v>
      </c>
      <c r="G68" s="2"/>
      <c r="H68" s="6">
        <v>100</v>
      </c>
      <c r="I68" s="2"/>
      <c r="J68" s="7">
        <f t="shared" si="40"/>
        <v>2.2893227816920109E-3</v>
      </c>
      <c r="K68" s="2"/>
      <c r="L68" s="6">
        <f t="shared" si="41"/>
        <v>0</v>
      </c>
      <c r="M68" s="2"/>
      <c r="N68" s="7">
        <f t="shared" si="42"/>
        <v>0</v>
      </c>
      <c r="O68" s="11"/>
      <c r="P68" s="6">
        <v>500</v>
      </c>
      <c r="Q68" s="2"/>
      <c r="R68" s="7">
        <f t="shared" si="43"/>
        <v>1.6252519953218745E-3</v>
      </c>
      <c r="S68" s="2"/>
      <c r="T68" s="6">
        <v>600</v>
      </c>
      <c r="U68" s="2"/>
      <c r="V68" s="7">
        <f t="shared" si="44"/>
        <v>1.8700223511304813E-3</v>
      </c>
      <c r="W68" s="2"/>
      <c r="X68" s="6">
        <f t="shared" si="45"/>
        <v>-100</v>
      </c>
      <c r="Y68" s="2"/>
      <c r="Z68" s="7">
        <f t="shared" si="46"/>
        <v>-0.16666666666666666</v>
      </c>
    </row>
    <row r="69" spans="1:26" s="27" customFormat="1" outlineLevel="1" collapsed="1" x14ac:dyDescent="0.25">
      <c r="A69" s="25"/>
      <c r="B69" s="13" t="str">
        <f>CONCATENATE("     ","Repair and Maintenance                            ")</f>
        <v xml:space="preserve">     Repair and Maintenance                            </v>
      </c>
      <c r="C69" s="13"/>
      <c r="D69" s="1">
        <f>SUM(OSRRefD22_9x_0)</f>
        <v>7066.2099999999991</v>
      </c>
      <c r="E69" s="1"/>
      <c r="F69" s="5">
        <f t="shared" si="39"/>
        <v>0.19052427400167815</v>
      </c>
      <c r="G69" s="1"/>
      <c r="H69" s="1">
        <f>SUM(OSRRefH22_9x_0)</f>
        <v>200.98</v>
      </c>
      <c r="I69" s="1"/>
      <c r="J69" s="5">
        <f t="shared" si="40"/>
        <v>4.6010809266446035E-3</v>
      </c>
      <c r="K69" s="1"/>
      <c r="L69" s="1">
        <f t="shared" si="41"/>
        <v>6865.23</v>
      </c>
      <c r="M69" s="1"/>
      <c r="N69" s="5">
        <f t="shared" si="42"/>
        <v>34.158772017116128</v>
      </c>
      <c r="O69" s="13"/>
      <c r="P69" s="1">
        <f>SUM(OSRRefP22_9x_0)</f>
        <v>36516.17</v>
      </c>
      <c r="Q69" s="1"/>
      <c r="R69" s="5">
        <f t="shared" si="43"/>
        <v>0.11869595630802554</v>
      </c>
      <c r="S69" s="1"/>
      <c r="T69" s="1">
        <f>SUM(OSRRefT22_9x_0)</f>
        <v>41102.36</v>
      </c>
      <c r="U69" s="1"/>
      <c r="V69" s="5">
        <f t="shared" si="44"/>
        <v>0.12810388647368576</v>
      </c>
      <c r="W69" s="1"/>
      <c r="X69" s="1">
        <f t="shared" si="45"/>
        <v>-4586.1900000000023</v>
      </c>
      <c r="Y69" s="1"/>
      <c r="Z69" s="5">
        <f t="shared" si="46"/>
        <v>-0.11157972437592396</v>
      </c>
    </row>
    <row r="70" spans="1:26" s="24" customFormat="1" hidden="1" outlineLevel="2" x14ac:dyDescent="0.25">
      <c r="A70" s="26"/>
      <c r="B70" s="11" t="str">
        <f>CONCATENATE("          ", "6373", " - ", "MAINTENANCE CONTRACTS")</f>
        <v xml:space="preserve">          6373 - MAINTENANCE CONTRACTS</v>
      </c>
      <c r="C70" s="11"/>
      <c r="D70" s="6">
        <v>6696.73</v>
      </c>
      <c r="E70" s="2"/>
      <c r="F70" s="7">
        <f t="shared" si="39"/>
        <v>0.18056208652661868</v>
      </c>
      <c r="G70" s="2"/>
      <c r="H70" s="6">
        <v>200.98</v>
      </c>
      <c r="I70" s="2"/>
      <c r="J70" s="7">
        <f t="shared" si="40"/>
        <v>4.6010809266446035E-3</v>
      </c>
      <c r="K70" s="2"/>
      <c r="L70" s="6">
        <f t="shared" si="41"/>
        <v>6495.75</v>
      </c>
      <c r="M70" s="2"/>
      <c r="N70" s="7">
        <f t="shared" si="42"/>
        <v>32.320380137327099</v>
      </c>
      <c r="O70" s="11"/>
      <c r="P70" s="6">
        <v>36146.689999999995</v>
      </c>
      <c r="Q70" s="2"/>
      <c r="R70" s="7">
        <f t="shared" si="43"/>
        <v>0.11749496009356247</v>
      </c>
      <c r="S70" s="2"/>
      <c r="T70" s="6">
        <v>40953.82</v>
      </c>
      <c r="U70" s="2"/>
      <c r="V70" s="7">
        <f t="shared" si="44"/>
        <v>0.12764093127362422</v>
      </c>
      <c r="W70" s="2"/>
      <c r="X70" s="6">
        <f t="shared" si="45"/>
        <v>-4807.1300000000047</v>
      </c>
      <c r="Y70" s="2"/>
      <c r="Z70" s="7">
        <f t="shared" si="46"/>
        <v>-0.11737928232335847</v>
      </c>
    </row>
    <row r="71" spans="1:26" s="24" customFormat="1" hidden="1" outlineLevel="2" x14ac:dyDescent="0.25">
      <c r="A71" s="26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369.48</v>
      </c>
      <c r="E71" s="2"/>
      <c r="F71" s="7">
        <f t="shared" si="39"/>
        <v>9.9621874750594804E-3</v>
      </c>
      <c r="G71" s="2"/>
      <c r="H71" s="6"/>
      <c r="I71" s="2"/>
      <c r="J71" s="7">
        <f t="shared" si="40"/>
        <v>0</v>
      </c>
      <c r="K71" s="2"/>
      <c r="L71" s="6">
        <f t="shared" si="41"/>
        <v>369.48</v>
      </c>
      <c r="M71" s="2"/>
      <c r="N71" s="7">
        <f t="shared" si="42"/>
        <v>0</v>
      </c>
      <c r="O71" s="11"/>
      <c r="P71" s="6">
        <v>369.48</v>
      </c>
      <c r="Q71" s="2"/>
      <c r="R71" s="7">
        <f t="shared" si="43"/>
        <v>1.2009962144630523E-3</v>
      </c>
      <c r="S71" s="2"/>
      <c r="T71" s="6">
        <v>148.54</v>
      </c>
      <c r="U71" s="2"/>
      <c r="V71" s="7">
        <f t="shared" si="44"/>
        <v>4.6295520006153616E-4</v>
      </c>
      <c r="W71" s="2"/>
      <c r="X71" s="6">
        <f t="shared" si="45"/>
        <v>220.94000000000003</v>
      </c>
      <c r="Y71" s="2"/>
      <c r="Z71" s="7">
        <f t="shared" si="46"/>
        <v>1.4874107984381315</v>
      </c>
    </row>
    <row r="72" spans="1:26" s="27" customFormat="1" outlineLevel="1" collapsed="1" x14ac:dyDescent="0.25">
      <c r="A72" s="25"/>
      <c r="B72" s="13" t="str">
        <f>CONCATENATE("     ","Royalty &amp; Commissions                             ")</f>
        <v xml:space="preserve">     Royalty &amp; Commissions                             </v>
      </c>
      <c r="C72" s="13"/>
      <c r="D72" s="1">
        <f>SUM(OSRRefD22_10x_0)</f>
        <v>12692.3</v>
      </c>
      <c r="E72" s="1"/>
      <c r="F72" s="5">
        <f t="shared" ref="F72:F79" si="47">IF(D$12=0,0,D72/D$12)</f>
        <v>0.34221898909196014</v>
      </c>
      <c r="G72" s="1"/>
      <c r="H72" s="1">
        <f>SUM(OSRRefH22_10x_0)</f>
        <v>9309.5300000000007</v>
      </c>
      <c r="I72" s="1"/>
      <c r="J72" s="5">
        <f t="shared" ref="J72:J79" si="48">IF(H$12=0,0,H72/H$12)</f>
        <v>0.21312519115845227</v>
      </c>
      <c r="K72" s="1"/>
      <c r="L72" s="1">
        <f t="shared" ref="L72:L79" si="49">+D72-H72</f>
        <v>3382.7699999999986</v>
      </c>
      <c r="M72" s="1"/>
      <c r="N72" s="5">
        <f t="shared" ref="N72:N79" si="50">IF(H72=0,0,L72/H72)</f>
        <v>0.36336635684078555</v>
      </c>
      <c r="O72" s="13"/>
      <c r="P72" s="1">
        <f>SUM(OSRRefP22_10x_0)</f>
        <v>56559.98</v>
      </c>
      <c r="Q72" s="1"/>
      <c r="R72" s="5">
        <f t="shared" ref="R72:R79" si="51">IF(P$12=0,0,P72/P$12)</f>
        <v>0.18384844070073064</v>
      </c>
      <c r="S72" s="1"/>
      <c r="T72" s="1">
        <f>SUM(OSRRefT22_10x_0)</f>
        <v>55250.23</v>
      </c>
      <c r="U72" s="1"/>
      <c r="V72" s="5">
        <f t="shared" ref="V72:V79" si="52">IF(T$12=0,0,T72/T$12)</f>
        <v>0.17219860834183309</v>
      </c>
      <c r="W72" s="1"/>
      <c r="X72" s="1">
        <f t="shared" ref="X72:X79" si="53">+P72-T72</f>
        <v>1309.75</v>
      </c>
      <c r="Y72" s="1"/>
      <c r="Z72" s="5">
        <f t="shared" ref="Z72:Z79" si="54">IF(T72=0,0,X72/T72)</f>
        <v>2.3705783668230881E-2</v>
      </c>
    </row>
    <row r="73" spans="1:26" s="24" customFormat="1" hidden="1" outlineLevel="2" x14ac:dyDescent="0.25">
      <c r="A73" s="26"/>
      <c r="B73" s="11" t="str">
        <f>CONCATENATE("          ", "6259", " - ", "ROYALTY &amp; COMMISSIONS")</f>
        <v xml:space="preserve">          6259 - ROYALTY &amp; COMMISSIONS</v>
      </c>
      <c r="C73" s="11"/>
      <c r="D73" s="6">
        <v>12692.3</v>
      </c>
      <c r="E73" s="2"/>
      <c r="F73" s="7">
        <f t="shared" si="47"/>
        <v>0.34221898909196014</v>
      </c>
      <c r="G73" s="2"/>
      <c r="H73" s="6">
        <v>9309.5300000000007</v>
      </c>
      <c r="I73" s="2"/>
      <c r="J73" s="7">
        <f t="shared" si="48"/>
        <v>0.21312519115845227</v>
      </c>
      <c r="K73" s="2"/>
      <c r="L73" s="6">
        <f t="shared" si="49"/>
        <v>3382.7699999999986</v>
      </c>
      <c r="M73" s="2"/>
      <c r="N73" s="7">
        <f t="shared" si="50"/>
        <v>0.36336635684078555</v>
      </c>
      <c r="O73" s="11"/>
      <c r="P73" s="6">
        <v>56559.98</v>
      </c>
      <c r="Q73" s="2"/>
      <c r="R73" s="7">
        <f t="shared" si="51"/>
        <v>0.18384844070073064</v>
      </c>
      <c r="S73" s="2"/>
      <c r="T73" s="6">
        <v>55250.23</v>
      </c>
      <c r="U73" s="2"/>
      <c r="V73" s="7">
        <f t="shared" si="52"/>
        <v>0.17219860834183309</v>
      </c>
      <c r="W73" s="2"/>
      <c r="X73" s="6">
        <f t="shared" si="53"/>
        <v>1309.75</v>
      </c>
      <c r="Y73" s="2"/>
      <c r="Z73" s="7">
        <f t="shared" si="54"/>
        <v>2.3705783668230881E-2</v>
      </c>
    </row>
    <row r="74" spans="1:26" s="27" customFormat="1" outlineLevel="1" collapsed="1" x14ac:dyDescent="0.25">
      <c r="A74" s="25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SUM(OSRRefD22_11x_0)</f>
        <v>4290.18</v>
      </c>
      <c r="E74" s="1"/>
      <c r="F74" s="5">
        <f t="shared" si="47"/>
        <v>0.11567494170658948</v>
      </c>
      <c r="G74" s="1"/>
      <c r="H74" s="1">
        <f>SUM(OSRRefH22_11x_0)</f>
        <v>2113.8599999999997</v>
      </c>
      <c r="I74" s="1"/>
      <c r="J74" s="5">
        <f t="shared" si="48"/>
        <v>4.8393078553074738E-2</v>
      </c>
      <c r="K74" s="1"/>
      <c r="L74" s="1">
        <f t="shared" si="49"/>
        <v>2176.3200000000006</v>
      </c>
      <c r="M74" s="1"/>
      <c r="N74" s="5">
        <f t="shared" si="50"/>
        <v>1.0295478413896857</v>
      </c>
      <c r="O74" s="13"/>
      <c r="P74" s="1">
        <f>SUM(OSRRefP22_11x_0)</f>
        <v>23448.54</v>
      </c>
      <c r="Q74" s="1"/>
      <c r="R74" s="5">
        <f t="shared" si="51"/>
        <v>7.6219572844769573E-2</v>
      </c>
      <c r="S74" s="1"/>
      <c r="T74" s="1">
        <f>SUM(OSRRefT22_11x_0)</f>
        <v>34616.129999999997</v>
      </c>
      <c r="U74" s="1"/>
      <c r="V74" s="5">
        <f t="shared" si="52"/>
        <v>0.10788822801606397</v>
      </c>
      <c r="W74" s="1"/>
      <c r="X74" s="1">
        <f t="shared" si="53"/>
        <v>-11167.589999999997</v>
      </c>
      <c r="Y74" s="1"/>
      <c r="Z74" s="5">
        <f t="shared" si="54"/>
        <v>-0.32261231974804799</v>
      </c>
    </row>
    <row r="75" spans="1:26" s="24" customFormat="1" hidden="1" outlineLevel="2" x14ac:dyDescent="0.25">
      <c r="A75" s="26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47"/>
        <v>0</v>
      </c>
      <c r="G75" s="2"/>
      <c r="H75" s="6"/>
      <c r="I75" s="2"/>
      <c r="J75" s="7">
        <f t="shared" si="48"/>
        <v>0</v>
      </c>
      <c r="K75" s="2"/>
      <c r="L75" s="6">
        <f t="shared" si="49"/>
        <v>0</v>
      </c>
      <c r="M75" s="2"/>
      <c r="N75" s="7">
        <f t="shared" si="50"/>
        <v>0</v>
      </c>
      <c r="O75" s="11"/>
      <c r="P75" s="6">
        <v>1017.27</v>
      </c>
      <c r="Q75" s="2"/>
      <c r="R75" s="7">
        <f t="shared" si="51"/>
        <v>3.3066401945621663E-3</v>
      </c>
      <c r="S75" s="2"/>
      <c r="T75" s="6">
        <v>856.68</v>
      </c>
      <c r="U75" s="2"/>
      <c r="V75" s="7">
        <f t="shared" si="52"/>
        <v>2.6700179129441012E-3</v>
      </c>
      <c r="W75" s="2"/>
      <c r="X75" s="6">
        <f t="shared" si="53"/>
        <v>160.59000000000003</v>
      </c>
      <c r="Y75" s="2"/>
      <c r="Z75" s="7">
        <f t="shared" si="54"/>
        <v>0.18745622636223566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>
        <v>54.4</v>
      </c>
      <c r="E76" s="2"/>
      <c r="F76" s="7">
        <f t="shared" si="47"/>
        <v>1.4667722167457933E-3</v>
      </c>
      <c r="G76" s="2"/>
      <c r="H76" s="6"/>
      <c r="I76" s="2"/>
      <c r="J76" s="7">
        <f t="shared" si="48"/>
        <v>0</v>
      </c>
      <c r="K76" s="2"/>
      <c r="L76" s="6">
        <f t="shared" si="49"/>
        <v>54.4</v>
      </c>
      <c r="M76" s="2"/>
      <c r="N76" s="7">
        <f t="shared" si="50"/>
        <v>0</v>
      </c>
      <c r="O76" s="11"/>
      <c r="P76" s="6">
        <v>169.42</v>
      </c>
      <c r="Q76" s="2"/>
      <c r="R76" s="7">
        <f t="shared" si="51"/>
        <v>5.5070038609486387E-4</v>
      </c>
      <c r="S76" s="2"/>
      <c r="T76" s="6">
        <v>1.59</v>
      </c>
      <c r="U76" s="2"/>
      <c r="V76" s="7">
        <f t="shared" si="52"/>
        <v>4.9555592304957762E-6</v>
      </c>
      <c r="W76" s="2"/>
      <c r="X76" s="6">
        <f t="shared" si="53"/>
        <v>167.82999999999998</v>
      </c>
      <c r="Y76" s="2"/>
      <c r="Z76" s="7">
        <f t="shared" si="54"/>
        <v>105.55345911949684</v>
      </c>
    </row>
    <row r="77" spans="1:26" s="24" customFormat="1" hidden="1" outlineLevel="2" x14ac:dyDescent="0.25">
      <c r="A77" s="26"/>
      <c r="B77" s="11" t="str">
        <f>CONCATENATE("          ", "6243", " - ", "PAPER SUPPLIES")</f>
        <v xml:space="preserve">          6243 - PAPER SUPPLIES</v>
      </c>
      <c r="C77" s="11"/>
      <c r="D77" s="6">
        <v>3229.02</v>
      </c>
      <c r="E77" s="2"/>
      <c r="F77" s="7">
        <f t="shared" si="47"/>
        <v>8.7063176899200401E-2</v>
      </c>
      <c r="G77" s="2"/>
      <c r="H77" s="6">
        <v>886.72</v>
      </c>
      <c r="I77" s="2"/>
      <c r="J77" s="7">
        <f t="shared" si="48"/>
        <v>2.02998829698194E-2</v>
      </c>
      <c r="K77" s="2"/>
      <c r="L77" s="6">
        <f t="shared" si="49"/>
        <v>2342.3000000000002</v>
      </c>
      <c r="M77" s="2"/>
      <c r="N77" s="7">
        <f t="shared" si="50"/>
        <v>2.641532840129917</v>
      </c>
      <c r="O77" s="11"/>
      <c r="P77" s="6">
        <v>9558.5</v>
      </c>
      <c r="Q77" s="2"/>
      <c r="R77" s="7">
        <f t="shared" si="51"/>
        <v>3.1069942394568274E-2</v>
      </c>
      <c r="S77" s="2"/>
      <c r="T77" s="6">
        <v>19158.75</v>
      </c>
      <c r="U77" s="2"/>
      <c r="V77" s="7">
        <f t="shared" si="52"/>
        <v>5.9712151199535185E-2</v>
      </c>
      <c r="W77" s="2"/>
      <c r="X77" s="6">
        <f t="shared" si="53"/>
        <v>-9600.25</v>
      </c>
      <c r="Y77" s="2"/>
      <c r="Z77" s="7">
        <f t="shared" si="54"/>
        <v>-0.5010895804788934</v>
      </c>
    </row>
    <row r="78" spans="1:26" s="24" customFormat="1" hidden="1" outlineLevel="2" x14ac:dyDescent="0.25">
      <c r="A78" s="26"/>
      <c r="B78" s="11" t="str">
        <f>CONCATENATE("          ", "6245", " - ", "PRINTING")</f>
        <v xml:space="preserve">          6245 - PRINTING</v>
      </c>
      <c r="C78" s="11"/>
      <c r="D78" s="6">
        <v>748.76</v>
      </c>
      <c r="E78" s="2"/>
      <c r="F78" s="7">
        <f t="shared" si="47"/>
        <v>2.0188609650929782E-2</v>
      </c>
      <c r="G78" s="2"/>
      <c r="H78" s="6">
        <v>384.63</v>
      </c>
      <c r="I78" s="2"/>
      <c r="J78" s="7">
        <f t="shared" si="48"/>
        <v>8.8054222152219811E-3</v>
      </c>
      <c r="K78" s="2"/>
      <c r="L78" s="6">
        <f t="shared" si="49"/>
        <v>364.13</v>
      </c>
      <c r="M78" s="2"/>
      <c r="N78" s="7">
        <f t="shared" si="50"/>
        <v>0.94670202532303771</v>
      </c>
      <c r="O78" s="11"/>
      <c r="P78" s="6">
        <v>1213.18</v>
      </c>
      <c r="Q78" s="2"/>
      <c r="R78" s="7">
        <f t="shared" si="51"/>
        <v>3.9434464313691832E-3</v>
      </c>
      <c r="S78" s="2"/>
      <c r="T78" s="6">
        <v>4954.33</v>
      </c>
      <c r="U78" s="2"/>
      <c r="V78" s="7">
        <f t="shared" si="52"/>
        <v>1.5441179724793795E-2</v>
      </c>
      <c r="W78" s="2"/>
      <c r="X78" s="6">
        <f t="shared" si="53"/>
        <v>-3741.1499999999996</v>
      </c>
      <c r="Y78" s="2"/>
      <c r="Z78" s="7">
        <f t="shared" si="54"/>
        <v>-0.75512733306017155</v>
      </c>
    </row>
    <row r="79" spans="1:26" s="24" customFormat="1" hidden="1" outlineLevel="2" x14ac:dyDescent="0.25">
      <c r="A79" s="26"/>
      <c r="B79" s="11" t="str">
        <f>CONCATENATE("          ", "6247", " - ", "STORE SUPPLIES")</f>
        <v xml:space="preserve">          6247 - STORE SUPPLIES</v>
      </c>
      <c r="C79" s="11"/>
      <c r="D79" s="6">
        <v>258</v>
      </c>
      <c r="E79" s="2"/>
      <c r="F79" s="7">
        <f t="shared" si="47"/>
        <v>6.9563829397135055E-3</v>
      </c>
      <c r="G79" s="2"/>
      <c r="H79" s="6">
        <v>842.51</v>
      </c>
      <c r="I79" s="2"/>
      <c r="J79" s="7">
        <f t="shared" si="48"/>
        <v>1.9287773368033362E-2</v>
      </c>
      <c r="K79" s="2"/>
      <c r="L79" s="6">
        <f t="shared" si="49"/>
        <v>-584.51</v>
      </c>
      <c r="M79" s="2"/>
      <c r="N79" s="7">
        <f t="shared" si="50"/>
        <v>-0.69377218074562907</v>
      </c>
      <c r="O79" s="11"/>
      <c r="P79" s="6">
        <v>11490.17</v>
      </c>
      <c r="Q79" s="2"/>
      <c r="R79" s="7">
        <f t="shared" si="51"/>
        <v>3.7348843438175086E-2</v>
      </c>
      <c r="S79" s="2"/>
      <c r="T79" s="6">
        <v>9644.7800000000007</v>
      </c>
      <c r="U79" s="2"/>
      <c r="V79" s="7">
        <f t="shared" si="52"/>
        <v>3.0059923619560409E-2</v>
      </c>
      <c r="W79" s="2"/>
      <c r="X79" s="6">
        <f t="shared" si="53"/>
        <v>1845.3899999999994</v>
      </c>
      <c r="Y79" s="2"/>
      <c r="Z79" s="7">
        <f t="shared" si="54"/>
        <v>0.19133562403704379</v>
      </c>
    </row>
    <row r="80" spans="1:26" s="27" customFormat="1" outlineLevel="1" collapsed="1" x14ac:dyDescent="0.25">
      <c r="A80" s="25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SUM(OSRRefD22_12x_0)</f>
        <v>196.2</v>
      </c>
      <c r="E80" s="1"/>
      <c r="F80" s="5">
        <f t="shared" ref="F80:F83" si="55">IF(D$12=0,0,D80/D$12)</f>
        <v>5.2900865611309675E-3</v>
      </c>
      <c r="G80" s="1"/>
      <c r="H80" s="1">
        <f>SUM(OSRRefH22_12x_0)</f>
        <v>301.10000000000002</v>
      </c>
      <c r="I80" s="1"/>
      <c r="J80" s="5">
        <f t="shared" ref="J80:J83" si="56">IF(H$12=0,0,H80/H$12)</f>
        <v>6.8931508956746454E-3</v>
      </c>
      <c r="K80" s="1"/>
      <c r="L80" s="1">
        <f t="shared" ref="L80:L83" si="57">+D80-H80</f>
        <v>-104.90000000000003</v>
      </c>
      <c r="M80" s="1"/>
      <c r="N80" s="5">
        <f t="shared" ref="N80:N83" si="58">IF(H80=0,0,L80/H80)</f>
        <v>-0.34838923945533057</v>
      </c>
      <c r="O80" s="13"/>
      <c r="P80" s="1">
        <f>SUM(OSRRefP22_12x_0)</f>
        <v>1225.8499999999999</v>
      </c>
      <c r="Q80" s="1"/>
      <c r="R80" s="5">
        <f t="shared" ref="R80:R83" si="59">IF(P$12=0,0,P80/P$12)</f>
        <v>3.9846303169306391E-3</v>
      </c>
      <c r="S80" s="1"/>
      <c r="T80" s="1">
        <f>SUM(OSRRefT22_12x_0)</f>
        <v>1820.3</v>
      </c>
      <c r="U80" s="1"/>
      <c r="V80" s="5">
        <f t="shared" ref="V80:V83" si="60">IF(T$12=0,0,T80/T$12)</f>
        <v>5.6733361429380253E-3</v>
      </c>
      <c r="W80" s="1"/>
      <c r="X80" s="1">
        <f t="shared" ref="X80:X83" si="61">+P80-T80</f>
        <v>-594.45000000000005</v>
      </c>
      <c r="Y80" s="1"/>
      <c r="Z80" s="5">
        <f t="shared" ref="Z80:Z83" si="62">IF(T80=0,0,X80/T80)</f>
        <v>-0.32656704938746361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6">
        <v>196.2</v>
      </c>
      <c r="E81" s="2"/>
      <c r="F81" s="7">
        <f t="shared" si="55"/>
        <v>5.2900865611309675E-3</v>
      </c>
      <c r="G81" s="2"/>
      <c r="H81" s="6">
        <v>301.10000000000002</v>
      </c>
      <c r="I81" s="2"/>
      <c r="J81" s="7">
        <f t="shared" si="56"/>
        <v>6.8931508956746454E-3</v>
      </c>
      <c r="K81" s="2"/>
      <c r="L81" s="6">
        <f t="shared" si="57"/>
        <v>-104.90000000000003</v>
      </c>
      <c r="M81" s="2"/>
      <c r="N81" s="7">
        <f t="shared" si="58"/>
        <v>-0.34838923945533057</v>
      </c>
      <c r="O81" s="11"/>
      <c r="P81" s="6">
        <v>1225.8499999999999</v>
      </c>
      <c r="Q81" s="2"/>
      <c r="R81" s="7">
        <f t="shared" si="59"/>
        <v>3.9846303169306391E-3</v>
      </c>
      <c r="S81" s="2"/>
      <c r="T81" s="6">
        <v>1820.3</v>
      </c>
      <c r="U81" s="2"/>
      <c r="V81" s="7">
        <f t="shared" si="60"/>
        <v>5.6733361429380253E-3</v>
      </c>
      <c r="W81" s="2"/>
      <c r="X81" s="6">
        <f t="shared" si="61"/>
        <v>-594.45000000000005</v>
      </c>
      <c r="Y81" s="2"/>
      <c r="Z81" s="7">
        <f t="shared" si="62"/>
        <v>-0.32656704938746361</v>
      </c>
    </row>
    <row r="82" spans="1:26" s="27" customFormat="1" outlineLevel="1" collapsed="1" x14ac:dyDescent="0.25">
      <c r="A82" s="25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SUM(OSRRefD22_13x_0)</f>
        <v>0</v>
      </c>
      <c r="E82" s="1"/>
      <c r="F82" s="5">
        <f t="shared" si="55"/>
        <v>0</v>
      </c>
      <c r="G82" s="1"/>
      <c r="H82" s="1">
        <f>SUM(OSRRefH22_13x_0)</f>
        <v>0</v>
      </c>
      <c r="I82" s="1"/>
      <c r="J82" s="5">
        <f t="shared" si="56"/>
        <v>0</v>
      </c>
      <c r="K82" s="1"/>
      <c r="L82" s="1">
        <f t="shared" si="57"/>
        <v>0</v>
      </c>
      <c r="M82" s="1"/>
      <c r="N82" s="5">
        <f t="shared" si="58"/>
        <v>0</v>
      </c>
      <c r="O82" s="13"/>
      <c r="P82" s="1">
        <f>SUM(OSRRefP22_13x_0)</f>
        <v>97.71</v>
      </c>
      <c r="Q82" s="1"/>
      <c r="R82" s="5">
        <f t="shared" si="59"/>
        <v>3.1760674492580069E-4</v>
      </c>
      <c r="S82" s="1"/>
      <c r="T82" s="1">
        <f>SUM(OSRRefT22_13x_0)</f>
        <v>0</v>
      </c>
      <c r="U82" s="1"/>
      <c r="V82" s="5">
        <f t="shared" si="60"/>
        <v>0</v>
      </c>
      <c r="W82" s="1"/>
      <c r="X82" s="1">
        <f t="shared" si="61"/>
        <v>97.71</v>
      </c>
      <c r="Y82" s="1"/>
      <c r="Z82" s="5">
        <f t="shared" si="62"/>
        <v>0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55"/>
        <v>0</v>
      </c>
      <c r="G83" s="2"/>
      <c r="H83" s="6"/>
      <c r="I83" s="2"/>
      <c r="J83" s="7">
        <f t="shared" si="56"/>
        <v>0</v>
      </c>
      <c r="K83" s="2"/>
      <c r="L83" s="6">
        <f t="shared" si="57"/>
        <v>0</v>
      </c>
      <c r="M83" s="2"/>
      <c r="N83" s="7">
        <f t="shared" si="58"/>
        <v>0</v>
      </c>
      <c r="O83" s="11"/>
      <c r="P83" s="6">
        <v>97.71</v>
      </c>
      <c r="Q83" s="2"/>
      <c r="R83" s="7">
        <f t="shared" si="59"/>
        <v>3.1760674492580069E-4</v>
      </c>
      <c r="S83" s="2"/>
      <c r="T83" s="6"/>
      <c r="U83" s="2"/>
      <c r="V83" s="7">
        <f t="shared" si="60"/>
        <v>0</v>
      </c>
      <c r="W83" s="2"/>
      <c r="X83" s="6">
        <f t="shared" si="61"/>
        <v>97.71</v>
      </c>
      <c r="Y83" s="2"/>
      <c r="Z83" s="7">
        <f t="shared" si="62"/>
        <v>0</v>
      </c>
    </row>
    <row r="84" spans="1:26" s="61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25">
      <c r="A85" s="10"/>
      <c r="B85" s="28" t="s">
        <v>0</v>
      </c>
      <c r="C85" s="10"/>
      <c r="D85" s="4">
        <f>SUM(OSRRefD25x_0)</f>
        <v>13269</v>
      </c>
      <c r="E85" s="4"/>
      <c r="F85" s="12">
        <f t="shared" ref="F85:F91" si="63">IF(D$12=0,0,D85/D$12)</f>
        <v>0.35776839235293995</v>
      </c>
      <c r="G85" s="4"/>
      <c r="H85" s="4">
        <f>SUM(OSRRefH25x_0)</f>
        <v>13372</v>
      </c>
      <c r="I85" s="4"/>
      <c r="J85" s="12">
        <f t="shared" ref="J85:J91" si="64">IF(H$12=0,0,H85/H$12)</f>
        <v>0.30612824236785569</v>
      </c>
      <c r="K85" s="4"/>
      <c r="L85" s="4">
        <f t="shared" ref="L85:L91" si="65">+D85-H85</f>
        <v>-103</v>
      </c>
      <c r="M85" s="4"/>
      <c r="N85" s="12">
        <f t="shared" ref="N85:N91" si="66">IF(H85=0,0,L85/H85)</f>
        <v>-7.7026622793897699E-3</v>
      </c>
      <c r="O85" s="10"/>
      <c r="P85" s="4">
        <f>SUM(OSRRefP25x_0)</f>
        <v>165347.40000000002</v>
      </c>
      <c r="Q85" s="4"/>
      <c r="R85" s="12">
        <f t="shared" ref="R85:R91" si="67">IF(P$12=0,0,P85/P$12)</f>
        <v>0.53746238354256826</v>
      </c>
      <c r="S85" s="4"/>
      <c r="T85" s="4">
        <f>SUM(OSRRefT25x_0)</f>
        <v>75767.5</v>
      </c>
      <c r="U85" s="4"/>
      <c r="V85" s="12">
        <f t="shared" ref="V85:V91" si="68">IF(T$12=0,0,T85/T$12)</f>
        <v>0.2361448641487979</v>
      </c>
      <c r="W85" s="4"/>
      <c r="X85" s="4">
        <f t="shared" ref="X85:X91" si="69">+P85-T85</f>
        <v>89579.900000000023</v>
      </c>
      <c r="Y85" s="4"/>
      <c r="Z85" s="12">
        <f t="shared" ref="Z85:Z91" si="70">IF(T85=0,0,X85/T85)</f>
        <v>1.1822997987263673</v>
      </c>
    </row>
    <row r="86" spans="1:26" s="24" customFormat="1" hidden="1" outlineLevel="1" x14ac:dyDescent="0.25">
      <c r="A86" s="44"/>
      <c r="B86" s="11" t="str">
        <f>CONCATENATE("          ", "4098", " - ", "TAXABLE SALES-GRAD RENTALS")</f>
        <v xml:space="preserve">          4098 - TAXABLE SALES-GRAD RENTALS</v>
      </c>
      <c r="C86" s="11"/>
      <c r="D86" s="2">
        <f t="shared" ref="D86:D88" si="71">0</f>
        <v>0</v>
      </c>
      <c r="E86" s="2"/>
      <c r="F86" s="19">
        <f t="shared" si="63"/>
        <v>0</v>
      </c>
      <c r="G86" s="2"/>
      <c r="H86" s="2">
        <f>--1289</f>
        <v>1289</v>
      </c>
      <c r="I86" s="2"/>
      <c r="J86" s="19">
        <f t="shared" si="64"/>
        <v>2.9509370656010021E-2</v>
      </c>
      <c r="K86" s="2"/>
      <c r="L86" s="2">
        <f t="shared" si="65"/>
        <v>-1289</v>
      </c>
      <c r="M86" s="2"/>
      <c r="N86" s="19">
        <f t="shared" si="66"/>
        <v>-1</v>
      </c>
      <c r="O86" s="11"/>
      <c r="P86" s="2">
        <f>--1626.85</f>
        <v>1626.85</v>
      </c>
      <c r="Q86" s="2"/>
      <c r="R86" s="19">
        <f t="shared" si="67"/>
        <v>5.2880824171787823E-3</v>
      </c>
      <c r="S86" s="2"/>
      <c r="T86" s="2">
        <f>--2269.5</f>
        <v>2269.5</v>
      </c>
      <c r="U86" s="2"/>
      <c r="V86" s="19">
        <f t="shared" si="68"/>
        <v>7.0733595431510454E-3</v>
      </c>
      <c r="W86" s="2"/>
      <c r="X86" s="2">
        <f t="shared" si="69"/>
        <v>-642.65000000000009</v>
      </c>
      <c r="Y86" s="2"/>
      <c r="Z86" s="19">
        <f t="shared" si="70"/>
        <v>-0.28316809870015425</v>
      </c>
    </row>
    <row r="87" spans="1:26" s="24" customFormat="1" hidden="1" outlineLevel="1" x14ac:dyDescent="0.25">
      <c r="A87" s="44"/>
      <c r="B87" s="11" t="str">
        <f>CONCATENATE("          ", "4197", " - ", "NON-TAXABLE SALES-RETURNED CHE")</f>
        <v xml:space="preserve">          4197 - NON-TAXABLE SALES-RETURNED CHE</v>
      </c>
      <c r="C87" s="11"/>
      <c r="D87" s="2">
        <f t="shared" si="71"/>
        <v>0</v>
      </c>
      <c r="E87" s="2"/>
      <c r="F87" s="19">
        <f t="shared" si="63"/>
        <v>0</v>
      </c>
      <c r="G87" s="2"/>
      <c r="H87" s="2">
        <f t="shared" ref="H87:H88" si="72">0</f>
        <v>0</v>
      </c>
      <c r="I87" s="2"/>
      <c r="J87" s="19">
        <f t="shared" si="64"/>
        <v>0</v>
      </c>
      <c r="K87" s="2"/>
      <c r="L87" s="2">
        <f t="shared" si="65"/>
        <v>0</v>
      </c>
      <c r="M87" s="2"/>
      <c r="N87" s="19">
        <f t="shared" si="66"/>
        <v>0</v>
      </c>
      <c r="O87" s="11"/>
      <c r="P87" s="2">
        <f>--30</f>
        <v>30</v>
      </c>
      <c r="Q87" s="2"/>
      <c r="R87" s="19">
        <f t="shared" si="67"/>
        <v>9.7515119719312471E-5</v>
      </c>
      <c r="S87" s="2"/>
      <c r="T87" s="2">
        <f>--260</f>
        <v>260</v>
      </c>
      <c r="U87" s="2"/>
      <c r="V87" s="19">
        <f t="shared" si="68"/>
        <v>8.1034301882320855E-4</v>
      </c>
      <c r="W87" s="2"/>
      <c r="X87" s="2">
        <f t="shared" si="69"/>
        <v>-230</v>
      </c>
      <c r="Y87" s="2"/>
      <c r="Z87" s="19">
        <f t="shared" si="70"/>
        <v>-0.88461538461538458</v>
      </c>
    </row>
    <row r="88" spans="1:26" s="24" customFormat="1" hidden="1" outlineLevel="1" x14ac:dyDescent="0.25">
      <c r="A88" s="44"/>
      <c r="B88" s="11" t="str">
        <f>CONCATENATE("          ", "4198", " - ", "NON-TAXABLE SALES-GRAD RENTALS")</f>
        <v xml:space="preserve">          4198 - NON-TAXABLE SALES-GRAD RENTALS</v>
      </c>
      <c r="C88" s="11"/>
      <c r="D88" s="2">
        <f t="shared" si="71"/>
        <v>0</v>
      </c>
      <c r="E88" s="2"/>
      <c r="F88" s="19">
        <f t="shared" si="63"/>
        <v>0</v>
      </c>
      <c r="G88" s="2"/>
      <c r="H88" s="2">
        <f t="shared" si="72"/>
        <v>0</v>
      </c>
      <c r="I88" s="2"/>
      <c r="J88" s="19">
        <f t="shared" si="64"/>
        <v>0</v>
      </c>
      <c r="K88" s="2"/>
      <c r="L88" s="2">
        <f t="shared" si="65"/>
        <v>0</v>
      </c>
      <c r="M88" s="2"/>
      <c r="N88" s="19">
        <f t="shared" si="66"/>
        <v>0</v>
      </c>
      <c r="O88" s="11"/>
      <c r="P88" s="2">
        <f>--495</f>
        <v>495</v>
      </c>
      <c r="Q88" s="2"/>
      <c r="R88" s="19">
        <f t="shared" si="67"/>
        <v>1.6089994753686557E-3</v>
      </c>
      <c r="S88" s="2"/>
      <c r="T88" s="2">
        <f>--450</f>
        <v>450</v>
      </c>
      <c r="U88" s="2"/>
      <c r="V88" s="19">
        <f t="shared" si="68"/>
        <v>1.402516763347861E-3</v>
      </c>
      <c r="W88" s="2"/>
      <c r="X88" s="2">
        <f t="shared" si="69"/>
        <v>45</v>
      </c>
      <c r="Y88" s="2"/>
      <c r="Z88" s="19">
        <f t="shared" si="70"/>
        <v>0.1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--13269</f>
        <v>13269</v>
      </c>
      <c r="E89" s="2"/>
      <c r="F89" s="19">
        <f t="shared" si="63"/>
        <v>0.35776839235293995</v>
      </c>
      <c r="G89" s="2"/>
      <c r="H89" s="2">
        <f>--12083</f>
        <v>12083</v>
      </c>
      <c r="I89" s="2"/>
      <c r="J89" s="19">
        <f t="shared" si="64"/>
        <v>0.27661887171184568</v>
      </c>
      <c r="K89" s="2"/>
      <c r="L89" s="2">
        <f t="shared" si="65"/>
        <v>1186</v>
      </c>
      <c r="M89" s="2"/>
      <c r="N89" s="19">
        <f t="shared" si="66"/>
        <v>9.8154431846395759E-2</v>
      </c>
      <c r="O89" s="11"/>
      <c r="P89" s="2">
        <f>--79614</f>
        <v>79614</v>
      </c>
      <c r="Q89" s="2"/>
      <c r="R89" s="19">
        <f t="shared" si="67"/>
        <v>0.25878562471111144</v>
      </c>
      <c r="S89" s="2"/>
      <c r="T89" s="2">
        <f>--72498</f>
        <v>72498</v>
      </c>
      <c r="U89" s="2"/>
      <c r="V89" s="19">
        <f t="shared" si="68"/>
        <v>0.22595480068709606</v>
      </c>
      <c r="W89" s="2"/>
      <c r="X89" s="2">
        <f t="shared" si="69"/>
        <v>7116</v>
      </c>
      <c r="Y89" s="2"/>
      <c r="Z89" s="19">
        <f t="shared" si="70"/>
        <v>9.8154431846395759E-2</v>
      </c>
    </row>
    <row r="90" spans="1:26" s="24" customFormat="1" hidden="1" outlineLevel="1" x14ac:dyDescent="0.25">
      <c r="A90" s="44"/>
      <c r="B90" s="11" t="str">
        <f>CONCATENATE("          ", "9160", " - ", "MISC. INCOME")</f>
        <v xml:space="preserve">          9160 - MISC. INCOME</v>
      </c>
      <c r="C90" s="11"/>
      <c r="D90" s="2">
        <f t="shared" ref="D90:D91" si="73">0</f>
        <v>0</v>
      </c>
      <c r="E90" s="2"/>
      <c r="F90" s="19">
        <f t="shared" si="63"/>
        <v>0</v>
      </c>
      <c r="G90" s="2"/>
      <c r="H90" s="2">
        <f t="shared" ref="H90:H91" si="74">0</f>
        <v>0</v>
      </c>
      <c r="I90" s="2"/>
      <c r="J90" s="19">
        <f t="shared" si="64"/>
        <v>0</v>
      </c>
      <c r="K90" s="2"/>
      <c r="L90" s="2">
        <f t="shared" si="65"/>
        <v>0</v>
      </c>
      <c r="M90" s="2"/>
      <c r="N90" s="19">
        <f t="shared" si="66"/>
        <v>0</v>
      </c>
      <c r="O90" s="11"/>
      <c r="P90" s="2">
        <f>--22475</f>
        <v>22475</v>
      </c>
      <c r="Q90" s="2"/>
      <c r="R90" s="19">
        <f t="shared" si="67"/>
        <v>7.3055077189718251E-2</v>
      </c>
      <c r="S90" s="2"/>
      <c r="T90" s="2">
        <f>--290</f>
        <v>290</v>
      </c>
      <c r="U90" s="2"/>
      <c r="V90" s="19">
        <f t="shared" si="68"/>
        <v>9.038441363797326E-4</v>
      </c>
      <c r="W90" s="2"/>
      <c r="X90" s="2">
        <f t="shared" si="69"/>
        <v>22185</v>
      </c>
      <c r="Y90" s="2"/>
      <c r="Z90" s="19">
        <f t="shared" si="70"/>
        <v>76.5</v>
      </c>
    </row>
    <row r="91" spans="1:26" s="24" customFormat="1" hidden="1" outlineLevel="1" x14ac:dyDescent="0.25">
      <c r="A91" s="44"/>
      <c r="B91" s="11" t="str">
        <f>CONCATENATE("          ", "9163", " - ", "MISC. INCOME")</f>
        <v xml:space="preserve">          9163 - MISC. INCOME</v>
      </c>
      <c r="C91" s="11"/>
      <c r="D91" s="2">
        <f t="shared" si="73"/>
        <v>0</v>
      </c>
      <c r="E91" s="2"/>
      <c r="F91" s="19">
        <f t="shared" si="63"/>
        <v>0</v>
      </c>
      <c r="G91" s="2"/>
      <c r="H91" s="2">
        <f t="shared" si="74"/>
        <v>0</v>
      </c>
      <c r="I91" s="2"/>
      <c r="J91" s="19">
        <f t="shared" si="64"/>
        <v>0</v>
      </c>
      <c r="K91" s="2"/>
      <c r="L91" s="2">
        <f t="shared" si="65"/>
        <v>0</v>
      </c>
      <c r="M91" s="2"/>
      <c r="N91" s="19">
        <f t="shared" si="66"/>
        <v>0</v>
      </c>
      <c r="O91" s="11"/>
      <c r="P91" s="2">
        <f>--61106.55</f>
        <v>61106.55</v>
      </c>
      <c r="Q91" s="2"/>
      <c r="R91" s="19">
        <f t="shared" si="67"/>
        <v>0.19862708462947179</v>
      </c>
      <c r="S91" s="2"/>
      <c r="T91" s="2">
        <f>0</f>
        <v>0</v>
      </c>
      <c r="U91" s="2"/>
      <c r="V91" s="19">
        <f t="shared" si="68"/>
        <v>0</v>
      </c>
      <c r="W91" s="2"/>
      <c r="X91" s="2">
        <f t="shared" si="69"/>
        <v>61106.55</v>
      </c>
      <c r="Y91" s="2"/>
      <c r="Z91" s="19">
        <f t="shared" si="70"/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0">
        <f>+D37-D39+D85</f>
        <v>2297.6100000000006</v>
      </c>
      <c r="E93" s="14"/>
      <c r="F93" s="21">
        <f>IF(D$12=0,0,D93/D$12)</f>
        <v>6.1949825605097486E-2</v>
      </c>
      <c r="G93" s="14"/>
      <c r="H93" s="20">
        <f>+H37-H39+H85</f>
        <v>19690.999999999993</v>
      </c>
      <c r="I93" s="14"/>
      <c r="J93" s="21">
        <f>IF(H$12=0,0,H93/H$12)</f>
        <v>0.45079054894297371</v>
      </c>
      <c r="K93" s="15"/>
      <c r="L93" s="20">
        <f>+D93-H93</f>
        <v>-17393.389999999992</v>
      </c>
      <c r="M93" s="15"/>
      <c r="N93" s="21">
        <f>IF(H93=0,0,L93/H93)</f>
        <v>-0.88331674369001056</v>
      </c>
      <c r="O93" s="28"/>
      <c r="P93" s="20">
        <f>+P37-P39+P85</f>
        <v>194226.32</v>
      </c>
      <c r="Q93" s="14"/>
      <c r="R93" s="21">
        <f>IF(P$12=0,0,P93/P$12)</f>
        <v>0.63133342824804983</v>
      </c>
      <c r="S93" s="14"/>
      <c r="T93" s="20">
        <f>+T37-T39+T85</f>
        <v>100503.28999999998</v>
      </c>
      <c r="U93" s="14"/>
      <c r="V93" s="21">
        <f>IF(T$12=0,0,T93/T$12)</f>
        <v>0.31323899777024761</v>
      </c>
      <c r="W93" s="15"/>
      <c r="X93" s="20">
        <f>+P93-T93</f>
        <v>93723.030000000028</v>
      </c>
      <c r="Y93" s="15"/>
      <c r="Z93" s="21">
        <f>IF(T93=0,0,X93/T93)</f>
        <v>0.9325369348605409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>
        <v>4577.91</v>
      </c>
      <c r="E95" s="4"/>
      <c r="F95" s="12">
        <f>IF(D$12=0,0,D95/D$12)</f>
        <v>0.12343292644784438</v>
      </c>
      <c r="G95" s="4"/>
      <c r="H95" s="4">
        <v>5460.19</v>
      </c>
      <c r="I95" s="4"/>
      <c r="J95" s="12">
        <f>IF(H$12=0,0,H95/H$12)</f>
        <v>0.125001373593669</v>
      </c>
      <c r="K95" s="4"/>
      <c r="L95" s="4">
        <f>+D95-H95</f>
        <v>-882.27999999999975</v>
      </c>
      <c r="M95" s="4"/>
      <c r="N95" s="12">
        <f>IF(H95=0,0,L95/H95)</f>
        <v>-0.16158412069909653</v>
      </c>
      <c r="O95" s="10"/>
      <c r="P95" s="4">
        <v>33227.990000000005</v>
      </c>
      <c r="Q95" s="4"/>
      <c r="R95" s="12">
        <f>IF(P$12=0,0,P95/P$12)</f>
        <v>0.1080077140960706</v>
      </c>
      <c r="S95" s="4"/>
      <c r="T95" s="4">
        <v>34624.76</v>
      </c>
      <c r="U95" s="4"/>
      <c r="V95" s="12">
        <f>IF(T$12=0,0,T95/T$12)</f>
        <v>0.10791512517088109</v>
      </c>
      <c r="W95" s="4"/>
      <c r="X95" s="4">
        <f>+P95-T95</f>
        <v>-1396.7699999999968</v>
      </c>
      <c r="Y95" s="4"/>
      <c r="Z95" s="12">
        <f>IF(T95=0,0,X95/T95)</f>
        <v>-4.0340207412267889E-2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2">
        <f>+D93-D95</f>
        <v>-2280.2999999999993</v>
      </c>
      <c r="E97" s="14"/>
      <c r="F97" s="30">
        <f>IF(D$12=0,0,D97/D$12)</f>
        <v>-6.1483100842746906E-2</v>
      </c>
      <c r="G97" s="14"/>
      <c r="H97" s="32">
        <f>+H93-H95</f>
        <v>14230.809999999994</v>
      </c>
      <c r="I97" s="14"/>
      <c r="J97" s="30">
        <f>IF(H$12=0,0,H97/H$12)</f>
        <v>0.32578917534930474</v>
      </c>
      <c r="K97" s="15"/>
      <c r="L97" s="32">
        <f>D97-H97</f>
        <v>-16511.109999999993</v>
      </c>
      <c r="M97" s="15"/>
      <c r="N97" s="30">
        <f>IF(H97=0,0,L97/H97)</f>
        <v>-1.1602368382404094</v>
      </c>
      <c r="O97" s="28"/>
      <c r="P97" s="32">
        <f>+P93-P95</f>
        <v>160998.33000000002</v>
      </c>
      <c r="Q97" s="14"/>
      <c r="R97" s="30">
        <f>IF(P$12=0,0,P97/P$12)</f>
        <v>0.52332571415197926</v>
      </c>
      <c r="S97" s="14"/>
      <c r="T97" s="32">
        <f>+T93-T95</f>
        <v>65878.52999999997</v>
      </c>
      <c r="U97" s="14"/>
      <c r="V97" s="30">
        <f>IF(T$12=0,0,T97/T$12)</f>
        <v>0.20532387259936649</v>
      </c>
      <c r="W97" s="15"/>
      <c r="X97" s="32">
        <f>P97-T97</f>
        <v>95119.800000000047</v>
      </c>
      <c r="Y97" s="15"/>
      <c r="Z97" s="30">
        <f>IF(T97=0,0,X97/T97)</f>
        <v>1.4438664615011916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6">
        <f>SUM(D97:D99)</f>
        <v>-2280.2999999999993</v>
      </c>
      <c r="E100" s="14"/>
      <c r="F100" s="31">
        <f>IF(D$12=0,0,D100/D$12)</f>
        <v>-6.1483100842746906E-2</v>
      </c>
      <c r="G100" s="14"/>
      <c r="H100" s="36">
        <f>SUM(H97:H99)</f>
        <v>14230.809999999994</v>
      </c>
      <c r="I100" s="14"/>
      <c r="J100" s="31">
        <f>IF(H$12=0,0,H100/H$12)</f>
        <v>0.32578917534930474</v>
      </c>
      <c r="K100" s="15"/>
      <c r="L100" s="36">
        <f>+D100-H100</f>
        <v>-16511.109999999993</v>
      </c>
      <c r="M100" s="15"/>
      <c r="N100" s="31">
        <f>IF(H100=0,0,L100/H100)</f>
        <v>-1.1602368382404094</v>
      </c>
      <c r="O100" s="28"/>
      <c r="P100" s="36">
        <f>SUM(P97:P99)</f>
        <v>160998.33000000002</v>
      </c>
      <c r="Q100" s="14"/>
      <c r="R100" s="31">
        <f>IF(P$12=0,0,P100/P$12)</f>
        <v>0.52332571415197926</v>
      </c>
      <c r="S100" s="14"/>
      <c r="T100" s="36">
        <f>SUM(T97:T99)</f>
        <v>65878.52999999997</v>
      </c>
      <c r="U100" s="14"/>
      <c r="V100" s="31">
        <f>IF(T$12=0,0,T100/T$12)</f>
        <v>0.20532387259936649</v>
      </c>
      <c r="W100" s="15"/>
      <c r="X100" s="36">
        <f>+P100-T100</f>
        <v>95119.800000000047</v>
      </c>
      <c r="Y100" s="15"/>
      <c r="Z100" s="31">
        <f>IF(T100=0,0,X100/T100)</f>
        <v>1.4438664615011916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62">
        <v>43847.453282372684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6" t="s">
        <v>313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4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","316", " - ", "Campus Copy Center")</f>
        <v>Department 316 - Campus Copy Center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36849.589999999997</v>
      </c>
      <c r="E12" s="4"/>
      <c r="F12" s="12"/>
      <c r="G12" s="4"/>
      <c r="H12" s="4">
        <f>SUM(OSRRefH13x_0)</f>
        <v>43315.26</v>
      </c>
      <c r="I12" s="4"/>
      <c r="J12" s="12"/>
      <c r="K12" s="4"/>
      <c r="L12" s="4">
        <f t="shared" ref="L12:L24" si="0">+D12-H12</f>
        <v>-6465.6700000000055</v>
      </c>
      <c r="M12" s="4"/>
      <c r="N12" s="12">
        <f t="shared" ref="N12:N24" si="1">IF(H12=0,0,L12/H12)</f>
        <v>-0.14927002631405203</v>
      </c>
      <c r="O12" s="10"/>
      <c r="P12" s="4">
        <f>SUM(OSRRefP13x_0)</f>
        <v>300095.71000000002</v>
      </c>
      <c r="Q12" s="4"/>
      <c r="R12" s="12"/>
      <c r="S12" s="4"/>
      <c r="T12" s="4">
        <f>SUM(OSRRefT13x_0)</f>
        <v>313248.74</v>
      </c>
      <c r="U12" s="4"/>
      <c r="V12" s="12"/>
      <c r="W12" s="4"/>
      <c r="X12" s="4">
        <f t="shared" ref="X12:X24" si="2">+P12-T12</f>
        <v>-13153.02999999997</v>
      </c>
      <c r="Y12" s="4"/>
      <c r="Z12" s="12">
        <f t="shared" ref="Z12:Z24" si="3">IF(T12=0,0,X12/T12)</f>
        <v>-4.198909148046364E-2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--96.53</f>
        <v>96.53</v>
      </c>
      <c r="E13" s="2"/>
      <c r="F13" s="19"/>
      <c r="G13" s="2"/>
      <c r="H13" s="2">
        <f>--1644.6</f>
        <v>1644.6</v>
      </c>
      <c r="I13" s="2"/>
      <c r="J13" s="19"/>
      <c r="K13" s="2"/>
      <c r="L13" s="2">
        <f t="shared" si="0"/>
        <v>-1548.07</v>
      </c>
      <c r="M13" s="2"/>
      <c r="N13" s="19">
        <f t="shared" si="1"/>
        <v>-0.94130487656573025</v>
      </c>
      <c r="O13" s="11"/>
      <c r="P13" s="2">
        <f>--97064.88</f>
        <v>97064.88</v>
      </c>
      <c r="Q13" s="2"/>
      <c r="R13" s="19"/>
      <c r="S13" s="2"/>
      <c r="T13" s="2">
        <f>--111035.35</f>
        <v>111035.35</v>
      </c>
      <c r="U13" s="2"/>
      <c r="V13" s="19"/>
      <c r="W13" s="2"/>
      <c r="X13" s="2">
        <f t="shared" si="2"/>
        <v>-13970.470000000001</v>
      </c>
      <c r="Y13" s="2"/>
      <c r="Z13" s="19">
        <f t="shared" si="3"/>
        <v>-0.12582002038089671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--8211.3</f>
        <v>8211.2999999999993</v>
      </c>
      <c r="E14" s="2"/>
      <c r="F14" s="19"/>
      <c r="G14" s="2"/>
      <c r="H14" s="2">
        <f>--8349.16</f>
        <v>8349.16</v>
      </c>
      <c r="I14" s="2"/>
      <c r="J14" s="19"/>
      <c r="K14" s="2"/>
      <c r="L14" s="2">
        <f t="shared" si="0"/>
        <v>-137.86000000000058</v>
      </c>
      <c r="M14" s="2"/>
      <c r="N14" s="19">
        <f t="shared" si="1"/>
        <v>-1.6511840712119613E-2</v>
      </c>
      <c r="O14" s="11"/>
      <c r="P14" s="2">
        <f>--48106.94</f>
        <v>48106.94</v>
      </c>
      <c r="Q14" s="2"/>
      <c r="R14" s="19"/>
      <c r="S14" s="2"/>
      <c r="T14" s="2">
        <f>--42095.27</f>
        <v>42095.27</v>
      </c>
      <c r="U14" s="2"/>
      <c r="V14" s="19"/>
      <c r="W14" s="2"/>
      <c r="X14" s="2">
        <f t="shared" si="2"/>
        <v>6011.6700000000055</v>
      </c>
      <c r="Y14" s="2"/>
      <c r="Z14" s="19">
        <f t="shared" si="3"/>
        <v>0.14281105691922172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--2.08</f>
        <v>2.08</v>
      </c>
      <c r="E15" s="2"/>
      <c r="F15" s="19"/>
      <c r="G15" s="2"/>
      <c r="H15" s="2">
        <f>--88.28</f>
        <v>88.28</v>
      </c>
      <c r="I15" s="2"/>
      <c r="J15" s="19"/>
      <c r="K15" s="2"/>
      <c r="L15" s="2">
        <f t="shared" si="0"/>
        <v>-86.2</v>
      </c>
      <c r="M15" s="2"/>
      <c r="N15" s="19">
        <f t="shared" si="1"/>
        <v>-0.97643860444041686</v>
      </c>
      <c r="O15" s="11"/>
      <c r="P15" s="2">
        <f>--104.06</f>
        <v>104.06</v>
      </c>
      <c r="Q15" s="2"/>
      <c r="R15" s="19"/>
      <c r="S15" s="2"/>
      <c r="T15" s="2">
        <f>--508.5</f>
        <v>508.5</v>
      </c>
      <c r="U15" s="2"/>
      <c r="V15" s="19"/>
      <c r="W15" s="2"/>
      <c r="X15" s="2">
        <f t="shared" si="2"/>
        <v>-404.44</v>
      </c>
      <c r="Y15" s="2"/>
      <c r="Z15" s="19">
        <f t="shared" si="3"/>
        <v>-0.7953588987217306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--115.39</f>
        <v>115.39</v>
      </c>
      <c r="E16" s="2"/>
      <c r="F16" s="19"/>
      <c r="G16" s="2"/>
      <c r="H16" s="2">
        <f>--282.87</f>
        <v>282.87</v>
      </c>
      <c r="I16" s="2"/>
      <c r="J16" s="19"/>
      <c r="K16" s="2"/>
      <c r="L16" s="2">
        <f t="shared" si="0"/>
        <v>-167.48000000000002</v>
      </c>
      <c r="M16" s="2"/>
      <c r="N16" s="19">
        <f t="shared" si="1"/>
        <v>-0.59207409764202645</v>
      </c>
      <c r="O16" s="11"/>
      <c r="P16" s="2">
        <f>--1793.94</f>
        <v>1793.94</v>
      </c>
      <c r="Q16" s="2"/>
      <c r="R16" s="19"/>
      <c r="S16" s="2"/>
      <c r="T16" s="2">
        <f>--1892.28</f>
        <v>1892.28</v>
      </c>
      <c r="U16" s="2"/>
      <c r="V16" s="19"/>
      <c r="W16" s="2"/>
      <c r="X16" s="2">
        <f t="shared" si="2"/>
        <v>-98.339999999999918</v>
      </c>
      <c r="Y16" s="2"/>
      <c r="Z16" s="19">
        <f t="shared" si="3"/>
        <v>-5.1969053205656625E-2</v>
      </c>
    </row>
    <row r="17" spans="1:26" s="24" customFormat="1" hidden="1" outlineLevel="1" x14ac:dyDescent="0.25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--152.75</f>
        <v>152.75</v>
      </c>
      <c r="Q17" s="2"/>
      <c r="R17" s="19"/>
      <c r="S17" s="2"/>
      <c r="T17" s="2">
        <f>--1187.45</f>
        <v>1187.45</v>
      </c>
      <c r="U17" s="2"/>
      <c r="V17" s="19"/>
      <c r="W17" s="2"/>
      <c r="X17" s="2">
        <f t="shared" si="2"/>
        <v>-1034.7</v>
      </c>
      <c r="Y17" s="2"/>
      <c r="Z17" s="19">
        <f t="shared" si="3"/>
        <v>-0.87136300475809503</v>
      </c>
    </row>
    <row r="18" spans="1:26" s="24" customFormat="1" hidden="1" outlineLevel="1" x14ac:dyDescent="0.25">
      <c r="A18" s="44"/>
      <c r="B18" s="11" t="str">
        <f>CONCATENATE("          ", "4142", " - ", "NON-TAXABLE SALES-EVERYDAY GIF")</f>
        <v xml:space="preserve">          4142 - NON-TAXABLE SALES-EVERYDAY GIF</v>
      </c>
      <c r="C18" s="11"/>
      <c r="D18" s="2">
        <f>--1239.89</f>
        <v>1239.8900000000001</v>
      </c>
      <c r="E18" s="2"/>
      <c r="F18" s="19"/>
      <c r="G18" s="2"/>
      <c r="H18" s="2">
        <f>--1511.15</f>
        <v>1511.15</v>
      </c>
      <c r="I18" s="2"/>
      <c r="J18" s="19"/>
      <c r="K18" s="2"/>
      <c r="L18" s="2">
        <f t="shared" si="0"/>
        <v>-271.26</v>
      </c>
      <c r="M18" s="2"/>
      <c r="N18" s="19">
        <f t="shared" si="1"/>
        <v>-0.17950567448631835</v>
      </c>
      <c r="O18" s="11"/>
      <c r="P18" s="2">
        <f>--6756.89</f>
        <v>6756.89</v>
      </c>
      <c r="Q18" s="2"/>
      <c r="R18" s="19"/>
      <c r="S18" s="2"/>
      <c r="T18" s="2">
        <f>--7452.64</f>
        <v>7452.64</v>
      </c>
      <c r="U18" s="2"/>
      <c r="V18" s="19"/>
      <c r="W18" s="2"/>
      <c r="X18" s="2">
        <f t="shared" si="2"/>
        <v>-695.75</v>
      </c>
      <c r="Y18" s="2"/>
      <c r="Z18" s="19">
        <f t="shared" si="3"/>
        <v>-9.335617982352562E-2</v>
      </c>
    </row>
    <row r="19" spans="1:26" s="24" customFormat="1" hidden="1" outlineLevel="1" x14ac:dyDescent="0.25">
      <c r="A19" s="44"/>
      <c r="B19" s="11" t="str">
        <f>CONCATENATE("          ", "4146", " - ", "NON-TAXABLE SALES-COIN OP MACH")</f>
        <v xml:space="preserve">          4146 - NON-TAXABLE SALES-COIN OP MACH</v>
      </c>
      <c r="C19" s="11"/>
      <c r="D19" s="2">
        <f>--27126.9</f>
        <v>27126.9</v>
      </c>
      <c r="E19" s="2"/>
      <c r="F19" s="19"/>
      <c r="G19" s="2"/>
      <c r="H19" s="2">
        <f>--31432.85</f>
        <v>31432.85</v>
      </c>
      <c r="I19" s="2"/>
      <c r="J19" s="19"/>
      <c r="K19" s="2"/>
      <c r="L19" s="2">
        <f t="shared" si="0"/>
        <v>-4305.9499999999971</v>
      </c>
      <c r="M19" s="2"/>
      <c r="N19" s="19">
        <f t="shared" si="1"/>
        <v>-0.13698885083598838</v>
      </c>
      <c r="O19" s="11"/>
      <c r="P19" s="2">
        <f>--146467.95</f>
        <v>146467.95000000001</v>
      </c>
      <c r="Q19" s="2"/>
      <c r="R19" s="19"/>
      <c r="S19" s="2"/>
      <c r="T19" s="2">
        <f>--149484</f>
        <v>149484</v>
      </c>
      <c r="U19" s="2"/>
      <c r="V19" s="19"/>
      <c r="W19" s="2"/>
      <c r="X19" s="2">
        <f t="shared" si="2"/>
        <v>-3016.0499999999884</v>
      </c>
      <c r="Y19" s="2"/>
      <c r="Z19" s="19">
        <f t="shared" si="3"/>
        <v>-2.0176406839527899E-2</v>
      </c>
    </row>
    <row r="20" spans="1:26" s="24" customFormat="1" hidden="1" outlineLevel="1" x14ac:dyDescent="0.25">
      <c r="A20" s="44"/>
      <c r="B20" s="11" t="str">
        <f>CONCATENATE("          ", "4147", " - ", "NON-TAXABLE SALES-MISC")</f>
        <v xml:space="preserve">          4147 - NON-TAXABLE SALES-MISC</v>
      </c>
      <c r="C20" s="11"/>
      <c r="D20" s="2">
        <f>--57.5</f>
        <v>57.5</v>
      </c>
      <c r="E20" s="2"/>
      <c r="F20" s="19"/>
      <c r="G20" s="2"/>
      <c r="H20" s="2">
        <f>--38.5</f>
        <v>38.5</v>
      </c>
      <c r="I20" s="2"/>
      <c r="J20" s="19"/>
      <c r="K20" s="2"/>
      <c r="L20" s="2">
        <f t="shared" si="0"/>
        <v>19</v>
      </c>
      <c r="M20" s="2"/>
      <c r="N20" s="19">
        <f t="shared" si="1"/>
        <v>0.4935064935064935</v>
      </c>
      <c r="O20" s="11"/>
      <c r="P20" s="2">
        <f>--307.4</f>
        <v>307.39999999999998</v>
      </c>
      <c r="Q20" s="2"/>
      <c r="R20" s="19"/>
      <c r="S20" s="2"/>
      <c r="T20" s="2">
        <f>--408.5</f>
        <v>408.5</v>
      </c>
      <c r="U20" s="2"/>
      <c r="V20" s="19"/>
      <c r="W20" s="2"/>
      <c r="X20" s="2">
        <f t="shared" si="2"/>
        <v>-101.10000000000002</v>
      </c>
      <c r="Y20" s="2"/>
      <c r="Z20" s="19">
        <f t="shared" si="3"/>
        <v>-0.24749082007343948</v>
      </c>
    </row>
    <row r="21" spans="1:26" s="24" customFormat="1" hidden="1" outlineLevel="1" x14ac:dyDescent="0.25">
      <c r="A21" s="44"/>
      <c r="B21" s="11" t="str">
        <f>CONCATENATE("          ", "4241", " - ", "SALES RETURN TAXABLE-LOGO GIFT")</f>
        <v xml:space="preserve">          4241 - SALES RETURN TAXABLE-LOGO GIFT</v>
      </c>
      <c r="C21" s="11"/>
      <c r="D21" s="2">
        <f t="shared" ref="D21:D24" si="4">0</f>
        <v>0</v>
      </c>
      <c r="E21" s="2"/>
      <c r="F21" s="19"/>
      <c r="G21" s="2"/>
      <c r="H21" s="2">
        <f>-32.15</f>
        <v>-32.15</v>
      </c>
      <c r="I21" s="2"/>
      <c r="J21" s="19"/>
      <c r="K21" s="2"/>
      <c r="L21" s="2">
        <f t="shared" si="0"/>
        <v>32.15</v>
      </c>
      <c r="M21" s="2"/>
      <c r="N21" s="19">
        <f t="shared" si="1"/>
        <v>-1</v>
      </c>
      <c r="O21" s="11"/>
      <c r="P21" s="2">
        <f>-634.75</f>
        <v>-634.75</v>
      </c>
      <c r="Q21" s="2"/>
      <c r="R21" s="19"/>
      <c r="S21" s="2"/>
      <c r="T21" s="2">
        <f>-807.1</f>
        <v>-807.1</v>
      </c>
      <c r="U21" s="2"/>
      <c r="V21" s="19"/>
      <c r="W21" s="2"/>
      <c r="X21" s="2">
        <f t="shared" si="2"/>
        <v>172.35000000000002</v>
      </c>
      <c r="Y21" s="2"/>
      <c r="Z21" s="19">
        <f t="shared" si="3"/>
        <v>-0.21354231198116716</v>
      </c>
    </row>
    <row r="22" spans="1:26" s="24" customFormat="1" hidden="1" outlineLevel="1" x14ac:dyDescent="0.25">
      <c r="A22" s="44"/>
      <c r="B22" s="11" t="str">
        <f>CONCATENATE("          ", "4242", " - ", "SALES RETURN TAXABLE-EVERYDAY")</f>
        <v xml:space="preserve">          4242 - SALES RETURN TAXABLE-EVERYDAY</v>
      </c>
      <c r="C22" s="11"/>
      <c r="D22" s="2">
        <f t="shared" si="4"/>
        <v>0</v>
      </c>
      <c r="E22" s="2"/>
      <c r="F22" s="19"/>
      <c r="G22" s="2"/>
      <c r="H22" s="2">
        <f t="shared" ref="H22:H24" si="5"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-16.2</f>
        <v>-16.2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-16.2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"4341", " - ", "SALES RETURN NON TAXABLE-LOGO")</f>
        <v xml:space="preserve">          4341 - SALES RETURN NON TAXABLE-LOGO</v>
      </c>
      <c r="C23" s="11"/>
      <c r="D23" s="2">
        <f t="shared" si="4"/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-8.15</f>
        <v>-8.15</v>
      </c>
      <c r="U23" s="2"/>
      <c r="V23" s="19"/>
      <c r="W23" s="2"/>
      <c r="X23" s="2">
        <f t="shared" si="2"/>
        <v>8.15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 t="shared" si="4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-8.15</f>
        <v>-8.15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-8.15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6</v>
      </c>
      <c r="C28" s="29"/>
      <c r="D28" s="20">
        <f>D12-D26</f>
        <v>36849.589999999997</v>
      </c>
      <c r="E28" s="14"/>
      <c r="F28" s="21">
        <f>IF(D$12=0,0,D28/D$12)</f>
        <v>1</v>
      </c>
      <c r="G28" s="14"/>
      <c r="H28" s="20">
        <f>H12-H26</f>
        <v>43315.26</v>
      </c>
      <c r="I28" s="14"/>
      <c r="J28" s="21">
        <f>IF(H$12=0,0,H28/H$12)</f>
        <v>1</v>
      </c>
      <c r="K28" s="15"/>
      <c r="L28" s="20">
        <f>+D28-H28</f>
        <v>-6465.6700000000055</v>
      </c>
      <c r="M28" s="15"/>
      <c r="N28" s="21">
        <f>IF(H28=0,0,L28/H28)</f>
        <v>-0.14927002631405203</v>
      </c>
      <c r="O28" s="28"/>
      <c r="P28" s="20">
        <f>P12-P26</f>
        <v>300095.71000000002</v>
      </c>
      <c r="Q28" s="14"/>
      <c r="R28" s="21">
        <f>IF(P$12=0,0,P28/P$12)</f>
        <v>1</v>
      </c>
      <c r="S28" s="14"/>
      <c r="T28" s="20">
        <f>T12-T26</f>
        <v>313248.74</v>
      </c>
      <c r="U28" s="14"/>
      <c r="V28" s="21">
        <f>IF(T$12=0,0,T28/T$12)</f>
        <v>1</v>
      </c>
      <c r="W28" s="15"/>
      <c r="X28" s="20">
        <f>+P28-T28</f>
        <v>-13153.02999999997</v>
      </c>
      <c r="Y28" s="15"/>
      <c r="Z28" s="21">
        <f>IF(T28=0,0,X28/T28)</f>
        <v>-4.198909148046364E-2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9</v>
      </c>
      <c r="C30" s="10"/>
      <c r="D30" s="22">
        <f>SUM(OSRRefD22x_0)</f>
        <v>48434.079999999994</v>
      </c>
      <c r="E30" s="22"/>
      <c r="F30" s="33">
        <f t="shared" ref="F30:F39" si="6">IF(D$12=0,0,D30/D$12)</f>
        <v>1.3143722901665935</v>
      </c>
      <c r="G30" s="22"/>
      <c r="H30" s="22">
        <f>SUM(OSRRefH22x_0)</f>
        <v>35159.939999999995</v>
      </c>
      <c r="I30" s="22"/>
      <c r="J30" s="33">
        <f t="shared" ref="J30:J39" si="7">IF(H$12=0,0,H30/H$12)</f>
        <v>0.81172178119212479</v>
      </c>
      <c r="K30" s="4"/>
      <c r="L30" s="22">
        <f t="shared" ref="L30:L39" si="8">+D30-H30</f>
        <v>13274.14</v>
      </c>
      <c r="M30" s="4"/>
      <c r="N30" s="33">
        <f t="shared" ref="N30:N39" si="9">IF(H30=0,0,L30/H30)</f>
        <v>0.37753591160849537</v>
      </c>
      <c r="O30" s="10"/>
      <c r="P30" s="22">
        <f>SUM(OSRRefP22x_0)</f>
        <v>272446.40000000008</v>
      </c>
      <c r="Q30" s="22"/>
      <c r="R30" s="33">
        <f t="shared" ref="R30:R39" si="10">IF(P$12=0,0,P30/P$12)</f>
        <v>0.90786502746073927</v>
      </c>
      <c r="S30" s="22"/>
      <c r="T30" s="22">
        <f>SUM(OSRRefT22x_0)</f>
        <v>279264.89999999997</v>
      </c>
      <c r="U30" s="22"/>
      <c r="V30" s="33">
        <f t="shared" ref="V30:V39" si="11">IF(T$12=0,0,T30/T$12)</f>
        <v>0.8915116466230637</v>
      </c>
      <c r="W30" s="4"/>
      <c r="X30" s="22">
        <f t="shared" ref="X30:X39" si="12">+P30-T30</f>
        <v>-6818.4999999998836</v>
      </c>
      <c r="Y30" s="4"/>
      <c r="Z30" s="33">
        <f t="shared" ref="Z30:Z39" si="13">IF(T30=0,0,X30/T30)</f>
        <v>-2.441588613534993E-2</v>
      </c>
    </row>
    <row r="31" spans="1:26" s="27" customFormat="1" outlineLevel="1" collapsed="1" x14ac:dyDescent="0.25">
      <c r="A31" s="25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7538.7500000000009</v>
      </c>
      <c r="E31" s="1"/>
      <c r="F31" s="5">
        <f t="shared" si="6"/>
        <v>0.20458165206180046</v>
      </c>
      <c r="G31" s="1"/>
      <c r="H31" s="1">
        <f>SUM(OSRRefH22_0x_0)</f>
        <v>6343.4800000000005</v>
      </c>
      <c r="I31" s="1"/>
      <c r="J31" s="5">
        <f t="shared" si="7"/>
        <v>0.1464490805318957</v>
      </c>
      <c r="K31" s="1"/>
      <c r="L31" s="1">
        <f t="shared" si="8"/>
        <v>1195.2700000000004</v>
      </c>
      <c r="M31" s="1"/>
      <c r="N31" s="5">
        <f t="shared" si="9"/>
        <v>0.1884249654763632</v>
      </c>
      <c r="O31" s="13"/>
      <c r="P31" s="1">
        <f>SUM(OSRRefP22_0x_0)</f>
        <v>47281.36</v>
      </c>
      <c r="Q31" s="1"/>
      <c r="R31" s="5">
        <f t="shared" si="10"/>
        <v>0.15755426826994626</v>
      </c>
      <c r="S31" s="1"/>
      <c r="T31" s="1">
        <f>SUM(OSRRefT22_0x_0)</f>
        <v>43077.99</v>
      </c>
      <c r="U31" s="1"/>
      <c r="V31" s="5">
        <f t="shared" si="11"/>
        <v>0.13752007430261332</v>
      </c>
      <c r="W31" s="1"/>
      <c r="X31" s="1">
        <f t="shared" si="12"/>
        <v>4203.3700000000026</v>
      </c>
      <c r="Y31" s="1"/>
      <c r="Z31" s="5">
        <f t="shared" si="13"/>
        <v>9.7575815399000815E-2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1091.3900000000001</v>
      </c>
      <c r="E32" s="2"/>
      <c r="F32" s="7">
        <f t="shared" si="6"/>
        <v>2.9617425865525238E-2</v>
      </c>
      <c r="G32" s="2"/>
      <c r="H32" s="6">
        <v>891.97</v>
      </c>
      <c r="I32" s="2"/>
      <c r="J32" s="7">
        <f t="shared" si="7"/>
        <v>2.0592511738357334E-2</v>
      </c>
      <c r="K32" s="2"/>
      <c r="L32" s="6">
        <f t="shared" si="8"/>
        <v>199.42000000000007</v>
      </c>
      <c r="M32" s="2"/>
      <c r="N32" s="7">
        <f t="shared" si="9"/>
        <v>0.22357254167741075</v>
      </c>
      <c r="O32" s="11"/>
      <c r="P32" s="6">
        <v>7898.16</v>
      </c>
      <c r="Q32" s="2"/>
      <c r="R32" s="7">
        <f t="shared" si="10"/>
        <v>2.6318803424414162E-2</v>
      </c>
      <c r="S32" s="2"/>
      <c r="T32" s="6">
        <v>7377.35</v>
      </c>
      <c r="U32" s="2"/>
      <c r="V32" s="7">
        <f t="shared" si="11"/>
        <v>2.3551092336396951E-2</v>
      </c>
      <c r="W32" s="2"/>
      <c r="X32" s="6">
        <f t="shared" si="12"/>
        <v>520.80999999999949</v>
      </c>
      <c r="Y32" s="2"/>
      <c r="Z32" s="7">
        <f t="shared" si="13"/>
        <v>7.0595810148630533E-2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301.45</v>
      </c>
      <c r="E33" s="2"/>
      <c r="F33" s="7">
        <f t="shared" si="6"/>
        <v>8.1805523480722592E-3</v>
      </c>
      <c r="G33" s="2"/>
      <c r="H33" s="6">
        <v>254.18</v>
      </c>
      <c r="I33" s="2"/>
      <c r="J33" s="7">
        <f t="shared" si="7"/>
        <v>5.8681397733731716E-3</v>
      </c>
      <c r="K33" s="2"/>
      <c r="L33" s="6">
        <f t="shared" si="8"/>
        <v>47.269999999999982</v>
      </c>
      <c r="M33" s="2"/>
      <c r="N33" s="7">
        <f t="shared" si="9"/>
        <v>0.18597057203556527</v>
      </c>
      <c r="O33" s="11"/>
      <c r="P33" s="6">
        <v>1193.3599999999999</v>
      </c>
      <c r="Q33" s="2"/>
      <c r="R33" s="7">
        <f t="shared" si="10"/>
        <v>3.9765979993516059E-3</v>
      </c>
      <c r="S33" s="2"/>
      <c r="T33" s="6">
        <v>1365.18</v>
      </c>
      <c r="U33" s="2"/>
      <c r="V33" s="7">
        <f t="shared" si="11"/>
        <v>4.3581340502758291E-3</v>
      </c>
      <c r="W33" s="2"/>
      <c r="X33" s="6">
        <f t="shared" si="12"/>
        <v>-171.82000000000016</v>
      </c>
      <c r="Y33" s="2"/>
      <c r="Z33" s="7">
        <f t="shared" si="13"/>
        <v>-0.12585886110256533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3051.28</v>
      </c>
      <c r="E34" s="2"/>
      <c r="F34" s="7">
        <f t="shared" si="6"/>
        <v>8.2803634992953803E-2</v>
      </c>
      <c r="G34" s="2"/>
      <c r="H34" s="6">
        <v>2722.97</v>
      </c>
      <c r="I34" s="2"/>
      <c r="J34" s="7">
        <f t="shared" si="7"/>
        <v>6.2863988349602412E-2</v>
      </c>
      <c r="K34" s="2"/>
      <c r="L34" s="6">
        <f t="shared" si="8"/>
        <v>328.3100000000004</v>
      </c>
      <c r="M34" s="2"/>
      <c r="N34" s="7">
        <f t="shared" si="9"/>
        <v>0.12057055347653498</v>
      </c>
      <c r="O34" s="11"/>
      <c r="P34" s="6">
        <v>17383.439999999999</v>
      </c>
      <c r="Q34" s="2"/>
      <c r="R34" s="7">
        <f t="shared" si="10"/>
        <v>5.7926319573178828E-2</v>
      </c>
      <c r="S34" s="2"/>
      <c r="T34" s="6">
        <v>14640.68</v>
      </c>
      <c r="U34" s="2"/>
      <c r="V34" s="7">
        <f t="shared" si="11"/>
        <v>4.6738192785707615E-2</v>
      </c>
      <c r="W34" s="2"/>
      <c r="X34" s="6">
        <f t="shared" si="12"/>
        <v>2742.7599999999984</v>
      </c>
      <c r="Y34" s="2"/>
      <c r="Z34" s="7">
        <f t="shared" si="13"/>
        <v>0.18733829303010505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63.88</v>
      </c>
      <c r="E35" s="2"/>
      <c r="F35" s="7">
        <f t="shared" si="6"/>
        <v>1.7335335345657851E-3</v>
      </c>
      <c r="G35" s="2"/>
      <c r="H35" s="6">
        <v>55.54</v>
      </c>
      <c r="I35" s="2"/>
      <c r="J35" s="7">
        <f t="shared" si="7"/>
        <v>1.2822270950237861E-3</v>
      </c>
      <c r="K35" s="2"/>
      <c r="L35" s="6">
        <f t="shared" si="8"/>
        <v>8.3400000000000034</v>
      </c>
      <c r="M35" s="2"/>
      <c r="N35" s="7">
        <f t="shared" si="9"/>
        <v>0.15016204537270442</v>
      </c>
      <c r="O35" s="11"/>
      <c r="P35" s="6">
        <v>312</v>
      </c>
      <c r="Q35" s="2"/>
      <c r="R35" s="7">
        <f t="shared" si="10"/>
        <v>1.0396683111531318E-3</v>
      </c>
      <c r="S35" s="2"/>
      <c r="T35" s="6">
        <v>298.27999999999997</v>
      </c>
      <c r="U35" s="2"/>
      <c r="V35" s="7">
        <f t="shared" si="11"/>
        <v>9.5221452447023401E-4</v>
      </c>
      <c r="W35" s="2"/>
      <c r="X35" s="6">
        <f t="shared" si="12"/>
        <v>13.720000000000027</v>
      </c>
      <c r="Y35" s="2"/>
      <c r="Z35" s="7">
        <f t="shared" si="13"/>
        <v>4.5997049751911052E-2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1187.75</v>
      </c>
      <c r="E36" s="2"/>
      <c r="F36" s="7">
        <f t="shared" si="6"/>
        <v>3.223238033313261E-2</v>
      </c>
      <c r="G36" s="2"/>
      <c r="H36" s="6">
        <v>984.68</v>
      </c>
      <c r="I36" s="2"/>
      <c r="J36" s="7">
        <f t="shared" si="7"/>
        <v>2.2732865969175758E-2</v>
      </c>
      <c r="K36" s="2"/>
      <c r="L36" s="6">
        <f t="shared" si="8"/>
        <v>203.07000000000005</v>
      </c>
      <c r="M36" s="2"/>
      <c r="N36" s="7">
        <f t="shared" si="9"/>
        <v>0.2062294349433319</v>
      </c>
      <c r="O36" s="11"/>
      <c r="P36" s="6">
        <v>7821.41</v>
      </c>
      <c r="Q36" s="2"/>
      <c r="R36" s="7">
        <f t="shared" si="10"/>
        <v>2.6063051684410948E-2</v>
      </c>
      <c r="S36" s="2"/>
      <c r="T36" s="6">
        <v>7521.09</v>
      </c>
      <c r="U36" s="2"/>
      <c r="V36" s="7">
        <f t="shared" si="11"/>
        <v>2.4009960901997564E-2</v>
      </c>
      <c r="W36" s="2"/>
      <c r="X36" s="6">
        <f t="shared" si="12"/>
        <v>300.31999999999971</v>
      </c>
      <c r="Y36" s="2"/>
      <c r="Z36" s="7">
        <f t="shared" si="13"/>
        <v>3.9930382431269895E-2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6">
        <v>969.46</v>
      </c>
      <c r="E37" s="2"/>
      <c r="F37" s="7">
        <f t="shared" si="6"/>
        <v>2.6308569511899593E-2</v>
      </c>
      <c r="G37" s="2"/>
      <c r="H37" s="6">
        <v>951.42</v>
      </c>
      <c r="I37" s="2"/>
      <c r="J37" s="7">
        <f t="shared" si="7"/>
        <v>2.1965007251485966E-2</v>
      </c>
      <c r="K37" s="2"/>
      <c r="L37" s="6">
        <f t="shared" si="8"/>
        <v>18.040000000000077</v>
      </c>
      <c r="M37" s="2"/>
      <c r="N37" s="7">
        <f t="shared" si="9"/>
        <v>1.8961131781968087E-2</v>
      </c>
      <c r="O37" s="11"/>
      <c r="P37" s="6">
        <v>6910.41</v>
      </c>
      <c r="Q37" s="2"/>
      <c r="R37" s="7">
        <f t="shared" si="10"/>
        <v>2.3027353506652925E-2</v>
      </c>
      <c r="S37" s="2"/>
      <c r="T37" s="6">
        <v>6184.23</v>
      </c>
      <c r="U37" s="2"/>
      <c r="V37" s="7">
        <f t="shared" si="11"/>
        <v>1.974223423851601E-2</v>
      </c>
      <c r="W37" s="2"/>
      <c r="X37" s="6">
        <f t="shared" si="12"/>
        <v>726.18000000000029</v>
      </c>
      <c r="Y37" s="2"/>
      <c r="Z37" s="7">
        <f t="shared" si="13"/>
        <v>0.11742448130163341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6">
        <v>556.54</v>
      </c>
      <c r="E38" s="2"/>
      <c r="F38" s="7">
        <f t="shared" si="6"/>
        <v>1.5103017428416436E-2</v>
      </c>
      <c r="G38" s="2"/>
      <c r="H38" s="6">
        <v>482.72</v>
      </c>
      <c r="I38" s="2"/>
      <c r="J38" s="7">
        <f t="shared" si="7"/>
        <v>1.1144340354877241E-2</v>
      </c>
      <c r="K38" s="2"/>
      <c r="L38" s="6">
        <f t="shared" si="8"/>
        <v>73.819999999999936</v>
      </c>
      <c r="M38" s="2"/>
      <c r="N38" s="7">
        <f t="shared" si="9"/>
        <v>0.15292509115014902</v>
      </c>
      <c r="O38" s="11"/>
      <c r="P38" s="6">
        <v>4096.3</v>
      </c>
      <c r="Q38" s="2"/>
      <c r="R38" s="7">
        <f t="shared" si="10"/>
        <v>1.3649978535181326E-2</v>
      </c>
      <c r="S38" s="2"/>
      <c r="T38" s="6">
        <v>4241.71</v>
      </c>
      <c r="U38" s="2"/>
      <c r="V38" s="7">
        <f t="shared" si="11"/>
        <v>1.3541028129913627E-2</v>
      </c>
      <c r="W38" s="2"/>
      <c r="X38" s="6">
        <f t="shared" si="12"/>
        <v>-145.40999999999985</v>
      </c>
      <c r="Y38" s="2"/>
      <c r="Z38" s="7">
        <f t="shared" si="13"/>
        <v>-3.4280985734526842E-2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6">
        <v>317</v>
      </c>
      <c r="E39" s="2"/>
      <c r="F39" s="7">
        <f t="shared" si="6"/>
        <v>8.6025380472347195E-3</v>
      </c>
      <c r="G39" s="2"/>
      <c r="H39" s="6"/>
      <c r="I39" s="2"/>
      <c r="J39" s="7">
        <f t="shared" si="7"/>
        <v>0</v>
      </c>
      <c r="K39" s="2"/>
      <c r="L39" s="6">
        <f t="shared" si="8"/>
        <v>317</v>
      </c>
      <c r="M39" s="2"/>
      <c r="N39" s="7">
        <f t="shared" si="9"/>
        <v>0</v>
      </c>
      <c r="O39" s="11"/>
      <c r="P39" s="6">
        <v>1666.28</v>
      </c>
      <c r="Q39" s="2"/>
      <c r="R39" s="7">
        <f t="shared" si="10"/>
        <v>5.5524952356033339E-3</v>
      </c>
      <c r="S39" s="2"/>
      <c r="T39" s="6">
        <v>1449.47</v>
      </c>
      <c r="U39" s="2"/>
      <c r="V39" s="7">
        <f t="shared" si="11"/>
        <v>4.6272173353354915E-3</v>
      </c>
      <c r="W39" s="2"/>
      <c r="X39" s="6">
        <f t="shared" si="12"/>
        <v>216.80999999999995</v>
      </c>
      <c r="Y39" s="2"/>
      <c r="Z39" s="7">
        <f t="shared" si="13"/>
        <v>0.14957881156560671</v>
      </c>
    </row>
    <row r="40" spans="1:26" s="27" customFormat="1" outlineLevel="1" collapsed="1" x14ac:dyDescent="0.25">
      <c r="A40" s="25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16061.960000000001</v>
      </c>
      <c r="E40" s="1"/>
      <c r="F40" s="5">
        <f t="shared" ref="F40:F44" si="14">IF(D$12=0,0,D40/D$12)</f>
        <v>0.43587893379546427</v>
      </c>
      <c r="G40" s="1"/>
      <c r="H40" s="1">
        <f>SUM(OSRRefH22_1x_0)</f>
        <v>14180.44</v>
      </c>
      <c r="I40" s="1"/>
      <c r="J40" s="5">
        <f t="shared" ref="J40:J44" si="15">IF(H$12=0,0,H40/H$12)</f>
        <v>0.32737746466256928</v>
      </c>
      <c r="K40" s="1"/>
      <c r="L40" s="1">
        <f t="shared" ref="L40:L44" si="16">+D40-H40</f>
        <v>1881.5200000000004</v>
      </c>
      <c r="M40" s="1"/>
      <c r="N40" s="5">
        <f t="shared" ref="N40:N44" si="17">IF(H40=0,0,L40/H40)</f>
        <v>0.1326841762314851</v>
      </c>
      <c r="O40" s="13"/>
      <c r="P40" s="1">
        <f>SUM(OSRRefP22_1x_0)</f>
        <v>101860.43</v>
      </c>
      <c r="Q40" s="1"/>
      <c r="R40" s="5">
        <f t="shared" ref="R40:R44" si="18">IF(P$12=0,0,P40/P$12)</f>
        <v>0.33942647830587108</v>
      </c>
      <c r="S40" s="1"/>
      <c r="T40" s="1">
        <f>SUM(OSRRefT22_1x_0)</f>
        <v>91054.299999999988</v>
      </c>
      <c r="U40" s="1"/>
      <c r="V40" s="5">
        <f t="shared" ref="V40:V44" si="19">IF(T$12=0,0,T40/T$12)</f>
        <v>0.29067730647535883</v>
      </c>
      <c r="W40" s="1"/>
      <c r="X40" s="1">
        <f t="shared" ref="X40:X44" si="20">+P40-T40</f>
        <v>10806.130000000005</v>
      </c>
      <c r="Y40" s="1"/>
      <c r="Z40" s="5">
        <f t="shared" ref="Z40:Z44" si="21">IF(T40=0,0,X40/T40)</f>
        <v>0.11867786584488603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6">
        <v>11747.2</v>
      </c>
      <c r="E41" s="2"/>
      <c r="F41" s="7">
        <f t="shared" si="14"/>
        <v>0.3187878074084407</v>
      </c>
      <c r="G41" s="2"/>
      <c r="H41" s="6">
        <v>10156.83</v>
      </c>
      <c r="I41" s="2"/>
      <c r="J41" s="7">
        <f t="shared" si="15"/>
        <v>0.23448618339125749</v>
      </c>
      <c r="K41" s="2"/>
      <c r="L41" s="6">
        <f t="shared" si="16"/>
        <v>1590.3700000000008</v>
      </c>
      <c r="M41" s="2"/>
      <c r="N41" s="7">
        <f t="shared" si="17"/>
        <v>0.156581334924381</v>
      </c>
      <c r="O41" s="11"/>
      <c r="P41" s="6">
        <v>67593.759999999995</v>
      </c>
      <c r="Q41" s="2"/>
      <c r="R41" s="7">
        <f t="shared" si="18"/>
        <v>0.2252406740502888</v>
      </c>
      <c r="S41" s="2"/>
      <c r="T41" s="6">
        <v>61658.720000000001</v>
      </c>
      <c r="U41" s="2"/>
      <c r="V41" s="7">
        <f t="shared" si="19"/>
        <v>0.19683629054661161</v>
      </c>
      <c r="W41" s="2"/>
      <c r="X41" s="6">
        <f t="shared" si="20"/>
        <v>5935.0399999999936</v>
      </c>
      <c r="Y41" s="2"/>
      <c r="Z41" s="7">
        <f t="shared" si="21"/>
        <v>9.6256295946461318E-2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>
        <v>1897</v>
      </c>
      <c r="E42" s="2"/>
      <c r="F42" s="7">
        <f t="shared" si="14"/>
        <v>5.1479541563420383E-2</v>
      </c>
      <c r="G42" s="2"/>
      <c r="H42" s="6">
        <v>1127.8599999999999</v>
      </c>
      <c r="I42" s="2"/>
      <c r="J42" s="7">
        <f t="shared" si="15"/>
        <v>2.6038398476656954E-2</v>
      </c>
      <c r="K42" s="2"/>
      <c r="L42" s="6">
        <f t="shared" si="16"/>
        <v>769.1400000000001</v>
      </c>
      <c r="M42" s="2"/>
      <c r="N42" s="7">
        <f t="shared" si="17"/>
        <v>0.68194634085790806</v>
      </c>
      <c r="O42" s="11"/>
      <c r="P42" s="6">
        <v>11858</v>
      </c>
      <c r="Q42" s="2"/>
      <c r="R42" s="7">
        <f t="shared" si="18"/>
        <v>3.9514060364275114E-2</v>
      </c>
      <c r="S42" s="2"/>
      <c r="T42" s="6">
        <v>7139.68</v>
      </c>
      <c r="U42" s="2"/>
      <c r="V42" s="7">
        <f t="shared" si="19"/>
        <v>2.2792366219892859E-2</v>
      </c>
      <c r="W42" s="2"/>
      <c r="X42" s="6">
        <f t="shared" si="20"/>
        <v>4718.32</v>
      </c>
      <c r="Y42" s="2"/>
      <c r="Z42" s="7">
        <f t="shared" si="21"/>
        <v>0.66085874997198746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14"/>
        <v>0</v>
      </c>
      <c r="G43" s="2"/>
      <c r="H43" s="6">
        <v>49.5</v>
      </c>
      <c r="I43" s="2"/>
      <c r="J43" s="7">
        <f t="shared" si="15"/>
        <v>1.1427843212761506E-3</v>
      </c>
      <c r="K43" s="2"/>
      <c r="L43" s="6">
        <f t="shared" si="16"/>
        <v>-49.5</v>
      </c>
      <c r="M43" s="2"/>
      <c r="N43" s="7">
        <f t="shared" si="17"/>
        <v>-1</v>
      </c>
      <c r="O43" s="11"/>
      <c r="P43" s="6"/>
      <c r="Q43" s="2"/>
      <c r="R43" s="7">
        <f t="shared" si="18"/>
        <v>0</v>
      </c>
      <c r="S43" s="2"/>
      <c r="T43" s="6">
        <v>4735.6499999999996</v>
      </c>
      <c r="U43" s="2"/>
      <c r="V43" s="7">
        <f t="shared" si="19"/>
        <v>1.5117858095773984E-2</v>
      </c>
      <c r="W43" s="2"/>
      <c r="X43" s="6">
        <f t="shared" si="20"/>
        <v>-4735.6499999999996</v>
      </c>
      <c r="Y43" s="2"/>
      <c r="Z43" s="7">
        <f t="shared" si="21"/>
        <v>-1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>
        <v>2417.7600000000002</v>
      </c>
      <c r="E44" s="2"/>
      <c r="F44" s="7">
        <f t="shared" si="14"/>
        <v>6.56115848236032E-2</v>
      </c>
      <c r="G44" s="2"/>
      <c r="H44" s="6">
        <v>2846.25</v>
      </c>
      <c r="I44" s="2"/>
      <c r="J44" s="7">
        <f t="shared" si="15"/>
        <v>6.5710098473378664E-2</v>
      </c>
      <c r="K44" s="2"/>
      <c r="L44" s="6">
        <f t="shared" si="16"/>
        <v>-428.48999999999978</v>
      </c>
      <c r="M44" s="2"/>
      <c r="N44" s="7">
        <f t="shared" si="17"/>
        <v>-0.15054545454545448</v>
      </c>
      <c r="O44" s="11"/>
      <c r="P44" s="6">
        <v>22408.670000000002</v>
      </c>
      <c r="Q44" s="2"/>
      <c r="R44" s="7">
        <f t="shared" si="18"/>
        <v>7.4671743891307207E-2</v>
      </c>
      <c r="S44" s="2"/>
      <c r="T44" s="6">
        <v>17520.25</v>
      </c>
      <c r="U44" s="2"/>
      <c r="V44" s="7">
        <f t="shared" si="19"/>
        <v>5.5930791613080393E-2</v>
      </c>
      <c r="W44" s="2"/>
      <c r="X44" s="6">
        <f t="shared" si="20"/>
        <v>4888.4200000000019</v>
      </c>
      <c r="Y44" s="2"/>
      <c r="Z44" s="7">
        <f t="shared" si="21"/>
        <v>0.27901542500820492</v>
      </c>
    </row>
    <row r="45" spans="1:26" s="27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397.5</v>
      </c>
      <c r="E45" s="1"/>
      <c r="F45" s="5">
        <f t="shared" ref="F45:F59" si="22">IF(D$12=0,0,D45/D$12)</f>
        <v>1.0787094239040382E-2</v>
      </c>
      <c r="G45" s="1"/>
      <c r="H45" s="1">
        <f>SUM(OSRRefH22_2x_0)</f>
        <v>0</v>
      </c>
      <c r="I45" s="1"/>
      <c r="J45" s="5">
        <f t="shared" ref="J45:J59" si="23">IF(H$12=0,0,H45/H$12)</f>
        <v>0</v>
      </c>
      <c r="K45" s="1"/>
      <c r="L45" s="1">
        <f t="shared" ref="L45:L59" si="24">+D45-H45</f>
        <v>397.5</v>
      </c>
      <c r="M45" s="1"/>
      <c r="N45" s="5">
        <f t="shared" ref="N45:N59" si="25">IF(H45=0,0,L45/H45)</f>
        <v>0</v>
      </c>
      <c r="O45" s="13"/>
      <c r="P45" s="1">
        <f>SUM(OSRRefP22_2x_0)</f>
        <v>397.5</v>
      </c>
      <c r="Q45" s="1"/>
      <c r="R45" s="5">
        <f t="shared" ref="R45:R59" si="26">IF(P$12=0,0,P45/P$12)</f>
        <v>1.3245774156518265E-3</v>
      </c>
      <c r="S45" s="1"/>
      <c r="T45" s="1">
        <f>SUM(OSRRefT22_2x_0)</f>
        <v>551.5</v>
      </c>
      <c r="U45" s="1"/>
      <c r="V45" s="5">
        <f t="shared" ref="V45:V59" si="27">IF(T$12=0,0,T45/T$12)</f>
        <v>1.7605817025792346E-3</v>
      </c>
      <c r="W45" s="1"/>
      <c r="X45" s="1">
        <f t="shared" ref="X45:X59" si="28">+P45-T45</f>
        <v>-154</v>
      </c>
      <c r="Y45" s="1"/>
      <c r="Z45" s="5">
        <f t="shared" ref="Z45:Z59" si="29">IF(T45=0,0,X45/T45)</f>
        <v>-0.27923844061650044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>
        <v>397.5</v>
      </c>
      <c r="E46" s="2"/>
      <c r="F46" s="7">
        <f t="shared" si="22"/>
        <v>1.0787094239040382E-2</v>
      </c>
      <c r="G46" s="2"/>
      <c r="H46" s="6"/>
      <c r="I46" s="2"/>
      <c r="J46" s="7">
        <f t="shared" si="23"/>
        <v>0</v>
      </c>
      <c r="K46" s="2"/>
      <c r="L46" s="6">
        <f t="shared" si="24"/>
        <v>397.5</v>
      </c>
      <c r="M46" s="2"/>
      <c r="N46" s="7">
        <f t="shared" si="25"/>
        <v>0</v>
      </c>
      <c r="O46" s="11"/>
      <c r="P46" s="6">
        <v>397.5</v>
      </c>
      <c r="Q46" s="2"/>
      <c r="R46" s="7">
        <f t="shared" si="26"/>
        <v>1.3245774156518265E-3</v>
      </c>
      <c r="S46" s="2"/>
      <c r="T46" s="6">
        <v>551.5</v>
      </c>
      <c r="U46" s="2"/>
      <c r="V46" s="7">
        <f t="shared" si="27"/>
        <v>1.7605817025792346E-3</v>
      </c>
      <c r="W46" s="2"/>
      <c r="X46" s="6">
        <f t="shared" si="28"/>
        <v>-154</v>
      </c>
      <c r="Y46" s="2"/>
      <c r="Z46" s="7">
        <f t="shared" si="29"/>
        <v>-0.27923844061650044</v>
      </c>
    </row>
    <row r="47" spans="1:26" s="27" customFormat="1" outlineLevel="1" collapsed="1" x14ac:dyDescent="0.25">
      <c r="A47" s="25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SUM(OSRRefD22_3x_0)</f>
        <v>169.88</v>
      </c>
      <c r="E47" s="1"/>
      <c r="F47" s="5">
        <f t="shared" si="22"/>
        <v>4.6100919983098863E-3</v>
      </c>
      <c r="G47" s="1"/>
      <c r="H47" s="1">
        <f>SUM(OSRRefH22_3x_0)</f>
        <v>0</v>
      </c>
      <c r="I47" s="1"/>
      <c r="J47" s="5">
        <f t="shared" si="23"/>
        <v>0</v>
      </c>
      <c r="K47" s="1"/>
      <c r="L47" s="1">
        <f t="shared" si="24"/>
        <v>169.88</v>
      </c>
      <c r="M47" s="1"/>
      <c r="N47" s="5">
        <f t="shared" si="25"/>
        <v>0</v>
      </c>
      <c r="O47" s="13"/>
      <c r="P47" s="1">
        <f>SUM(OSRRefP22_3x_0)</f>
        <v>169.88</v>
      </c>
      <c r="Q47" s="1"/>
      <c r="R47" s="5">
        <f t="shared" si="26"/>
        <v>5.6608606634196798E-4</v>
      </c>
      <c r="S47" s="1"/>
      <c r="T47" s="1">
        <f>SUM(OSRRefT22_3x_0)</f>
        <v>0</v>
      </c>
      <c r="U47" s="1"/>
      <c r="V47" s="5">
        <f t="shared" si="27"/>
        <v>0</v>
      </c>
      <c r="W47" s="1"/>
      <c r="X47" s="1">
        <f t="shared" si="28"/>
        <v>169.88</v>
      </c>
      <c r="Y47" s="1"/>
      <c r="Z47" s="5">
        <f t="shared" si="29"/>
        <v>0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169.88</v>
      </c>
      <c r="E48" s="2"/>
      <c r="F48" s="7">
        <f t="shared" si="22"/>
        <v>4.6100919983098863E-3</v>
      </c>
      <c r="G48" s="2"/>
      <c r="H48" s="6"/>
      <c r="I48" s="2"/>
      <c r="J48" s="7">
        <f t="shared" si="23"/>
        <v>0</v>
      </c>
      <c r="K48" s="2"/>
      <c r="L48" s="6">
        <f t="shared" si="24"/>
        <v>169.88</v>
      </c>
      <c r="M48" s="2"/>
      <c r="N48" s="7">
        <f t="shared" si="25"/>
        <v>0</v>
      </c>
      <c r="O48" s="11"/>
      <c r="P48" s="6">
        <v>169.88</v>
      </c>
      <c r="Q48" s="2"/>
      <c r="R48" s="7">
        <f t="shared" si="26"/>
        <v>5.6608606634196798E-4</v>
      </c>
      <c r="S48" s="2"/>
      <c r="T48" s="6"/>
      <c r="U48" s="2"/>
      <c r="V48" s="7">
        <f t="shared" si="27"/>
        <v>0</v>
      </c>
      <c r="W48" s="2"/>
      <c r="X48" s="6">
        <f t="shared" si="28"/>
        <v>169.88</v>
      </c>
      <c r="Y48" s="2"/>
      <c r="Z48" s="7">
        <f t="shared" si="29"/>
        <v>0</v>
      </c>
    </row>
    <row r="49" spans="1:26" s="27" customFormat="1" outlineLevel="1" collapsed="1" x14ac:dyDescent="0.25">
      <c r="A49" s="25"/>
      <c r="B49" s="13" t="str">
        <f>CONCATENATE("     ","Discounts and Markdowns                           ")</f>
        <v xml:space="preserve">     Discounts and Markdowns                           </v>
      </c>
      <c r="C49" s="13"/>
      <c r="D49" s="1">
        <f>SUM(OSRRefD22_4x_0)</f>
        <v>43.8</v>
      </c>
      <c r="E49" s="1"/>
      <c r="F49" s="5">
        <f t="shared" si="22"/>
        <v>1.1886156670942608E-3</v>
      </c>
      <c r="G49" s="1"/>
      <c r="H49" s="1">
        <f>SUM(OSRRefH22_4x_0)</f>
        <v>77.709999999999994</v>
      </c>
      <c r="I49" s="1"/>
      <c r="J49" s="5">
        <f t="shared" si="23"/>
        <v>1.7940559516438316E-3</v>
      </c>
      <c r="K49" s="1"/>
      <c r="L49" s="1">
        <f t="shared" si="24"/>
        <v>-33.909999999999997</v>
      </c>
      <c r="M49" s="1"/>
      <c r="N49" s="5">
        <f t="shared" si="25"/>
        <v>-0.4363659760648565</v>
      </c>
      <c r="O49" s="13"/>
      <c r="P49" s="1">
        <f>SUM(OSRRefP22_4x_0)</f>
        <v>464.27</v>
      </c>
      <c r="Q49" s="1"/>
      <c r="R49" s="5">
        <f t="shared" si="26"/>
        <v>1.5470730987790526E-3</v>
      </c>
      <c r="S49" s="1"/>
      <c r="T49" s="1">
        <f>SUM(OSRRefT22_4x_0)</f>
        <v>755.22</v>
      </c>
      <c r="U49" s="1"/>
      <c r="V49" s="5">
        <f t="shared" si="27"/>
        <v>2.410927494871967E-3</v>
      </c>
      <c r="W49" s="1"/>
      <c r="X49" s="1">
        <f t="shared" si="28"/>
        <v>-290.95000000000005</v>
      </c>
      <c r="Y49" s="1"/>
      <c r="Z49" s="5">
        <f t="shared" si="29"/>
        <v>-0.38525197955562623</v>
      </c>
    </row>
    <row r="50" spans="1:26" s="24" customFormat="1" hidden="1" outlineLevel="2" x14ac:dyDescent="0.25">
      <c r="A50" s="26"/>
      <c r="B50" s="11" t="str">
        <f>CONCATENATE("          ", "6382", " - ", "DISCOUNTS/MARK DOWNS")</f>
        <v xml:space="preserve">          6382 - DISCOUNTS/MARK DOWNS</v>
      </c>
      <c r="C50" s="11"/>
      <c r="D50" s="6">
        <v>43.8</v>
      </c>
      <c r="E50" s="2"/>
      <c r="F50" s="7">
        <f t="shared" si="22"/>
        <v>1.1886156670942608E-3</v>
      </c>
      <c r="G50" s="2"/>
      <c r="H50" s="6">
        <v>77.709999999999994</v>
      </c>
      <c r="I50" s="2"/>
      <c r="J50" s="7">
        <f t="shared" si="23"/>
        <v>1.7940559516438316E-3</v>
      </c>
      <c r="K50" s="2"/>
      <c r="L50" s="6">
        <f t="shared" si="24"/>
        <v>-33.909999999999997</v>
      </c>
      <c r="M50" s="2"/>
      <c r="N50" s="7">
        <f t="shared" si="25"/>
        <v>-0.4363659760648565</v>
      </c>
      <c r="O50" s="11"/>
      <c r="P50" s="6">
        <v>464.27</v>
      </c>
      <c r="Q50" s="2"/>
      <c r="R50" s="7">
        <f t="shared" si="26"/>
        <v>1.5470730987790526E-3</v>
      </c>
      <c r="S50" s="2"/>
      <c r="T50" s="6">
        <v>755.22</v>
      </c>
      <c r="U50" s="2"/>
      <c r="V50" s="7">
        <f t="shared" si="27"/>
        <v>2.410927494871967E-3</v>
      </c>
      <c r="W50" s="2"/>
      <c r="X50" s="6">
        <f t="shared" si="28"/>
        <v>-290.95000000000005</v>
      </c>
      <c r="Y50" s="2"/>
      <c r="Z50" s="7">
        <f t="shared" si="29"/>
        <v>-0.38525197955562623</v>
      </c>
    </row>
    <row r="51" spans="1:26" s="27" customFormat="1" outlineLevel="1" collapsed="1" x14ac:dyDescent="0.25">
      <c r="A51" s="25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SUM(OSRRefD22_5x_0)</f>
        <v>0</v>
      </c>
      <c r="E51" s="1"/>
      <c r="F51" s="5">
        <f t="shared" si="22"/>
        <v>0</v>
      </c>
      <c r="G51" s="1"/>
      <c r="H51" s="1">
        <f>SUM(OSRRefH22_5x_0)</f>
        <v>3309.15</v>
      </c>
      <c r="I51" s="1"/>
      <c r="J51" s="5">
        <f t="shared" si="23"/>
        <v>7.6396863368706547E-2</v>
      </c>
      <c r="K51" s="1"/>
      <c r="L51" s="1">
        <f t="shared" si="24"/>
        <v>-3309.15</v>
      </c>
      <c r="M51" s="1"/>
      <c r="N51" s="5">
        <f t="shared" si="25"/>
        <v>-1</v>
      </c>
      <c r="O51" s="13"/>
      <c r="P51" s="1">
        <f>SUM(OSRRefP22_5x_0)</f>
        <v>9932.16</v>
      </c>
      <c r="Q51" s="1"/>
      <c r="R51" s="5">
        <f t="shared" si="26"/>
        <v>3.3096641068277845E-2</v>
      </c>
      <c r="S51" s="1"/>
      <c r="T51" s="1">
        <f>SUM(OSRRefT22_5x_0)</f>
        <v>19191.22</v>
      </c>
      <c r="U51" s="1"/>
      <c r="V51" s="5">
        <f t="shared" si="27"/>
        <v>6.126511474555333E-2</v>
      </c>
      <c r="W51" s="1"/>
      <c r="X51" s="1">
        <f t="shared" si="28"/>
        <v>-9259.0600000000013</v>
      </c>
      <c r="Y51" s="1"/>
      <c r="Z51" s="5">
        <f t="shared" si="29"/>
        <v>-0.48246333479580772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22"/>
        <v>0</v>
      </c>
      <c r="G52" s="2"/>
      <c r="H52" s="6">
        <v>3309.15</v>
      </c>
      <c r="I52" s="2"/>
      <c r="J52" s="7">
        <f t="shared" si="23"/>
        <v>7.6396863368706547E-2</v>
      </c>
      <c r="K52" s="2"/>
      <c r="L52" s="6">
        <f t="shared" si="24"/>
        <v>-3309.15</v>
      </c>
      <c r="M52" s="2"/>
      <c r="N52" s="7">
        <f t="shared" si="25"/>
        <v>-1</v>
      </c>
      <c r="O52" s="11"/>
      <c r="P52" s="6">
        <v>9932.16</v>
      </c>
      <c r="Q52" s="2"/>
      <c r="R52" s="7">
        <f t="shared" si="26"/>
        <v>3.3096641068277845E-2</v>
      </c>
      <c r="S52" s="2"/>
      <c r="T52" s="6">
        <v>19191.22</v>
      </c>
      <c r="U52" s="2"/>
      <c r="V52" s="7">
        <f t="shared" si="27"/>
        <v>6.126511474555333E-2</v>
      </c>
      <c r="W52" s="2"/>
      <c r="X52" s="6">
        <f t="shared" si="28"/>
        <v>-9259.0600000000013</v>
      </c>
      <c r="Y52" s="2"/>
      <c r="Z52" s="7">
        <f t="shared" si="29"/>
        <v>-0.48246333479580772</v>
      </c>
    </row>
    <row r="53" spans="1:26" s="27" customFormat="1" outlineLevel="1" collapsed="1" x14ac:dyDescent="0.25">
      <c r="A53" s="25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SUM(OSRRefD22_6x_0)</f>
        <v>0</v>
      </c>
      <c r="E53" s="1"/>
      <c r="F53" s="5">
        <f t="shared" si="22"/>
        <v>0</v>
      </c>
      <c r="G53" s="1"/>
      <c r="H53" s="1">
        <f>SUM(OSRRefH22_6x_0)</f>
        <v>0</v>
      </c>
      <c r="I53" s="1"/>
      <c r="J53" s="5">
        <f t="shared" si="23"/>
        <v>0</v>
      </c>
      <c r="K53" s="1"/>
      <c r="L53" s="1">
        <f t="shared" si="24"/>
        <v>0</v>
      </c>
      <c r="M53" s="1"/>
      <c r="N53" s="5">
        <f t="shared" si="25"/>
        <v>0</v>
      </c>
      <c r="O53" s="13"/>
      <c r="P53" s="1">
        <f>SUM(OSRRefP22_6x_0)</f>
        <v>9.1300000000000008</v>
      </c>
      <c r="Q53" s="1"/>
      <c r="R53" s="5">
        <f t="shared" si="26"/>
        <v>3.0423627182141325E-5</v>
      </c>
      <c r="S53" s="1"/>
      <c r="T53" s="1">
        <f>SUM(OSRRefT22_6x_0)</f>
        <v>0</v>
      </c>
      <c r="U53" s="1"/>
      <c r="V53" s="5">
        <f t="shared" si="27"/>
        <v>0</v>
      </c>
      <c r="W53" s="1"/>
      <c r="X53" s="1">
        <f t="shared" si="28"/>
        <v>9.1300000000000008</v>
      </c>
      <c r="Y53" s="1"/>
      <c r="Z53" s="5">
        <f t="shared" si="29"/>
        <v>0</v>
      </c>
    </row>
    <row r="54" spans="1:26" s="24" customFormat="1" hidden="1" outlineLevel="2" x14ac:dyDescent="0.25">
      <c r="A54" s="26"/>
      <c r="B54" s="11" t="str">
        <f>CONCATENATE("          ", "6305", " - ", "FREIGHT OUT")</f>
        <v xml:space="preserve">          6305 - FREIGHT OUT</v>
      </c>
      <c r="C54" s="11"/>
      <c r="D54" s="6"/>
      <c r="E54" s="2"/>
      <c r="F54" s="7">
        <f t="shared" si="22"/>
        <v>0</v>
      </c>
      <c r="G54" s="2"/>
      <c r="H54" s="6"/>
      <c r="I54" s="2"/>
      <c r="J54" s="7">
        <f t="shared" si="23"/>
        <v>0</v>
      </c>
      <c r="K54" s="2"/>
      <c r="L54" s="6">
        <f t="shared" si="24"/>
        <v>0</v>
      </c>
      <c r="M54" s="2"/>
      <c r="N54" s="7">
        <f t="shared" si="25"/>
        <v>0</v>
      </c>
      <c r="O54" s="11"/>
      <c r="P54" s="6">
        <v>9.1300000000000008</v>
      </c>
      <c r="Q54" s="2"/>
      <c r="R54" s="7">
        <f t="shared" si="26"/>
        <v>3.0423627182141325E-5</v>
      </c>
      <c r="S54" s="2"/>
      <c r="T54" s="6"/>
      <c r="U54" s="2"/>
      <c r="V54" s="7">
        <f t="shared" si="27"/>
        <v>0</v>
      </c>
      <c r="W54" s="2"/>
      <c r="X54" s="6">
        <f t="shared" si="28"/>
        <v>9.1300000000000008</v>
      </c>
      <c r="Y54" s="2"/>
      <c r="Z54" s="7">
        <f t="shared" si="29"/>
        <v>0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75</v>
      </c>
      <c r="E55" s="1"/>
      <c r="F55" s="5">
        <f t="shared" si="22"/>
        <v>2.0353007998189397E-3</v>
      </c>
      <c r="G55" s="1"/>
      <c r="H55" s="1">
        <f>SUM(OSRRefH22_7x_0)</f>
        <v>0</v>
      </c>
      <c r="I55" s="1"/>
      <c r="J55" s="5">
        <f t="shared" si="23"/>
        <v>0</v>
      </c>
      <c r="K55" s="1"/>
      <c r="L55" s="1">
        <f t="shared" si="24"/>
        <v>75</v>
      </c>
      <c r="M55" s="1"/>
      <c r="N55" s="5">
        <f t="shared" si="25"/>
        <v>0</v>
      </c>
      <c r="O55" s="13"/>
      <c r="P55" s="1">
        <f>SUM(OSRRefP22_7x_0)</f>
        <v>75</v>
      </c>
      <c r="Q55" s="1"/>
      <c r="R55" s="5">
        <f t="shared" si="26"/>
        <v>2.4992026710411822E-4</v>
      </c>
      <c r="S55" s="1"/>
      <c r="T55" s="1">
        <f>SUM(OSRRefT22_7x_0)</f>
        <v>185.21</v>
      </c>
      <c r="U55" s="1"/>
      <c r="V55" s="5">
        <f t="shared" si="27"/>
        <v>5.9125537105113345E-4</v>
      </c>
      <c r="W55" s="1"/>
      <c r="X55" s="1">
        <f t="shared" si="28"/>
        <v>-110.21000000000001</v>
      </c>
      <c r="Y55" s="1"/>
      <c r="Z55" s="5">
        <f t="shared" si="29"/>
        <v>-0.59505426272879436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75</v>
      </c>
      <c r="E56" s="2"/>
      <c r="F56" s="7">
        <f t="shared" si="22"/>
        <v>2.0353007998189397E-3</v>
      </c>
      <c r="G56" s="2"/>
      <c r="H56" s="6"/>
      <c r="I56" s="2"/>
      <c r="J56" s="7">
        <f t="shared" si="23"/>
        <v>0</v>
      </c>
      <c r="K56" s="2"/>
      <c r="L56" s="6">
        <f t="shared" si="24"/>
        <v>75</v>
      </c>
      <c r="M56" s="2"/>
      <c r="N56" s="7">
        <f t="shared" si="25"/>
        <v>0</v>
      </c>
      <c r="O56" s="11"/>
      <c r="P56" s="6">
        <v>75</v>
      </c>
      <c r="Q56" s="2"/>
      <c r="R56" s="7">
        <f t="shared" si="26"/>
        <v>2.4992026710411822E-4</v>
      </c>
      <c r="S56" s="2"/>
      <c r="T56" s="6">
        <v>185.21</v>
      </c>
      <c r="U56" s="2"/>
      <c r="V56" s="7">
        <f t="shared" si="27"/>
        <v>5.9125537105113345E-4</v>
      </c>
      <c r="W56" s="2"/>
      <c r="X56" s="6">
        <f t="shared" si="28"/>
        <v>-110.21000000000001</v>
      </c>
      <c r="Y56" s="2"/>
      <c r="Z56" s="7">
        <f t="shared" si="29"/>
        <v>-0.59505426272879436</v>
      </c>
    </row>
    <row r="57" spans="1:26" s="27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SUM(OSRRefD22_8x_0)</f>
        <v>7066.2099999999991</v>
      </c>
      <c r="E57" s="1"/>
      <c r="F57" s="5">
        <f t="shared" si="22"/>
        <v>0.19175817152918118</v>
      </c>
      <c r="G57" s="1"/>
      <c r="H57" s="1">
        <f>SUM(OSRRefH22_8x_0)</f>
        <v>200.98</v>
      </c>
      <c r="I57" s="1"/>
      <c r="J57" s="5">
        <f t="shared" si="23"/>
        <v>4.6399352099006216E-3</v>
      </c>
      <c r="K57" s="1"/>
      <c r="L57" s="1">
        <f t="shared" si="24"/>
        <v>6865.23</v>
      </c>
      <c r="M57" s="1"/>
      <c r="N57" s="5">
        <f t="shared" si="25"/>
        <v>34.158772017116128</v>
      </c>
      <c r="O57" s="13"/>
      <c r="P57" s="1">
        <f>SUM(OSRRefP22_8x_0)</f>
        <v>36516.17</v>
      </c>
      <c r="Q57" s="1"/>
      <c r="R57" s="5">
        <f t="shared" si="26"/>
        <v>0.12168174613359183</v>
      </c>
      <c r="S57" s="1"/>
      <c r="T57" s="1">
        <f>SUM(OSRRefT22_8x_0)</f>
        <v>41102.36</v>
      </c>
      <c r="U57" s="1"/>
      <c r="V57" s="5">
        <f t="shared" si="27"/>
        <v>0.13121316944483161</v>
      </c>
      <c r="W57" s="1"/>
      <c r="X57" s="1">
        <f t="shared" si="28"/>
        <v>-4586.1900000000023</v>
      </c>
      <c r="Y57" s="1"/>
      <c r="Z57" s="5">
        <f t="shared" si="29"/>
        <v>-0.11157972437592396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6">
        <v>6696.73</v>
      </c>
      <c r="E58" s="2"/>
      <c r="F58" s="7">
        <f t="shared" si="22"/>
        <v>0.18173146566895318</v>
      </c>
      <c r="G58" s="2"/>
      <c r="H58" s="6">
        <v>200.98</v>
      </c>
      <c r="I58" s="2"/>
      <c r="J58" s="7">
        <f t="shared" si="23"/>
        <v>4.6399352099006216E-3</v>
      </c>
      <c r="K58" s="2"/>
      <c r="L58" s="6">
        <f t="shared" si="24"/>
        <v>6495.75</v>
      </c>
      <c r="M58" s="2"/>
      <c r="N58" s="7">
        <f t="shared" si="25"/>
        <v>32.320380137327099</v>
      </c>
      <c r="O58" s="11"/>
      <c r="P58" s="6">
        <v>36146.689999999995</v>
      </c>
      <c r="Q58" s="2"/>
      <c r="R58" s="7">
        <f t="shared" si="26"/>
        <v>0.12045053892973009</v>
      </c>
      <c r="S58" s="2"/>
      <c r="T58" s="6">
        <v>40953.82</v>
      </c>
      <c r="U58" s="2"/>
      <c r="V58" s="7">
        <f t="shared" si="27"/>
        <v>0.13073897759333367</v>
      </c>
      <c r="W58" s="2"/>
      <c r="X58" s="6">
        <f t="shared" si="28"/>
        <v>-4807.1300000000047</v>
      </c>
      <c r="Y58" s="2"/>
      <c r="Z58" s="7">
        <f t="shared" si="29"/>
        <v>-0.11737928232335847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369.48</v>
      </c>
      <c r="E59" s="2"/>
      <c r="F59" s="7">
        <f t="shared" si="22"/>
        <v>1.0026705860228026E-2</v>
      </c>
      <c r="G59" s="2"/>
      <c r="H59" s="6"/>
      <c r="I59" s="2"/>
      <c r="J59" s="7">
        <f t="shared" si="23"/>
        <v>0</v>
      </c>
      <c r="K59" s="2"/>
      <c r="L59" s="6">
        <f t="shared" si="24"/>
        <v>369.48</v>
      </c>
      <c r="M59" s="2"/>
      <c r="N59" s="7">
        <f t="shared" si="25"/>
        <v>0</v>
      </c>
      <c r="O59" s="11"/>
      <c r="P59" s="6">
        <v>369.48</v>
      </c>
      <c r="Q59" s="2"/>
      <c r="R59" s="7">
        <f t="shared" si="26"/>
        <v>1.2312072038617279E-3</v>
      </c>
      <c r="S59" s="2"/>
      <c r="T59" s="6">
        <v>148.54</v>
      </c>
      <c r="U59" s="2"/>
      <c r="V59" s="7">
        <f t="shared" si="27"/>
        <v>4.7419185149795017E-4</v>
      </c>
      <c r="W59" s="2"/>
      <c r="X59" s="6">
        <f t="shared" si="28"/>
        <v>220.94000000000003</v>
      </c>
      <c r="Y59" s="2"/>
      <c r="Z59" s="7">
        <f t="shared" si="29"/>
        <v>1.4874107984381315</v>
      </c>
    </row>
    <row r="60" spans="1:26" s="27" customFormat="1" outlineLevel="1" collapsed="1" x14ac:dyDescent="0.25">
      <c r="A60" s="25"/>
      <c r="B60" s="13" t="str">
        <f>CONCATENATE("     ","Royalty &amp; Commissions                             ")</f>
        <v xml:space="preserve">     Royalty &amp; Commissions                             </v>
      </c>
      <c r="C60" s="13"/>
      <c r="D60" s="1">
        <f>SUM(OSRRefD22_9x_0)</f>
        <v>12692.3</v>
      </c>
      <c r="E60" s="1"/>
      <c r="F60" s="5">
        <f t="shared" ref="F60:F67" si="30">IF(D$12=0,0,D60/D$12)</f>
        <v>0.34443531122055904</v>
      </c>
      <c r="G60" s="1"/>
      <c r="H60" s="1">
        <f>SUM(OSRRefH22_9x_0)</f>
        <v>9309.5300000000007</v>
      </c>
      <c r="I60" s="1"/>
      <c r="J60" s="5">
        <f t="shared" ref="J60:J67" si="31">IF(H$12=0,0,H60/H$12)</f>
        <v>0.2149249479282821</v>
      </c>
      <c r="K60" s="1"/>
      <c r="L60" s="1">
        <f t="shared" ref="L60:L67" si="32">+D60-H60</f>
        <v>3382.7699999999986</v>
      </c>
      <c r="M60" s="1"/>
      <c r="N60" s="5">
        <f t="shared" ref="N60:N67" si="33">IF(H60=0,0,L60/H60)</f>
        <v>0.36336635684078555</v>
      </c>
      <c r="O60" s="13"/>
      <c r="P60" s="1">
        <f>SUM(OSRRefP22_9x_0)</f>
        <v>56559.98</v>
      </c>
      <c r="Q60" s="1"/>
      <c r="R60" s="5">
        <f t="shared" ref="R60:R67" si="34">IF(P$12=0,0,P60/P$12)</f>
        <v>0.18847313745338112</v>
      </c>
      <c r="S60" s="1"/>
      <c r="T60" s="1">
        <f>SUM(OSRRefT22_9x_0)</f>
        <v>55250.23</v>
      </c>
      <c r="U60" s="1"/>
      <c r="V60" s="5">
        <f t="shared" ref="V60:V67" si="35">IF(T$12=0,0,T60/T$12)</f>
        <v>0.1763781396215672</v>
      </c>
      <c r="W60" s="1"/>
      <c r="X60" s="1">
        <f t="shared" ref="X60:X67" si="36">+P60-T60</f>
        <v>1309.75</v>
      </c>
      <c r="Y60" s="1"/>
      <c r="Z60" s="5">
        <f t="shared" ref="Z60:Z67" si="37">IF(T60=0,0,X60/T60)</f>
        <v>2.3705783668230881E-2</v>
      </c>
    </row>
    <row r="61" spans="1:26" s="24" customFormat="1" hidden="1" outlineLevel="2" x14ac:dyDescent="0.25">
      <c r="A61" s="26"/>
      <c r="B61" s="11" t="str">
        <f>CONCATENATE("          ", "6259", " - ", "ROYALTY &amp; COMMISSIONS")</f>
        <v xml:space="preserve">          6259 - ROYALTY &amp; COMMISSIONS</v>
      </c>
      <c r="C61" s="11"/>
      <c r="D61" s="6">
        <v>12692.3</v>
      </c>
      <c r="E61" s="2"/>
      <c r="F61" s="7">
        <f t="shared" si="30"/>
        <v>0.34443531122055904</v>
      </c>
      <c r="G61" s="2"/>
      <c r="H61" s="6">
        <v>9309.5300000000007</v>
      </c>
      <c r="I61" s="2"/>
      <c r="J61" s="7">
        <f t="shared" si="31"/>
        <v>0.2149249479282821</v>
      </c>
      <c r="K61" s="2"/>
      <c r="L61" s="6">
        <f t="shared" si="32"/>
        <v>3382.7699999999986</v>
      </c>
      <c r="M61" s="2"/>
      <c r="N61" s="7">
        <f t="shared" si="33"/>
        <v>0.36336635684078555</v>
      </c>
      <c r="O61" s="11"/>
      <c r="P61" s="6">
        <v>56559.98</v>
      </c>
      <c r="Q61" s="2"/>
      <c r="R61" s="7">
        <f t="shared" si="34"/>
        <v>0.18847313745338112</v>
      </c>
      <c r="S61" s="2"/>
      <c r="T61" s="6">
        <v>55250.23</v>
      </c>
      <c r="U61" s="2"/>
      <c r="V61" s="7">
        <f t="shared" si="35"/>
        <v>0.1763781396215672</v>
      </c>
      <c r="W61" s="2"/>
      <c r="X61" s="6">
        <f t="shared" si="36"/>
        <v>1309.75</v>
      </c>
      <c r="Y61" s="2"/>
      <c r="Z61" s="7">
        <f t="shared" si="37"/>
        <v>2.3705783668230881E-2</v>
      </c>
    </row>
    <row r="62" spans="1:26" s="27" customFormat="1" outlineLevel="1" collapsed="1" x14ac:dyDescent="0.25">
      <c r="A62" s="25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SUM(OSRRefD22_10x_0)</f>
        <v>4284.13</v>
      </c>
      <c r="E62" s="1"/>
      <c r="F62" s="5">
        <f t="shared" si="30"/>
        <v>0.11625990954037753</v>
      </c>
      <c r="G62" s="1"/>
      <c r="H62" s="1">
        <f>SUM(OSRRefH22_10x_0)</f>
        <v>1594.4499999999998</v>
      </c>
      <c r="I62" s="1"/>
      <c r="J62" s="5">
        <f t="shared" si="31"/>
        <v>3.6810352748661783E-2</v>
      </c>
      <c r="K62" s="1"/>
      <c r="L62" s="1">
        <f t="shared" si="32"/>
        <v>2689.6800000000003</v>
      </c>
      <c r="M62" s="1"/>
      <c r="N62" s="5">
        <f t="shared" si="33"/>
        <v>1.6869014393678075</v>
      </c>
      <c r="O62" s="13"/>
      <c r="P62" s="1">
        <f>SUM(OSRRefP22_10x_0)</f>
        <v>18267.86</v>
      </c>
      <c r="Q62" s="1"/>
      <c r="R62" s="5">
        <f t="shared" si="34"/>
        <v>6.0873446008275156E-2</v>
      </c>
      <c r="S62" s="1"/>
      <c r="T62" s="1">
        <f>SUM(OSRRefT22_10x_0)</f>
        <v>27290.770000000004</v>
      </c>
      <c r="U62" s="1"/>
      <c r="V62" s="5">
        <f t="shared" si="35"/>
        <v>8.712172313925351E-2</v>
      </c>
      <c r="W62" s="1"/>
      <c r="X62" s="1">
        <f t="shared" si="36"/>
        <v>-9022.9100000000035</v>
      </c>
      <c r="Y62" s="1"/>
      <c r="Z62" s="5">
        <f t="shared" si="37"/>
        <v>-0.33062130529845812</v>
      </c>
    </row>
    <row r="63" spans="1:26" s="24" customFormat="1" hidden="1" outlineLevel="2" x14ac:dyDescent="0.25">
      <c r="A63" s="26"/>
      <c r="B63" s="11" t="str">
        <f>CONCATENATE("          ", "6234", " - ", "EXPENDABLE SUPPLIES &amp; EQUIPMEN")</f>
        <v xml:space="preserve">          6234 - EXPENDABLE SUPPLIES &amp; EQUIPMEN</v>
      </c>
      <c r="C63" s="11"/>
      <c r="D63" s="6"/>
      <c r="E63" s="2"/>
      <c r="F63" s="7">
        <f t="shared" si="30"/>
        <v>0</v>
      </c>
      <c r="G63" s="2"/>
      <c r="H63" s="6"/>
      <c r="I63" s="2"/>
      <c r="J63" s="7">
        <f t="shared" si="31"/>
        <v>0</v>
      </c>
      <c r="K63" s="2"/>
      <c r="L63" s="6">
        <f t="shared" si="32"/>
        <v>0</v>
      </c>
      <c r="M63" s="2"/>
      <c r="N63" s="7">
        <f t="shared" si="33"/>
        <v>0</v>
      </c>
      <c r="O63" s="11"/>
      <c r="P63" s="6">
        <v>1017.27</v>
      </c>
      <c r="Q63" s="2"/>
      <c r="R63" s="7">
        <f t="shared" si="34"/>
        <v>3.3898185348934175E-3</v>
      </c>
      <c r="S63" s="2"/>
      <c r="T63" s="6">
        <v>856.68</v>
      </c>
      <c r="U63" s="2"/>
      <c r="V63" s="7">
        <f t="shared" si="35"/>
        <v>2.7348234505268879E-3</v>
      </c>
      <c r="W63" s="2"/>
      <c r="X63" s="6">
        <f t="shared" si="36"/>
        <v>160.59000000000003</v>
      </c>
      <c r="Y63" s="2"/>
      <c r="Z63" s="7">
        <f t="shared" si="37"/>
        <v>0.18745622636223566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6">
        <v>43.15</v>
      </c>
      <c r="E64" s="2"/>
      <c r="F64" s="7">
        <f t="shared" si="30"/>
        <v>1.1709763934958301E-3</v>
      </c>
      <c r="G64" s="2"/>
      <c r="H64" s="6"/>
      <c r="I64" s="2"/>
      <c r="J64" s="7">
        <f t="shared" si="31"/>
        <v>0</v>
      </c>
      <c r="K64" s="2"/>
      <c r="L64" s="6">
        <f t="shared" si="32"/>
        <v>43.15</v>
      </c>
      <c r="M64" s="2"/>
      <c r="N64" s="7">
        <f t="shared" si="33"/>
        <v>0</v>
      </c>
      <c r="O64" s="11"/>
      <c r="P64" s="6">
        <v>43.15</v>
      </c>
      <c r="Q64" s="2"/>
      <c r="R64" s="7">
        <f t="shared" si="34"/>
        <v>1.4378746034056933E-4</v>
      </c>
      <c r="S64" s="2"/>
      <c r="T64" s="6"/>
      <c r="U64" s="2"/>
      <c r="V64" s="7">
        <f t="shared" si="35"/>
        <v>0</v>
      </c>
      <c r="W64" s="2"/>
      <c r="X64" s="6">
        <f t="shared" si="36"/>
        <v>43.15</v>
      </c>
      <c r="Y64" s="2"/>
      <c r="Z64" s="7">
        <f t="shared" si="37"/>
        <v>0</v>
      </c>
    </row>
    <row r="65" spans="1:26" s="24" customFormat="1" hidden="1" outlineLevel="2" x14ac:dyDescent="0.25">
      <c r="A65" s="26"/>
      <c r="B65" s="11" t="str">
        <f>CONCATENATE("          ", "6243", " - ", "PAPER SUPPLIES")</f>
        <v xml:space="preserve">          6243 - PAPER SUPPLIES</v>
      </c>
      <c r="C65" s="11"/>
      <c r="D65" s="6">
        <v>3229.02</v>
      </c>
      <c r="E65" s="2"/>
      <c r="F65" s="7">
        <f t="shared" si="30"/>
        <v>8.7627026515084708E-2</v>
      </c>
      <c r="G65" s="2"/>
      <c r="H65" s="6">
        <v>886.72</v>
      </c>
      <c r="I65" s="2"/>
      <c r="J65" s="7">
        <f t="shared" si="31"/>
        <v>2.0471307340646228E-2</v>
      </c>
      <c r="K65" s="2"/>
      <c r="L65" s="6">
        <f t="shared" si="32"/>
        <v>2342.3000000000002</v>
      </c>
      <c r="M65" s="2"/>
      <c r="N65" s="7">
        <f t="shared" si="33"/>
        <v>2.641532840129917</v>
      </c>
      <c r="O65" s="11"/>
      <c r="P65" s="6">
        <v>9558.5</v>
      </c>
      <c r="Q65" s="2"/>
      <c r="R65" s="7">
        <f t="shared" si="34"/>
        <v>3.1851504974862853E-2</v>
      </c>
      <c r="S65" s="2"/>
      <c r="T65" s="6">
        <v>19158.75</v>
      </c>
      <c r="U65" s="2"/>
      <c r="V65" s="7">
        <f t="shared" si="35"/>
        <v>6.1161459101160311E-2</v>
      </c>
      <c r="W65" s="2"/>
      <c r="X65" s="6">
        <f t="shared" si="36"/>
        <v>-9600.25</v>
      </c>
      <c r="Y65" s="2"/>
      <c r="Z65" s="7">
        <f t="shared" si="37"/>
        <v>-0.5010895804788934</v>
      </c>
    </row>
    <row r="66" spans="1:26" s="24" customFormat="1" hidden="1" outlineLevel="2" x14ac:dyDescent="0.25">
      <c r="A66" s="26"/>
      <c r="B66" s="11" t="str">
        <f>CONCATENATE("          ", "6245", " - ", "PRINTING")</f>
        <v xml:space="preserve">          6245 - PRINTING</v>
      </c>
      <c r="C66" s="11"/>
      <c r="D66" s="6">
        <v>748.76</v>
      </c>
      <c r="E66" s="2"/>
      <c r="F66" s="7">
        <f t="shared" si="30"/>
        <v>2.031935769163239E-2</v>
      </c>
      <c r="G66" s="2"/>
      <c r="H66" s="6">
        <v>384.63</v>
      </c>
      <c r="I66" s="2"/>
      <c r="J66" s="7">
        <f t="shared" si="31"/>
        <v>8.8797804745948655E-3</v>
      </c>
      <c r="K66" s="2"/>
      <c r="L66" s="6">
        <f t="shared" si="32"/>
        <v>364.13</v>
      </c>
      <c r="M66" s="2"/>
      <c r="N66" s="7">
        <f t="shared" si="33"/>
        <v>0.94670202532303771</v>
      </c>
      <c r="O66" s="11"/>
      <c r="P66" s="6">
        <v>1213.18</v>
      </c>
      <c r="Q66" s="2"/>
      <c r="R66" s="7">
        <f t="shared" si="34"/>
        <v>4.0426435952716552E-3</v>
      </c>
      <c r="S66" s="2"/>
      <c r="T66" s="6">
        <v>4954.33</v>
      </c>
      <c r="U66" s="2"/>
      <c r="V66" s="7">
        <f t="shared" si="35"/>
        <v>1.5815961462446744E-2</v>
      </c>
      <c r="W66" s="2"/>
      <c r="X66" s="6">
        <f t="shared" si="36"/>
        <v>-3741.1499999999996</v>
      </c>
      <c r="Y66" s="2"/>
      <c r="Z66" s="7">
        <f t="shared" si="37"/>
        <v>-0.75512733306017155</v>
      </c>
    </row>
    <row r="67" spans="1:26" s="24" customFormat="1" hidden="1" outlineLevel="2" x14ac:dyDescent="0.25">
      <c r="A67" s="26"/>
      <c r="B67" s="11" t="str">
        <f>CONCATENATE("          ", "6247", " - ", "STORE SUPPLIES")</f>
        <v xml:space="preserve">          6247 - STORE SUPPLIES</v>
      </c>
      <c r="C67" s="11"/>
      <c r="D67" s="6">
        <v>263.2</v>
      </c>
      <c r="E67" s="2"/>
      <c r="F67" s="7">
        <f t="shared" si="30"/>
        <v>7.1425489401645992E-3</v>
      </c>
      <c r="G67" s="2"/>
      <c r="H67" s="6">
        <v>323.10000000000002</v>
      </c>
      <c r="I67" s="2"/>
      <c r="J67" s="7">
        <f t="shared" si="31"/>
        <v>7.4592649334206933E-3</v>
      </c>
      <c r="K67" s="2"/>
      <c r="L67" s="6">
        <f t="shared" si="32"/>
        <v>-59.900000000000034</v>
      </c>
      <c r="M67" s="2"/>
      <c r="N67" s="7">
        <f t="shared" si="33"/>
        <v>-0.18539151965335818</v>
      </c>
      <c r="O67" s="11"/>
      <c r="P67" s="6">
        <v>6435.76</v>
      </c>
      <c r="Q67" s="2"/>
      <c r="R67" s="7">
        <f t="shared" si="34"/>
        <v>2.1445691442906666E-2</v>
      </c>
      <c r="S67" s="2"/>
      <c r="T67" s="6">
        <v>2321.0100000000002</v>
      </c>
      <c r="U67" s="2"/>
      <c r="V67" s="7">
        <f t="shared" si="35"/>
        <v>7.4094791251195467E-3</v>
      </c>
      <c r="W67" s="2"/>
      <c r="X67" s="6">
        <f t="shared" si="36"/>
        <v>4114.75</v>
      </c>
      <c r="Y67" s="2"/>
      <c r="Z67" s="7">
        <f t="shared" si="37"/>
        <v>1.7728273467154383</v>
      </c>
    </row>
    <row r="68" spans="1:26" s="27" customFormat="1" outlineLevel="1" collapsed="1" x14ac:dyDescent="0.25">
      <c r="A68" s="25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SUM(OSRRefD22_11x_0)</f>
        <v>104.55</v>
      </c>
      <c r="E68" s="1"/>
      <c r="F68" s="5">
        <f t="shared" ref="F68:F71" si="38">IF(D$12=0,0,D68/D$12)</f>
        <v>2.8372093149476021E-3</v>
      </c>
      <c r="G68" s="1"/>
      <c r="H68" s="1">
        <f>SUM(OSRRefH22_11x_0)</f>
        <v>144.19999999999999</v>
      </c>
      <c r="I68" s="1"/>
      <c r="J68" s="5">
        <f t="shared" ref="J68:J71" si="39">IF(H$12=0,0,H68/H$12)</f>
        <v>3.3290807904650687E-3</v>
      </c>
      <c r="K68" s="1"/>
      <c r="L68" s="1">
        <f t="shared" ref="L68:L71" si="40">+D68-H68</f>
        <v>-39.649999999999991</v>
      </c>
      <c r="M68" s="1"/>
      <c r="N68" s="5">
        <f t="shared" ref="N68:N71" si="41">IF(H68=0,0,L68/H68)</f>
        <v>-0.27496532593619971</v>
      </c>
      <c r="O68" s="13"/>
      <c r="P68" s="1">
        <f>SUM(OSRRefP22_11x_0)</f>
        <v>814.95</v>
      </c>
      <c r="Q68" s="1"/>
      <c r="R68" s="5">
        <f t="shared" ref="R68:R71" si="42">IF(P$12=0,0,P68/P$12)</f>
        <v>2.7156336223533484E-3</v>
      </c>
      <c r="S68" s="1"/>
      <c r="T68" s="1">
        <f>SUM(OSRRefT22_11x_0)</f>
        <v>806.1</v>
      </c>
      <c r="U68" s="1"/>
      <c r="V68" s="5">
        <f t="shared" ref="V68:V71" si="43">IF(T$12=0,0,T68/T$12)</f>
        <v>2.573354325383719E-3</v>
      </c>
      <c r="W68" s="1"/>
      <c r="X68" s="1">
        <f t="shared" ref="X68:X71" si="44">+P68-T68</f>
        <v>8.8500000000000227</v>
      </c>
      <c r="Y68" s="1"/>
      <c r="Z68" s="5">
        <f t="shared" ref="Z68:Z71" si="45">IF(T68=0,0,X68/T68)</f>
        <v>1.0978786751023473E-2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>
        <v>104.55</v>
      </c>
      <c r="E69" s="2"/>
      <c r="F69" s="7">
        <f t="shared" si="38"/>
        <v>2.8372093149476021E-3</v>
      </c>
      <c r="G69" s="2"/>
      <c r="H69" s="6">
        <v>144.19999999999999</v>
      </c>
      <c r="I69" s="2"/>
      <c r="J69" s="7">
        <f t="shared" si="39"/>
        <v>3.3290807904650687E-3</v>
      </c>
      <c r="K69" s="2"/>
      <c r="L69" s="6">
        <f t="shared" si="40"/>
        <v>-39.649999999999991</v>
      </c>
      <c r="M69" s="2"/>
      <c r="N69" s="7">
        <f t="shared" si="41"/>
        <v>-0.27496532593619971</v>
      </c>
      <c r="O69" s="11"/>
      <c r="P69" s="6">
        <v>814.95</v>
      </c>
      <c r="Q69" s="2"/>
      <c r="R69" s="7">
        <f t="shared" si="42"/>
        <v>2.7156336223533484E-3</v>
      </c>
      <c r="S69" s="2"/>
      <c r="T69" s="6">
        <v>806.1</v>
      </c>
      <c r="U69" s="2"/>
      <c r="V69" s="7">
        <f t="shared" si="43"/>
        <v>2.573354325383719E-3</v>
      </c>
      <c r="W69" s="2"/>
      <c r="X69" s="6">
        <f t="shared" si="44"/>
        <v>8.8500000000000227</v>
      </c>
      <c r="Y69" s="2"/>
      <c r="Z69" s="7">
        <f t="shared" si="45"/>
        <v>1.0978786751023473E-2</v>
      </c>
    </row>
    <row r="70" spans="1:26" s="27" customFormat="1" outlineLevel="1" collapsed="1" x14ac:dyDescent="0.25">
      <c r="A70" s="25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SUM(OSRRefD22_12x_0)</f>
        <v>0</v>
      </c>
      <c r="E70" s="1"/>
      <c r="F70" s="5">
        <f t="shared" si="38"/>
        <v>0</v>
      </c>
      <c r="G70" s="1"/>
      <c r="H70" s="1">
        <f>SUM(OSRRefH22_12x_0)</f>
        <v>0</v>
      </c>
      <c r="I70" s="1"/>
      <c r="J70" s="5">
        <f t="shared" si="39"/>
        <v>0</v>
      </c>
      <c r="K70" s="1"/>
      <c r="L70" s="1">
        <f t="shared" si="40"/>
        <v>0</v>
      </c>
      <c r="M70" s="1"/>
      <c r="N70" s="5">
        <f t="shared" si="41"/>
        <v>0</v>
      </c>
      <c r="O70" s="13"/>
      <c r="P70" s="1">
        <f>SUM(OSRRefP22_12x_0)</f>
        <v>97.71</v>
      </c>
      <c r="Q70" s="1"/>
      <c r="R70" s="5">
        <f t="shared" si="42"/>
        <v>3.2559612398324516E-4</v>
      </c>
      <c r="S70" s="1"/>
      <c r="T70" s="1">
        <f>SUM(OSRRefT22_12x_0)</f>
        <v>0</v>
      </c>
      <c r="U70" s="1"/>
      <c r="V70" s="5">
        <f t="shared" si="43"/>
        <v>0</v>
      </c>
      <c r="W70" s="1"/>
      <c r="X70" s="1">
        <f t="shared" si="44"/>
        <v>97.71</v>
      </c>
      <c r="Y70" s="1"/>
      <c r="Z70" s="5">
        <f t="shared" si="45"/>
        <v>0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38"/>
        <v>0</v>
      </c>
      <c r="G71" s="2"/>
      <c r="H71" s="6"/>
      <c r="I71" s="2"/>
      <c r="J71" s="7">
        <f t="shared" si="39"/>
        <v>0</v>
      </c>
      <c r="K71" s="2"/>
      <c r="L71" s="6">
        <f t="shared" si="40"/>
        <v>0</v>
      </c>
      <c r="M71" s="2"/>
      <c r="N71" s="7">
        <f t="shared" si="41"/>
        <v>0</v>
      </c>
      <c r="O71" s="11"/>
      <c r="P71" s="6">
        <v>97.71</v>
      </c>
      <c r="Q71" s="2"/>
      <c r="R71" s="7">
        <f t="shared" si="42"/>
        <v>3.2559612398324516E-4</v>
      </c>
      <c r="S71" s="2"/>
      <c r="T71" s="6"/>
      <c r="U71" s="2"/>
      <c r="V71" s="7">
        <f t="shared" si="43"/>
        <v>0</v>
      </c>
      <c r="W71" s="2"/>
      <c r="X71" s="6">
        <f t="shared" si="44"/>
        <v>97.71</v>
      </c>
      <c r="Y71" s="2"/>
      <c r="Z71" s="7">
        <f t="shared" si="45"/>
        <v>0</v>
      </c>
    </row>
    <row r="72" spans="1:26" s="61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8" t="s">
        <v>0</v>
      </c>
      <c r="C73" s="10"/>
      <c r="D73" s="4">
        <f>SUM(OSRRefD25x_0)</f>
        <v>13269</v>
      </c>
      <c r="E73" s="4"/>
      <c r="F73" s="12">
        <f t="shared" ref="F73:F74" si="46">IF(D$12=0,0,D73/D$12)</f>
        <v>0.36008541750396683</v>
      </c>
      <c r="G73" s="4"/>
      <c r="H73" s="4">
        <f>SUM(OSRRefH25x_0)</f>
        <v>12083</v>
      </c>
      <c r="I73" s="4"/>
      <c r="J73" s="12">
        <f t="shared" ref="J73:J74" si="47">IF(H$12=0,0,H73/H$12)</f>
        <v>0.2789548071511056</v>
      </c>
      <c r="K73" s="4"/>
      <c r="L73" s="4">
        <f t="shared" ref="L73:L74" si="48">+D73-H73</f>
        <v>1186</v>
      </c>
      <c r="M73" s="4"/>
      <c r="N73" s="12">
        <f t="shared" ref="N73:N74" si="49">IF(H73=0,0,L73/H73)</f>
        <v>9.8154431846395759E-2</v>
      </c>
      <c r="O73" s="10"/>
      <c r="P73" s="4">
        <f>SUM(OSRRefP25x_0)</f>
        <v>79614</v>
      </c>
      <c r="Q73" s="4"/>
      <c r="R73" s="12">
        <f t="shared" ref="R73:R74" si="50">IF(P$12=0,0,P73/P$12)</f>
        <v>0.26529536193636355</v>
      </c>
      <c r="S73" s="4"/>
      <c r="T73" s="4">
        <f>SUM(OSRRefT25x_0)</f>
        <v>72498</v>
      </c>
      <c r="U73" s="4"/>
      <c r="V73" s="12">
        <f t="shared" ref="V73:V74" si="51">IF(T$12=0,0,T73/T$12)</f>
        <v>0.23143907937187552</v>
      </c>
      <c r="W73" s="4"/>
      <c r="X73" s="4">
        <f t="shared" ref="X73:X74" si="52">+P73-T73</f>
        <v>7116</v>
      </c>
      <c r="Y73" s="4"/>
      <c r="Z73" s="12">
        <f t="shared" ref="Z73:Z74" si="53">IF(T73=0,0,X73/T73)</f>
        <v>9.8154431846395759E-2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--13269</f>
        <v>13269</v>
      </c>
      <c r="E74" s="2"/>
      <c r="F74" s="19">
        <f t="shared" si="46"/>
        <v>0.36008541750396683</v>
      </c>
      <c r="G74" s="2"/>
      <c r="H74" s="2">
        <f>--12083</f>
        <v>12083</v>
      </c>
      <c r="I74" s="2"/>
      <c r="J74" s="19">
        <f t="shared" si="47"/>
        <v>0.2789548071511056</v>
      </c>
      <c r="K74" s="2"/>
      <c r="L74" s="2">
        <f t="shared" si="48"/>
        <v>1186</v>
      </c>
      <c r="M74" s="2"/>
      <c r="N74" s="19">
        <f t="shared" si="49"/>
        <v>9.8154431846395759E-2</v>
      </c>
      <c r="O74" s="11"/>
      <c r="P74" s="2">
        <f>--79614</f>
        <v>79614</v>
      </c>
      <c r="Q74" s="2"/>
      <c r="R74" s="19">
        <f t="shared" si="50"/>
        <v>0.26529536193636355</v>
      </c>
      <c r="S74" s="2"/>
      <c r="T74" s="2">
        <f>--72498</f>
        <v>72498</v>
      </c>
      <c r="U74" s="2"/>
      <c r="V74" s="19">
        <f t="shared" si="51"/>
        <v>0.23143907937187552</v>
      </c>
      <c r="W74" s="2"/>
      <c r="X74" s="2">
        <f t="shared" si="52"/>
        <v>7116</v>
      </c>
      <c r="Y74" s="2"/>
      <c r="Z74" s="19">
        <f t="shared" si="53"/>
        <v>9.8154431846395759E-2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0">
        <f>+D28-D30+D73</f>
        <v>1684.510000000002</v>
      </c>
      <c r="E76" s="14"/>
      <c r="F76" s="21">
        <f>IF(D$12=0,0,D76/D$12)</f>
        <v>4.571312733737342E-2</v>
      </c>
      <c r="G76" s="14"/>
      <c r="H76" s="20">
        <f>+H28-H30+H73</f>
        <v>20238.320000000007</v>
      </c>
      <c r="I76" s="14"/>
      <c r="J76" s="21">
        <f>IF(H$12=0,0,H76/H$12)</f>
        <v>0.46723302595898086</v>
      </c>
      <c r="K76" s="15"/>
      <c r="L76" s="20">
        <f>+D76-H76</f>
        <v>-18553.810000000005</v>
      </c>
      <c r="M76" s="15"/>
      <c r="N76" s="21">
        <f>IF(H76=0,0,L76/H76)</f>
        <v>-0.9167663126188339</v>
      </c>
      <c r="O76" s="28"/>
      <c r="P76" s="20">
        <f>+P28-P30+P73</f>
        <v>107263.30999999994</v>
      </c>
      <c r="Q76" s="14"/>
      <c r="R76" s="21">
        <f>IF(P$12=0,0,P76/P$12)</f>
        <v>0.35743033447562422</v>
      </c>
      <c r="S76" s="14"/>
      <c r="T76" s="20">
        <f>+T28-T30+T73</f>
        <v>106481.84000000003</v>
      </c>
      <c r="U76" s="14"/>
      <c r="V76" s="21">
        <f>IF(T$12=0,0,T76/T$12)</f>
        <v>0.33992743274881176</v>
      </c>
      <c r="W76" s="15"/>
      <c r="X76" s="20">
        <f>+P76-T76</f>
        <v>781.46999999991385</v>
      </c>
      <c r="Y76" s="15"/>
      <c r="Z76" s="21">
        <f>IF(T76=0,0,X76/T76)</f>
        <v>7.3389978986080039E-3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>
        <v>4536.67</v>
      </c>
      <c r="E78" s="4"/>
      <c r="F78" s="12">
        <f>IF(D$12=0,0,D78/D$12)</f>
        <v>0.12311317439352787</v>
      </c>
      <c r="G78" s="4"/>
      <c r="H78" s="4">
        <v>5401.23</v>
      </c>
      <c r="I78" s="4"/>
      <c r="J78" s="12">
        <f>IF(H$12=0,0,H78/H$12)</f>
        <v>0.12469577696174511</v>
      </c>
      <c r="K78" s="4"/>
      <c r="L78" s="4">
        <f>+D78-H78</f>
        <v>-864.55999999999949</v>
      </c>
      <c r="M78" s="4"/>
      <c r="N78" s="12">
        <f>IF(H78=0,0,L78/H78)</f>
        <v>-0.16006724394258337</v>
      </c>
      <c r="O78" s="10"/>
      <c r="P78" s="4">
        <v>32412.649999999998</v>
      </c>
      <c r="Q78" s="4"/>
      <c r="R78" s="12">
        <f>IF(P$12=0,0,P78/P$12)</f>
        <v>0.10800770860736394</v>
      </c>
      <c r="S78" s="4"/>
      <c r="T78" s="4">
        <v>33804.28</v>
      </c>
      <c r="U78" s="4"/>
      <c r="V78" s="12">
        <f>IF(T$12=0,0,T78/T$12)</f>
        <v>0.10791513479032669</v>
      </c>
      <c r="W78" s="4"/>
      <c r="X78" s="4">
        <f>+P78-T78</f>
        <v>-1391.630000000001</v>
      </c>
      <c r="Y78" s="4"/>
      <c r="Z78" s="12">
        <f>IF(T78=0,0,X78/T78)</f>
        <v>-4.1167272309896884E-2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2">
        <f>+D76-D78</f>
        <v>-2852.159999999998</v>
      </c>
      <c r="E80" s="14"/>
      <c r="F80" s="30">
        <f>IF(D$12=0,0,D80/D$12)</f>
        <v>-7.7400047056154442E-2</v>
      </c>
      <c r="G80" s="14"/>
      <c r="H80" s="32">
        <f>+H76-H78</f>
        <v>14837.090000000007</v>
      </c>
      <c r="I80" s="14"/>
      <c r="J80" s="30">
        <f>IF(H$12=0,0,H80/H$12)</f>
        <v>0.34253724899723575</v>
      </c>
      <c r="K80" s="15"/>
      <c r="L80" s="32">
        <f>D80-H80</f>
        <v>-17689.250000000007</v>
      </c>
      <c r="M80" s="15"/>
      <c r="N80" s="30">
        <f>IF(H80=0,0,L80/H80)</f>
        <v>-1.192231765123754</v>
      </c>
      <c r="O80" s="28"/>
      <c r="P80" s="32">
        <f>+P76-P78</f>
        <v>74850.659999999945</v>
      </c>
      <c r="Q80" s="14"/>
      <c r="R80" s="30">
        <f>IF(P$12=0,0,P80/P$12)</f>
        <v>0.24942262586826031</v>
      </c>
      <c r="S80" s="14"/>
      <c r="T80" s="32">
        <f>+T76-T78</f>
        <v>72677.560000000027</v>
      </c>
      <c r="U80" s="14"/>
      <c r="V80" s="30">
        <f>IF(T$12=0,0,T80/T$12)</f>
        <v>0.2320122979584851</v>
      </c>
      <c r="W80" s="15"/>
      <c r="X80" s="32">
        <f>P80-T80</f>
        <v>2173.0999999999185</v>
      </c>
      <c r="Y80" s="15"/>
      <c r="Z80" s="30">
        <f>IF(T80=0,0,X80/T80)</f>
        <v>2.9900563530199938E-2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6">
        <f>SUM(D80:D82)</f>
        <v>-2852.159999999998</v>
      </c>
      <c r="E83" s="14"/>
      <c r="F83" s="31">
        <f>IF(D$12=0,0,D83/D$12)</f>
        <v>-7.7400047056154442E-2</v>
      </c>
      <c r="G83" s="14"/>
      <c r="H83" s="36">
        <f>SUM(H80:H82)</f>
        <v>14837.090000000007</v>
      </c>
      <c r="I83" s="14"/>
      <c r="J83" s="31">
        <f>IF(H$12=0,0,H83/H$12)</f>
        <v>0.34253724899723575</v>
      </c>
      <c r="K83" s="15"/>
      <c r="L83" s="36">
        <f>+D83-H83</f>
        <v>-17689.250000000007</v>
      </c>
      <c r="M83" s="15"/>
      <c r="N83" s="31">
        <f>IF(H83=0,0,L83/H83)</f>
        <v>-1.192231765123754</v>
      </c>
      <c r="O83" s="28"/>
      <c r="P83" s="36">
        <f>SUM(P80:P82)</f>
        <v>74850.659999999945</v>
      </c>
      <c r="Q83" s="14"/>
      <c r="R83" s="31">
        <f>IF(P$12=0,0,P83/P$12)</f>
        <v>0.24942262586826031</v>
      </c>
      <c r="S83" s="14"/>
      <c r="T83" s="36">
        <f>SUM(T80:T82)</f>
        <v>72677.560000000027</v>
      </c>
      <c r="U83" s="14"/>
      <c r="V83" s="31">
        <f>IF(T$12=0,0,T83/T$12)</f>
        <v>0.2320122979584851</v>
      </c>
      <c r="W83" s="15"/>
      <c r="X83" s="36">
        <f>+P83-T83</f>
        <v>2173.0999999999185</v>
      </c>
      <c r="Y83" s="15"/>
      <c r="Z83" s="31">
        <f>IF(T83=0,0,X83/T83)</f>
        <v>2.9900563530199938E-2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62">
        <v>43847.453768206018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6" t="s">
        <v>313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4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","320", " - ", "Customer Service (old)")</f>
        <v>Department 320 - Customer Service (old)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238.65</v>
      </c>
      <c r="E12" s="4"/>
      <c r="F12" s="12"/>
      <c r="G12" s="4"/>
      <c r="H12" s="4">
        <f>SUM(OSRRefH13x_0)</f>
        <v>365.78000000000003</v>
      </c>
      <c r="I12" s="4"/>
      <c r="J12" s="12"/>
      <c r="K12" s="4"/>
      <c r="L12" s="4">
        <f t="shared" ref="L12:L16" si="0">+D12-H12</f>
        <v>-127.13000000000002</v>
      </c>
      <c r="M12" s="4"/>
      <c r="N12" s="12">
        <f t="shared" ref="N12:N16" si="1">IF(H12=0,0,L12/H12)</f>
        <v>-0.34755864180655044</v>
      </c>
      <c r="O12" s="10"/>
      <c r="P12" s="4">
        <f>SUM(OSRRefP13x_0)</f>
        <v>7548.8899999999994</v>
      </c>
      <c r="Q12" s="4"/>
      <c r="R12" s="12"/>
      <c r="S12" s="4"/>
      <c r="T12" s="4">
        <f>SUM(OSRRefT13x_0)</f>
        <v>7603.04</v>
      </c>
      <c r="U12" s="4"/>
      <c r="V12" s="12"/>
      <c r="W12" s="4"/>
      <c r="X12" s="4">
        <f t="shared" ref="X12:X16" si="2">+P12-T12</f>
        <v>-54.150000000000546</v>
      </c>
      <c r="Y12" s="4"/>
      <c r="Z12" s="12">
        <f t="shared" ref="Z12:Z16" si="3">IF(T12=0,0,X12/T12)</f>
        <v>-7.1221511395442539E-3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>--218.75</f>
        <v>218.75</v>
      </c>
      <c r="E13" s="2"/>
      <c r="F13" s="19"/>
      <c r="G13" s="2"/>
      <c r="H13" s="2">
        <f>--334.6</f>
        <v>334.6</v>
      </c>
      <c r="I13" s="2"/>
      <c r="J13" s="19"/>
      <c r="K13" s="2"/>
      <c r="L13" s="2">
        <f t="shared" si="0"/>
        <v>-115.85000000000002</v>
      </c>
      <c r="M13" s="2"/>
      <c r="N13" s="19">
        <f t="shared" si="1"/>
        <v>-0.34623430962343099</v>
      </c>
      <c r="O13" s="11"/>
      <c r="P13" s="2">
        <f>--7699.32</f>
        <v>7699.32</v>
      </c>
      <c r="Q13" s="2"/>
      <c r="R13" s="19"/>
      <c r="S13" s="2"/>
      <c r="T13" s="2">
        <f>--6961.06</f>
        <v>6961.06</v>
      </c>
      <c r="U13" s="2"/>
      <c r="V13" s="19"/>
      <c r="W13" s="2"/>
      <c r="X13" s="2">
        <f t="shared" si="2"/>
        <v>738.25999999999931</v>
      </c>
      <c r="Y13" s="2"/>
      <c r="Z13" s="19">
        <f t="shared" si="3"/>
        <v>0.10605568692124465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--19.9</f>
        <v>19.899999999999999</v>
      </c>
      <c r="E14" s="2"/>
      <c r="F14" s="19"/>
      <c r="G14" s="2"/>
      <c r="H14" s="2">
        <f>--91.18</f>
        <v>91.18</v>
      </c>
      <c r="I14" s="2"/>
      <c r="J14" s="19"/>
      <c r="K14" s="2"/>
      <c r="L14" s="2">
        <f t="shared" si="0"/>
        <v>-71.28</v>
      </c>
      <c r="M14" s="2"/>
      <c r="N14" s="19">
        <f t="shared" si="1"/>
        <v>-0.78175038385610873</v>
      </c>
      <c r="O14" s="11"/>
      <c r="P14" s="2">
        <f>--268.62</f>
        <v>268.62</v>
      </c>
      <c r="Q14" s="2"/>
      <c r="R14" s="19"/>
      <c r="S14" s="2"/>
      <c r="T14" s="2">
        <f>--1316.94</f>
        <v>1316.94</v>
      </c>
      <c r="U14" s="2"/>
      <c r="V14" s="19"/>
      <c r="W14" s="2"/>
      <c r="X14" s="2">
        <f t="shared" si="2"/>
        <v>-1048.3200000000002</v>
      </c>
      <c r="Y14" s="2"/>
      <c r="Z14" s="19">
        <f t="shared" si="3"/>
        <v>-0.79602715385666778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ref="D15:D16" si="4">0</f>
        <v>0</v>
      </c>
      <c r="E15" s="2"/>
      <c r="F15" s="19"/>
      <c r="G15" s="2"/>
      <c r="H15" s="2">
        <f>-60</f>
        <v>-60</v>
      </c>
      <c r="I15" s="2"/>
      <c r="J15" s="19"/>
      <c r="K15" s="2"/>
      <c r="L15" s="2">
        <f t="shared" si="0"/>
        <v>60</v>
      </c>
      <c r="M15" s="2"/>
      <c r="N15" s="19">
        <f t="shared" si="1"/>
        <v>-1</v>
      </c>
      <c r="O15" s="11"/>
      <c r="P15" s="2">
        <f>-419.05</f>
        <v>-419.05</v>
      </c>
      <c r="Q15" s="2"/>
      <c r="R15" s="19"/>
      <c r="S15" s="2"/>
      <c r="T15" s="2">
        <f>-548.24</f>
        <v>-548.24</v>
      </c>
      <c r="U15" s="2"/>
      <c r="V15" s="19"/>
      <c r="W15" s="2"/>
      <c r="X15" s="2">
        <f t="shared" si="2"/>
        <v>129.19</v>
      </c>
      <c r="Y15" s="2"/>
      <c r="Z15" s="19">
        <f t="shared" si="3"/>
        <v>-0.23564497300452356</v>
      </c>
    </row>
    <row r="16" spans="1:26" s="24" customFormat="1" hidden="1" outlineLevel="1" x14ac:dyDescent="0.25">
      <c r="A16" s="44"/>
      <c r="B16" s="11" t="str">
        <f>CONCATENATE("          ", "4295", " - ", "SALES RETURN TAXABLE-CUSTOMER")</f>
        <v xml:space="preserve">          4295 - SALES RETURN TAXABLE-CUSTOMER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-126.72</f>
        <v>-126.72</v>
      </c>
      <c r="U16" s="2"/>
      <c r="V16" s="19"/>
      <c r="W16" s="2"/>
      <c r="X16" s="2">
        <f t="shared" si="2"/>
        <v>126.72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115</v>
      </c>
      <c r="E18" s="4"/>
      <c r="F18" s="12">
        <f t="shared" ref="F18:F23" si="5">IF(D$12=0,0,D18/D$12)</f>
        <v>0.48187722606327255</v>
      </c>
      <c r="G18" s="4"/>
      <c r="H18" s="4">
        <f>SUM(OSRRefH16x_0)</f>
        <v>113.12</v>
      </c>
      <c r="I18" s="4"/>
      <c r="J18" s="12">
        <f t="shared" ref="J18:J23" si="6">IF(H$12=0,0,H18/H$12)</f>
        <v>0.3092569303953196</v>
      </c>
      <c r="K18" s="4"/>
      <c r="L18" s="4">
        <f t="shared" ref="L18:L23" si="7">+D18-H18</f>
        <v>1.8799999999999955</v>
      </c>
      <c r="M18" s="4"/>
      <c r="N18" s="12">
        <f t="shared" ref="N18:N23" si="8">IF(H18=0,0,L18/H18)</f>
        <v>1.6619519094766579E-2</v>
      </c>
      <c r="O18" s="10"/>
      <c r="P18" s="4">
        <f>SUM(OSRRefP16x_0)</f>
        <v>3803.1200000000003</v>
      </c>
      <c r="Q18" s="4"/>
      <c r="R18" s="12">
        <f t="shared" ref="R18:R23" si="9">IF(P$12=0,0,P18/P$12)</f>
        <v>0.50379857171054299</v>
      </c>
      <c r="S18" s="4"/>
      <c r="T18" s="4">
        <f>SUM(OSRRefT16x_0)</f>
        <v>2623.6600000000003</v>
      </c>
      <c r="U18" s="4"/>
      <c r="V18" s="12">
        <f t="shared" ref="V18:V23" si="10">IF(T$12=0,0,T18/T$12)</f>
        <v>0.34508038889707277</v>
      </c>
      <c r="W18" s="4"/>
      <c r="X18" s="4">
        <f t="shared" ref="X18:X23" si="11">+P18-T18</f>
        <v>1179.46</v>
      </c>
      <c r="Y18" s="4"/>
      <c r="Z18" s="12">
        <f t="shared" ref="Z18:Z23" si="12">IF(T18=0,0,X18/T18)</f>
        <v>0.44954757857344319</v>
      </c>
    </row>
    <row r="19" spans="1:26" s="24" customFormat="1" hidden="1" outlineLevel="1" x14ac:dyDescent="0.25">
      <c r="A19" s="44"/>
      <c r="B19" s="11" t="str">
        <f>CONCATENATE("          ", "5092", " - ", "PURCHASES @ COST-GRAD MERCH")</f>
        <v xml:space="preserve">          5092 - PURCHASES @ COST-GRAD MERCH</v>
      </c>
      <c r="C19" s="11"/>
      <c r="D19" s="2"/>
      <c r="E19" s="2"/>
      <c r="F19" s="19">
        <f t="shared" si="5"/>
        <v>0</v>
      </c>
      <c r="G19" s="2"/>
      <c r="H19" s="2">
        <v>828</v>
      </c>
      <c r="I19" s="2"/>
      <c r="J19" s="19">
        <f t="shared" si="6"/>
        <v>2.2636557493575373</v>
      </c>
      <c r="K19" s="2"/>
      <c r="L19" s="2">
        <f t="shared" si="7"/>
        <v>-828</v>
      </c>
      <c r="M19" s="2"/>
      <c r="N19" s="19">
        <f t="shared" si="8"/>
        <v>-1</v>
      </c>
      <c r="O19" s="11"/>
      <c r="P19" s="2">
        <v>1984.49</v>
      </c>
      <c r="Q19" s="2"/>
      <c r="R19" s="19">
        <f t="shared" si="9"/>
        <v>0.26288500693479439</v>
      </c>
      <c r="S19" s="2"/>
      <c r="T19" s="2">
        <v>-1870.04</v>
      </c>
      <c r="U19" s="2"/>
      <c r="V19" s="19">
        <f t="shared" si="10"/>
        <v>-0.24595951093246912</v>
      </c>
      <c r="W19" s="2"/>
      <c r="X19" s="2">
        <f t="shared" si="11"/>
        <v>3854.5299999999997</v>
      </c>
      <c r="Y19" s="2"/>
      <c r="Z19" s="19">
        <f t="shared" si="12"/>
        <v>-2.0612018994246113</v>
      </c>
    </row>
    <row r="20" spans="1:26" s="24" customFormat="1" hidden="1" outlineLevel="1" x14ac:dyDescent="0.25">
      <c r="A20" s="44"/>
      <c r="B20" s="11" t="str">
        <f>CONCATENATE("          ", "5095", " - ", "PURCHASES @ COST-CUSTOMER SERV")</f>
        <v xml:space="preserve">          5095 - PURCHASES @ COST-CUSTOMER SERV</v>
      </c>
      <c r="C20" s="11"/>
      <c r="D20" s="2"/>
      <c r="E20" s="2"/>
      <c r="F20" s="19">
        <f t="shared" si="5"/>
        <v>0</v>
      </c>
      <c r="G20" s="2"/>
      <c r="H20" s="2">
        <v>-2.88</v>
      </c>
      <c r="I20" s="2"/>
      <c r="J20" s="19">
        <f t="shared" si="6"/>
        <v>-7.8735852151566501E-3</v>
      </c>
      <c r="K20" s="2"/>
      <c r="L20" s="2">
        <f t="shared" si="7"/>
        <v>2.88</v>
      </c>
      <c r="M20" s="2"/>
      <c r="N20" s="19">
        <f t="shared" si="8"/>
        <v>-1</v>
      </c>
      <c r="O20" s="11"/>
      <c r="P20" s="2">
        <v>11.85</v>
      </c>
      <c r="Q20" s="2"/>
      <c r="R20" s="19">
        <f t="shared" si="9"/>
        <v>1.5697672108084765E-3</v>
      </c>
      <c r="S20" s="2"/>
      <c r="T20" s="2">
        <v>-57.6</v>
      </c>
      <c r="U20" s="2"/>
      <c r="V20" s="19">
        <f t="shared" si="10"/>
        <v>-7.5759170016204049E-3</v>
      </c>
      <c r="W20" s="2"/>
      <c r="X20" s="2">
        <f t="shared" si="11"/>
        <v>69.45</v>
      </c>
      <c r="Y20" s="2"/>
      <c r="Z20" s="19">
        <f t="shared" si="12"/>
        <v>-1.2057291666666667</v>
      </c>
    </row>
    <row r="21" spans="1:26" s="24" customFormat="1" hidden="1" outlineLevel="1" x14ac:dyDescent="0.25">
      <c r="A21" s="44"/>
      <c r="B21" s="11" t="str">
        <f>CONCATENATE("          ", "5200", " - ", "PURCHASES OFFSET")</f>
        <v xml:space="preserve">          5200 - PURCHASES OFFSET</v>
      </c>
      <c r="C21" s="11"/>
      <c r="D21" s="2"/>
      <c r="E21" s="2"/>
      <c r="F21" s="19">
        <f t="shared" si="5"/>
        <v>0</v>
      </c>
      <c r="G21" s="2"/>
      <c r="H21" s="2">
        <v>-825</v>
      </c>
      <c r="I21" s="2"/>
      <c r="J21" s="19">
        <f t="shared" si="6"/>
        <v>-2.2554540980917488</v>
      </c>
      <c r="K21" s="2"/>
      <c r="L21" s="2">
        <f t="shared" si="7"/>
        <v>825</v>
      </c>
      <c r="M21" s="2"/>
      <c r="N21" s="19">
        <f t="shared" si="8"/>
        <v>-1</v>
      </c>
      <c r="O21" s="11"/>
      <c r="P21" s="2">
        <v>-2103</v>
      </c>
      <c r="Q21" s="2"/>
      <c r="R21" s="19">
        <f t="shared" si="9"/>
        <v>-0.27858400374094738</v>
      </c>
      <c r="S21" s="2"/>
      <c r="T21" s="2">
        <v>1815</v>
      </c>
      <c r="U21" s="2"/>
      <c r="V21" s="19">
        <f t="shared" si="10"/>
        <v>0.23872030135314296</v>
      </c>
      <c r="W21" s="2"/>
      <c r="X21" s="2">
        <f t="shared" si="11"/>
        <v>-3918</v>
      </c>
      <c r="Y21" s="2"/>
      <c r="Z21" s="19">
        <f t="shared" si="12"/>
        <v>-2.1586776859504133</v>
      </c>
    </row>
    <row r="22" spans="1:26" s="24" customFormat="1" hidden="1" outlineLevel="1" x14ac:dyDescent="0.25">
      <c r="A22" s="44"/>
      <c r="B22" s="11" t="str">
        <f>CONCATENATE("          ", "5300", " - ", "COG$ OFFSET")</f>
        <v xml:space="preserve">          5300 - COG$ OFFSET</v>
      </c>
      <c r="C22" s="11"/>
      <c r="D22" s="2">
        <v>115</v>
      </c>
      <c r="E22" s="2"/>
      <c r="F22" s="19">
        <f t="shared" si="5"/>
        <v>0.48187722606327255</v>
      </c>
      <c r="G22" s="2"/>
      <c r="H22" s="2">
        <v>113</v>
      </c>
      <c r="I22" s="2"/>
      <c r="J22" s="19">
        <f t="shared" si="6"/>
        <v>0.30892886434468803</v>
      </c>
      <c r="K22" s="2"/>
      <c r="L22" s="2">
        <f t="shared" si="7"/>
        <v>2</v>
      </c>
      <c r="M22" s="2"/>
      <c r="N22" s="19">
        <f t="shared" si="8"/>
        <v>1.7699115044247787E-2</v>
      </c>
      <c r="O22" s="11"/>
      <c r="P22" s="2">
        <v>3804</v>
      </c>
      <c r="Q22" s="2"/>
      <c r="R22" s="19">
        <f t="shared" si="9"/>
        <v>0.50391514514054392</v>
      </c>
      <c r="S22" s="2"/>
      <c r="T22" s="2">
        <v>2622</v>
      </c>
      <c r="U22" s="2"/>
      <c r="V22" s="19">
        <f t="shared" si="10"/>
        <v>0.34486205517792884</v>
      </c>
      <c r="W22" s="2"/>
      <c r="X22" s="2">
        <f t="shared" si="11"/>
        <v>1182</v>
      </c>
      <c r="Y22" s="2"/>
      <c r="Z22" s="19">
        <f t="shared" si="12"/>
        <v>0.45080091533180777</v>
      </c>
    </row>
    <row r="23" spans="1:26" s="24" customFormat="1" hidden="1" outlineLevel="1" x14ac:dyDescent="0.25">
      <c r="A23" s="44"/>
      <c r="B23" s="11" t="str">
        <f>CONCATENATE("          ", "5592", " - ", "FREIGHT-IN-GRAD MERCH")</f>
        <v xml:space="preserve">          5592 - FREIGHT-IN-GRAD MERCH</v>
      </c>
      <c r="C23" s="11"/>
      <c r="D23" s="2"/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0</v>
      </c>
      <c r="M23" s="2"/>
      <c r="N23" s="19">
        <f t="shared" si="8"/>
        <v>0</v>
      </c>
      <c r="O23" s="11"/>
      <c r="P23" s="2">
        <v>105.78</v>
      </c>
      <c r="Q23" s="2"/>
      <c r="R23" s="19">
        <f t="shared" si="9"/>
        <v>1.4012656165343515E-2</v>
      </c>
      <c r="S23" s="2"/>
      <c r="T23" s="2">
        <v>114.3</v>
      </c>
      <c r="U23" s="2"/>
      <c r="V23" s="19">
        <f t="shared" si="10"/>
        <v>1.5033460300090489E-2</v>
      </c>
      <c r="W23" s="2"/>
      <c r="X23" s="2">
        <f t="shared" si="11"/>
        <v>-8.519999999999996</v>
      </c>
      <c r="Y23" s="2"/>
      <c r="Z23" s="19">
        <f t="shared" si="12"/>
        <v>-7.4540682414698134E-2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0">
        <f>D12-D18</f>
        <v>123.65</v>
      </c>
      <c r="E25" s="14"/>
      <c r="F25" s="21">
        <f>IF(D$12=0,0,D25/D$12)</f>
        <v>0.51812277393672745</v>
      </c>
      <c r="G25" s="14"/>
      <c r="H25" s="20">
        <f>H12-H18</f>
        <v>252.66000000000003</v>
      </c>
      <c r="I25" s="14"/>
      <c r="J25" s="21">
        <f>IF(H$12=0,0,H25/H$12)</f>
        <v>0.69074306960468046</v>
      </c>
      <c r="K25" s="15"/>
      <c r="L25" s="20">
        <f>+D25-H25</f>
        <v>-129.01000000000002</v>
      </c>
      <c r="M25" s="15"/>
      <c r="N25" s="21">
        <f>IF(H25=0,0,L25/H25)</f>
        <v>-0.51060714003008001</v>
      </c>
      <c r="O25" s="28"/>
      <c r="P25" s="20">
        <f>P12-P18</f>
        <v>3745.7699999999991</v>
      </c>
      <c r="Q25" s="14"/>
      <c r="R25" s="21">
        <f>IF(P$12=0,0,P25/P$12)</f>
        <v>0.49620142828945701</v>
      </c>
      <c r="S25" s="14"/>
      <c r="T25" s="20">
        <f>T12-T18</f>
        <v>4979.3799999999992</v>
      </c>
      <c r="U25" s="14"/>
      <c r="V25" s="21">
        <f>IF(T$12=0,0,T25/T$12)</f>
        <v>0.65491961110292718</v>
      </c>
      <c r="W25" s="15"/>
      <c r="X25" s="20">
        <f>+P25-T25</f>
        <v>-1233.6100000000001</v>
      </c>
      <c r="Y25" s="15"/>
      <c r="Z25" s="21">
        <f>IF(T25=0,0,X25/T25)</f>
        <v>-0.24774369499817253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2">
        <f>SUM(OSRRefD22x_0)</f>
        <v>-489.4499999999997</v>
      </c>
      <c r="E27" s="22"/>
      <c r="F27" s="33">
        <f t="shared" ref="F27:F36" si="13">IF(D$12=0,0,D27/D$12)</f>
        <v>-2.0509113764927704</v>
      </c>
      <c r="G27" s="22"/>
      <c r="H27" s="22">
        <f>SUM(OSRRefH22x_0)</f>
        <v>2088.98</v>
      </c>
      <c r="I27" s="22"/>
      <c r="J27" s="33">
        <f t="shared" ref="J27:J36" si="14">IF(H$12=0,0,H27/H$12)</f>
        <v>5.7110284870687291</v>
      </c>
      <c r="K27" s="4"/>
      <c r="L27" s="22">
        <f t="shared" ref="L27:L36" si="15">+D27-H27</f>
        <v>-2578.4299999999998</v>
      </c>
      <c r="M27" s="4"/>
      <c r="N27" s="33">
        <f t="shared" ref="N27:N36" si="16">IF(H27=0,0,L27/H27)</f>
        <v>-1.2343009507032139</v>
      </c>
      <c r="O27" s="10"/>
      <c r="P27" s="22">
        <f>SUM(OSRRefP22x_0)</f>
        <v>2516.1599999999962</v>
      </c>
      <c r="Q27" s="22"/>
      <c r="R27" s="33">
        <f t="shared" ref="R27:R36" si="17">IF(P$12=0,0,P27/P$12)</f>
        <v>0.33331522912640088</v>
      </c>
      <c r="S27" s="22"/>
      <c r="T27" s="22">
        <f>SUM(OSRRefT22x_0)</f>
        <v>14227.430000000004</v>
      </c>
      <c r="U27" s="22"/>
      <c r="V27" s="33">
        <f t="shared" ref="V27:V36" si="18">IF(T$12=0,0,T27/T$12)</f>
        <v>1.8712817504577122</v>
      </c>
      <c r="W27" s="4"/>
      <c r="X27" s="22">
        <f t="shared" ref="X27:X36" si="19">+P27-T27</f>
        <v>-11711.270000000008</v>
      </c>
      <c r="Y27" s="4"/>
      <c r="Z27" s="33">
        <f t="shared" ref="Z27:Z36" si="20">IF(T27=0,0,X27/T27)</f>
        <v>-0.82314725849995429</v>
      </c>
    </row>
    <row r="28" spans="1:26" s="27" customFormat="1" outlineLevel="1" collapsed="1" x14ac:dyDescent="0.25">
      <c r="A28" s="25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0</v>
      </c>
      <c r="E28" s="1"/>
      <c r="F28" s="5">
        <f t="shared" si="13"/>
        <v>0</v>
      </c>
      <c r="G28" s="1"/>
      <c r="H28" s="1">
        <f>SUM(OSRRefH22_0x_0)</f>
        <v>538.59999999999991</v>
      </c>
      <c r="I28" s="1"/>
      <c r="J28" s="5">
        <f t="shared" si="14"/>
        <v>1.4724697905845039</v>
      </c>
      <c r="K28" s="1"/>
      <c r="L28" s="1">
        <f t="shared" si="15"/>
        <v>-538.59999999999991</v>
      </c>
      <c r="M28" s="1"/>
      <c r="N28" s="5">
        <f t="shared" si="16"/>
        <v>-1</v>
      </c>
      <c r="O28" s="13"/>
      <c r="P28" s="1">
        <f>SUM(OSRRefP22_0x_0)</f>
        <v>821.29</v>
      </c>
      <c r="Q28" s="1"/>
      <c r="R28" s="5">
        <f t="shared" si="17"/>
        <v>0.10879612764260706</v>
      </c>
      <c r="S28" s="1"/>
      <c r="T28" s="1">
        <f>SUM(OSRRefT22_0x_0)</f>
        <v>970.28</v>
      </c>
      <c r="U28" s="1"/>
      <c r="V28" s="5">
        <f t="shared" si="18"/>
        <v>0.12761737410299037</v>
      </c>
      <c r="W28" s="1"/>
      <c r="X28" s="1">
        <f t="shared" si="19"/>
        <v>-148.99</v>
      </c>
      <c r="Y28" s="1"/>
      <c r="Z28" s="5">
        <f t="shared" si="20"/>
        <v>-0.1535536133899493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6"/>
      <c r="E29" s="2"/>
      <c r="F29" s="7">
        <f t="shared" si="13"/>
        <v>0</v>
      </c>
      <c r="G29" s="2"/>
      <c r="H29" s="6">
        <v>70</v>
      </c>
      <c r="I29" s="2"/>
      <c r="J29" s="7">
        <f t="shared" si="14"/>
        <v>0.19137186286839081</v>
      </c>
      <c r="K29" s="2"/>
      <c r="L29" s="6">
        <f t="shared" si="15"/>
        <v>-70</v>
      </c>
      <c r="M29" s="2"/>
      <c r="N29" s="7">
        <f t="shared" si="16"/>
        <v>-1</v>
      </c>
      <c r="O29" s="11"/>
      <c r="P29" s="6">
        <v>155.66</v>
      </c>
      <c r="Q29" s="2"/>
      <c r="R29" s="7">
        <f t="shared" si="17"/>
        <v>2.0620250129489238E-2</v>
      </c>
      <c r="S29" s="2"/>
      <c r="T29" s="6">
        <v>182.64</v>
      </c>
      <c r="U29" s="2"/>
      <c r="V29" s="7">
        <f t="shared" si="18"/>
        <v>2.4021970159304698E-2</v>
      </c>
      <c r="W29" s="2"/>
      <c r="X29" s="6">
        <f t="shared" si="19"/>
        <v>-26.97999999999999</v>
      </c>
      <c r="Y29" s="2"/>
      <c r="Z29" s="7">
        <f t="shared" si="20"/>
        <v>-0.14772229522558034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6"/>
      <c r="E30" s="2"/>
      <c r="F30" s="7">
        <f t="shared" si="13"/>
        <v>0</v>
      </c>
      <c r="G30" s="2"/>
      <c r="H30" s="6">
        <v>16.41</v>
      </c>
      <c r="I30" s="2"/>
      <c r="J30" s="7">
        <f t="shared" si="14"/>
        <v>4.4863032423861332E-2</v>
      </c>
      <c r="K30" s="2"/>
      <c r="L30" s="6">
        <f t="shared" si="15"/>
        <v>-16.41</v>
      </c>
      <c r="M30" s="2"/>
      <c r="N30" s="7">
        <f t="shared" si="16"/>
        <v>-1</v>
      </c>
      <c r="O30" s="11"/>
      <c r="P30" s="6">
        <v>22.05</v>
      </c>
      <c r="Q30" s="2"/>
      <c r="R30" s="7">
        <f t="shared" si="17"/>
        <v>2.92095924036514E-3</v>
      </c>
      <c r="S30" s="2"/>
      <c r="T30" s="6">
        <v>27.35</v>
      </c>
      <c r="U30" s="2"/>
      <c r="V30" s="7">
        <f t="shared" si="18"/>
        <v>3.5972453124013554E-3</v>
      </c>
      <c r="W30" s="2"/>
      <c r="X30" s="6">
        <f t="shared" si="19"/>
        <v>-5.3000000000000007</v>
      </c>
      <c r="Y30" s="2"/>
      <c r="Z30" s="7">
        <f t="shared" si="20"/>
        <v>-0.19378427787934188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6"/>
      <c r="E31" s="2"/>
      <c r="F31" s="7">
        <f t="shared" si="13"/>
        <v>0</v>
      </c>
      <c r="G31" s="2"/>
      <c r="H31" s="6">
        <v>165.66</v>
      </c>
      <c r="I31" s="2"/>
      <c r="J31" s="7">
        <f t="shared" si="14"/>
        <v>0.45289518289682318</v>
      </c>
      <c r="K31" s="2"/>
      <c r="L31" s="6">
        <f t="shared" si="15"/>
        <v>-165.66</v>
      </c>
      <c r="M31" s="2"/>
      <c r="N31" s="7">
        <f t="shared" si="16"/>
        <v>-1</v>
      </c>
      <c r="O31" s="11"/>
      <c r="P31" s="6">
        <v>305.26</v>
      </c>
      <c r="Q31" s="2"/>
      <c r="R31" s="7">
        <f t="shared" si="17"/>
        <v>4.0437733229653633E-2</v>
      </c>
      <c r="S31" s="2"/>
      <c r="T31" s="6">
        <v>331.32</v>
      </c>
      <c r="U31" s="2"/>
      <c r="V31" s="7">
        <f t="shared" si="18"/>
        <v>4.3577305919737366E-2</v>
      </c>
      <c r="W31" s="2"/>
      <c r="X31" s="6">
        <f t="shared" si="19"/>
        <v>-26.060000000000002</v>
      </c>
      <c r="Y31" s="2"/>
      <c r="Z31" s="7">
        <f t="shared" si="20"/>
        <v>-7.8655076663044804E-2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6"/>
      <c r="E32" s="2"/>
      <c r="F32" s="7">
        <f t="shared" si="13"/>
        <v>0</v>
      </c>
      <c r="G32" s="2"/>
      <c r="H32" s="6">
        <v>3.59</v>
      </c>
      <c r="I32" s="2"/>
      <c r="J32" s="7">
        <f t="shared" si="14"/>
        <v>9.8146426813931868E-3</v>
      </c>
      <c r="K32" s="2"/>
      <c r="L32" s="6">
        <f t="shared" si="15"/>
        <v>-3.59</v>
      </c>
      <c r="M32" s="2"/>
      <c r="N32" s="7">
        <f t="shared" si="16"/>
        <v>-1</v>
      </c>
      <c r="O32" s="11"/>
      <c r="P32" s="6">
        <v>5</v>
      </c>
      <c r="Q32" s="2"/>
      <c r="R32" s="7">
        <f t="shared" si="17"/>
        <v>6.6234903409640366E-4</v>
      </c>
      <c r="S32" s="2"/>
      <c r="T32" s="6">
        <v>5.98</v>
      </c>
      <c r="U32" s="2"/>
      <c r="V32" s="7">
        <f t="shared" si="18"/>
        <v>7.8652749426545178E-4</v>
      </c>
      <c r="W32" s="2"/>
      <c r="X32" s="6">
        <f t="shared" si="19"/>
        <v>-0.98000000000000043</v>
      </c>
      <c r="Y32" s="2"/>
      <c r="Z32" s="7">
        <f t="shared" si="20"/>
        <v>-0.16387959866220742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6"/>
      <c r="E33" s="2"/>
      <c r="F33" s="7">
        <f t="shared" si="13"/>
        <v>0</v>
      </c>
      <c r="G33" s="2"/>
      <c r="H33" s="6">
        <v>62.61</v>
      </c>
      <c r="I33" s="2"/>
      <c r="J33" s="7">
        <f t="shared" si="14"/>
        <v>0.17116846191699928</v>
      </c>
      <c r="K33" s="2"/>
      <c r="L33" s="6">
        <f t="shared" si="15"/>
        <v>-62.61</v>
      </c>
      <c r="M33" s="2"/>
      <c r="N33" s="7">
        <f t="shared" si="16"/>
        <v>-1</v>
      </c>
      <c r="O33" s="11"/>
      <c r="P33" s="6">
        <v>134.12</v>
      </c>
      <c r="Q33" s="2"/>
      <c r="R33" s="7">
        <f t="shared" si="17"/>
        <v>1.7766850490601931E-2</v>
      </c>
      <c r="S33" s="2"/>
      <c r="T33" s="6">
        <v>125.22</v>
      </c>
      <c r="U33" s="2"/>
      <c r="V33" s="7">
        <f t="shared" si="18"/>
        <v>1.6469727898314357E-2</v>
      </c>
      <c r="W33" s="2"/>
      <c r="X33" s="6">
        <f t="shared" si="19"/>
        <v>8.9000000000000057</v>
      </c>
      <c r="Y33" s="2"/>
      <c r="Z33" s="7">
        <f t="shared" si="20"/>
        <v>7.1074908161635572E-2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/>
      <c r="E34" s="2"/>
      <c r="F34" s="7">
        <f t="shared" si="13"/>
        <v>0</v>
      </c>
      <c r="G34" s="2"/>
      <c r="H34" s="6">
        <v>35.229999999999997</v>
      </c>
      <c r="I34" s="2"/>
      <c r="J34" s="7">
        <f t="shared" si="14"/>
        <v>9.6314724697905835E-2</v>
      </c>
      <c r="K34" s="2"/>
      <c r="L34" s="6">
        <f t="shared" si="15"/>
        <v>-35.229999999999997</v>
      </c>
      <c r="M34" s="2"/>
      <c r="N34" s="7">
        <f t="shared" si="16"/>
        <v>-1</v>
      </c>
      <c r="O34" s="11"/>
      <c r="P34" s="6">
        <v>110.64</v>
      </c>
      <c r="Q34" s="2"/>
      <c r="R34" s="7">
        <f t="shared" si="17"/>
        <v>1.4656459426485219E-2</v>
      </c>
      <c r="S34" s="2"/>
      <c r="T34" s="6">
        <v>70.459999999999994</v>
      </c>
      <c r="U34" s="2"/>
      <c r="V34" s="7">
        <f t="shared" si="18"/>
        <v>9.2673456933016259E-3</v>
      </c>
      <c r="W34" s="2"/>
      <c r="X34" s="6">
        <f t="shared" si="19"/>
        <v>40.180000000000007</v>
      </c>
      <c r="Y34" s="2"/>
      <c r="Z34" s="7">
        <f t="shared" si="20"/>
        <v>0.57025262560317924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/>
      <c r="E35" s="2"/>
      <c r="F35" s="7">
        <f t="shared" si="13"/>
        <v>0</v>
      </c>
      <c r="G35" s="2"/>
      <c r="H35" s="6">
        <v>42.21</v>
      </c>
      <c r="I35" s="2"/>
      <c r="J35" s="7">
        <f t="shared" si="14"/>
        <v>0.11539723330963966</v>
      </c>
      <c r="K35" s="2"/>
      <c r="L35" s="6">
        <f t="shared" si="15"/>
        <v>-42.21</v>
      </c>
      <c r="M35" s="2"/>
      <c r="N35" s="7">
        <f t="shared" si="16"/>
        <v>-1</v>
      </c>
      <c r="O35" s="11"/>
      <c r="P35" s="6">
        <v>88.56</v>
      </c>
      <c r="Q35" s="2"/>
      <c r="R35" s="7">
        <f t="shared" si="17"/>
        <v>1.1731526091915502E-2</v>
      </c>
      <c r="S35" s="2"/>
      <c r="T35" s="6">
        <v>84.42</v>
      </c>
      <c r="U35" s="2"/>
      <c r="V35" s="7">
        <f t="shared" si="18"/>
        <v>1.1103453355499905E-2</v>
      </c>
      <c r="W35" s="2"/>
      <c r="X35" s="6">
        <f t="shared" si="19"/>
        <v>4.1400000000000006</v>
      </c>
      <c r="Y35" s="2"/>
      <c r="Z35" s="7">
        <f t="shared" si="20"/>
        <v>4.9040511727078899E-2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/>
      <c r="E36" s="2"/>
      <c r="F36" s="7">
        <f t="shared" si="13"/>
        <v>0</v>
      </c>
      <c r="G36" s="2"/>
      <c r="H36" s="6">
        <v>142.88999999999999</v>
      </c>
      <c r="I36" s="2"/>
      <c r="J36" s="7">
        <f t="shared" si="14"/>
        <v>0.39064464978949087</v>
      </c>
      <c r="K36" s="2"/>
      <c r="L36" s="6">
        <f t="shared" si="15"/>
        <v>-142.88999999999999</v>
      </c>
      <c r="M36" s="2"/>
      <c r="N36" s="7">
        <f t="shared" si="16"/>
        <v>-1</v>
      </c>
      <c r="O36" s="11"/>
      <c r="P36" s="6"/>
      <c r="Q36" s="2"/>
      <c r="R36" s="7">
        <f t="shared" si="17"/>
        <v>0</v>
      </c>
      <c r="S36" s="2"/>
      <c r="T36" s="6">
        <v>142.88999999999999</v>
      </c>
      <c r="U36" s="2"/>
      <c r="V36" s="7">
        <f t="shared" si="18"/>
        <v>1.8793798270165616E-2</v>
      </c>
      <c r="W36" s="2"/>
      <c r="X36" s="6">
        <f t="shared" si="19"/>
        <v>-142.88999999999999</v>
      </c>
      <c r="Y36" s="2"/>
      <c r="Z36" s="7">
        <f t="shared" si="20"/>
        <v>-1</v>
      </c>
    </row>
    <row r="37" spans="1:26" s="27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0</v>
      </c>
      <c r="E37" s="1"/>
      <c r="F37" s="5">
        <f t="shared" ref="F37:F40" si="21">IF(D$12=0,0,D37/D$12)</f>
        <v>0</v>
      </c>
      <c r="G37" s="1"/>
      <c r="H37" s="1">
        <f>SUM(OSRRefH22_1x_0)</f>
        <v>869.36</v>
      </c>
      <c r="I37" s="1"/>
      <c r="J37" s="5">
        <f t="shared" ref="J37:J40" si="22">IF(H$12=0,0,H37/H$12)</f>
        <v>2.3767291814752034</v>
      </c>
      <c r="K37" s="1"/>
      <c r="L37" s="1">
        <f t="shared" ref="L37:L40" si="23">+D37-H37</f>
        <v>-869.36</v>
      </c>
      <c r="M37" s="1"/>
      <c r="N37" s="5">
        <f t="shared" ref="N37:N40" si="24">IF(H37=0,0,L37/H37)</f>
        <v>-1</v>
      </c>
      <c r="O37" s="13"/>
      <c r="P37" s="1">
        <f>SUM(OSRRefP22_1x_0)</f>
        <v>1986.7399999999998</v>
      </c>
      <c r="Q37" s="1"/>
      <c r="R37" s="5">
        <f t="shared" ref="R37:R40" si="25">IF(P$12=0,0,P37/P$12)</f>
        <v>0.26318306400013775</v>
      </c>
      <c r="S37" s="1"/>
      <c r="T37" s="1">
        <f>SUM(OSRRefT22_1x_0)</f>
        <v>6511.46</v>
      </c>
      <c r="U37" s="1"/>
      <c r="V37" s="5">
        <f t="shared" ref="V37:V40" si="26">IF(T$12=0,0,T37/T$12)</f>
        <v>0.85642848123908333</v>
      </c>
      <c r="W37" s="1"/>
      <c r="X37" s="1">
        <f t="shared" ref="X37:X40" si="27">+P37-T37</f>
        <v>-4524.72</v>
      </c>
      <c r="Y37" s="1"/>
      <c r="Z37" s="5">
        <f t="shared" ref="Z37:Z40" si="28">IF(T37=0,0,X37/T37)</f>
        <v>-0.69488563240809287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1"/>
        <v>0</v>
      </c>
      <c r="G38" s="2"/>
      <c r="H38" s="6">
        <v>869.36</v>
      </c>
      <c r="I38" s="2"/>
      <c r="J38" s="7">
        <f t="shared" si="22"/>
        <v>2.3767291814752034</v>
      </c>
      <c r="K38" s="2"/>
      <c r="L38" s="6">
        <f t="shared" si="23"/>
        <v>-869.36</v>
      </c>
      <c r="M38" s="2"/>
      <c r="N38" s="7">
        <f t="shared" si="24"/>
        <v>-1</v>
      </c>
      <c r="O38" s="11"/>
      <c r="P38" s="6">
        <v>1872</v>
      </c>
      <c r="Q38" s="2"/>
      <c r="R38" s="7">
        <f t="shared" si="25"/>
        <v>0.24798347836569351</v>
      </c>
      <c r="S38" s="2"/>
      <c r="T38" s="6">
        <v>6411.58</v>
      </c>
      <c r="U38" s="2"/>
      <c r="V38" s="7">
        <f t="shared" si="26"/>
        <v>0.84329163071613455</v>
      </c>
      <c r="W38" s="2"/>
      <c r="X38" s="6">
        <f t="shared" si="27"/>
        <v>-4539.58</v>
      </c>
      <c r="Y38" s="2"/>
      <c r="Z38" s="7">
        <f t="shared" si="28"/>
        <v>-0.70802828631944081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1"/>
        <v>0</v>
      </c>
      <c r="G39" s="2"/>
      <c r="H39" s="6"/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>
        <v>57.37</v>
      </c>
      <c r="Q39" s="2"/>
      <c r="R39" s="7">
        <f t="shared" si="25"/>
        <v>7.5997928172221348E-3</v>
      </c>
      <c r="S39" s="2"/>
      <c r="T39" s="6"/>
      <c r="U39" s="2"/>
      <c r="V39" s="7">
        <f t="shared" si="26"/>
        <v>0</v>
      </c>
      <c r="W39" s="2"/>
      <c r="X39" s="6">
        <f t="shared" si="27"/>
        <v>57.37</v>
      </c>
      <c r="Y39" s="2"/>
      <c r="Z39" s="7">
        <f t="shared" si="28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1"/>
        <v>0</v>
      </c>
      <c r="G40" s="2"/>
      <c r="H40" s="6"/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57.37</v>
      </c>
      <c r="Q40" s="2"/>
      <c r="R40" s="7">
        <f t="shared" si="25"/>
        <v>7.5997928172221348E-3</v>
      </c>
      <c r="S40" s="2"/>
      <c r="T40" s="6">
        <v>99.88</v>
      </c>
      <c r="U40" s="2"/>
      <c r="V40" s="7">
        <f t="shared" si="26"/>
        <v>1.3136850522948714E-2</v>
      </c>
      <c r="W40" s="2"/>
      <c r="X40" s="6">
        <f t="shared" si="27"/>
        <v>-42.51</v>
      </c>
      <c r="Y40" s="2"/>
      <c r="Z40" s="7">
        <f t="shared" si="28"/>
        <v>-0.42561073287945533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7" si="29">IF(D$12=0,0,D41/D$12)</f>
        <v>0</v>
      </c>
      <c r="G41" s="1"/>
      <c r="H41" s="1">
        <f>SUM(OSRRefH22_2x_0)</f>
        <v>18</v>
      </c>
      <c r="I41" s="1"/>
      <c r="J41" s="5">
        <f t="shared" ref="J41:J47" si="30">IF(H$12=0,0,H41/H$12)</f>
        <v>4.9209907594729069E-2</v>
      </c>
      <c r="K41" s="1"/>
      <c r="L41" s="1">
        <f t="shared" ref="L41:L47" si="31">+D41-H41</f>
        <v>-18</v>
      </c>
      <c r="M41" s="1"/>
      <c r="N41" s="5">
        <f t="shared" ref="N41:N47" si="32">IF(H41=0,0,L41/H41)</f>
        <v>-1</v>
      </c>
      <c r="O41" s="13"/>
      <c r="P41" s="1">
        <f>SUM(OSRRefP22_2x_0)</f>
        <v>-857.46</v>
      </c>
      <c r="Q41" s="1"/>
      <c r="R41" s="5">
        <f t="shared" ref="R41:R47" si="33">IF(P$12=0,0,P41/P$12)</f>
        <v>-0.11358756055526045</v>
      </c>
      <c r="S41" s="1"/>
      <c r="T41" s="1">
        <f>SUM(OSRRefT22_2x_0)</f>
        <v>18</v>
      </c>
      <c r="U41" s="1"/>
      <c r="V41" s="5">
        <f t="shared" ref="V41:V47" si="34">IF(T$12=0,0,T41/T$12)</f>
        <v>2.3674740630063762E-3</v>
      </c>
      <c r="W41" s="1"/>
      <c r="X41" s="1">
        <f t="shared" ref="X41:X47" si="35">+P41-T41</f>
        <v>-875.46</v>
      </c>
      <c r="Y41" s="1"/>
      <c r="Z41" s="5">
        <f t="shared" ref="Z41:Z47" si="36">IF(T41=0,0,X41/T41)</f>
        <v>-48.63666666666667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9"/>
        <v>0</v>
      </c>
      <c r="G42" s="2"/>
      <c r="H42" s="6">
        <v>18</v>
      </c>
      <c r="I42" s="2"/>
      <c r="J42" s="7">
        <f t="shared" si="30"/>
        <v>4.9209907594729069E-2</v>
      </c>
      <c r="K42" s="2"/>
      <c r="L42" s="6">
        <f t="shared" si="31"/>
        <v>-18</v>
      </c>
      <c r="M42" s="2"/>
      <c r="N42" s="7">
        <f t="shared" si="32"/>
        <v>-1</v>
      </c>
      <c r="O42" s="11"/>
      <c r="P42" s="6">
        <v>-857.46</v>
      </c>
      <c r="Q42" s="2"/>
      <c r="R42" s="7">
        <f t="shared" si="33"/>
        <v>-0.11358756055526045</v>
      </c>
      <c r="S42" s="2"/>
      <c r="T42" s="6">
        <v>18</v>
      </c>
      <c r="U42" s="2"/>
      <c r="V42" s="7">
        <f t="shared" si="34"/>
        <v>2.3674740630063762E-3</v>
      </c>
      <c r="W42" s="2"/>
      <c r="X42" s="6">
        <f t="shared" si="35"/>
        <v>-875.46</v>
      </c>
      <c r="Y42" s="2"/>
      <c r="Z42" s="7">
        <f t="shared" si="36"/>
        <v>-48.63666666666667</v>
      </c>
    </row>
    <row r="43" spans="1:26" s="27" customFormat="1" outlineLevel="1" collapsed="1" x14ac:dyDescent="0.25">
      <c r="A43" s="25"/>
      <c r="B43" s="13" t="str">
        <f>CONCATENATE("     ","Discounts and Markdowns                           ")</f>
        <v xml:space="preserve">     Discounts and Markdowns                           </v>
      </c>
      <c r="C43" s="13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50</v>
      </c>
      <c r="I43" s="1"/>
      <c r="J43" s="5">
        <f t="shared" si="30"/>
        <v>0.1366941877631363</v>
      </c>
      <c r="K43" s="1"/>
      <c r="L43" s="1">
        <f t="shared" si="31"/>
        <v>-50</v>
      </c>
      <c r="M43" s="1"/>
      <c r="N43" s="5">
        <f t="shared" si="32"/>
        <v>-1</v>
      </c>
      <c r="O43" s="13"/>
      <c r="P43" s="1">
        <f>SUM(OSRRefP22_3x_0)</f>
        <v>287.29000000000002</v>
      </c>
      <c r="Q43" s="1"/>
      <c r="R43" s="5">
        <f t="shared" si="33"/>
        <v>3.8057250801111164E-2</v>
      </c>
      <c r="S43" s="1"/>
      <c r="T43" s="1">
        <f>SUM(OSRRefT22_3x_0)</f>
        <v>509.1</v>
      </c>
      <c r="U43" s="1"/>
      <c r="V43" s="5">
        <f t="shared" si="34"/>
        <v>6.6960058082030344E-2</v>
      </c>
      <c r="W43" s="1"/>
      <c r="X43" s="1">
        <f t="shared" si="35"/>
        <v>-221.81</v>
      </c>
      <c r="Y43" s="1"/>
      <c r="Z43" s="5">
        <f t="shared" si="36"/>
        <v>-0.43569043409939107</v>
      </c>
    </row>
    <row r="44" spans="1:26" s="24" customFormat="1" hidden="1" outlineLevel="2" x14ac:dyDescent="0.25">
      <c r="A44" s="26"/>
      <c r="B44" s="11" t="str">
        <f>CONCATENATE("          ", "6382", " - ", "DISCOUNTS/MARK DOWNS")</f>
        <v xml:space="preserve">          6382 - DISCOUNTS/MARK DOWNS</v>
      </c>
      <c r="C44" s="11"/>
      <c r="D44" s="6"/>
      <c r="E44" s="2"/>
      <c r="F44" s="7">
        <f t="shared" si="29"/>
        <v>0</v>
      </c>
      <c r="G44" s="2"/>
      <c r="H44" s="6">
        <v>50</v>
      </c>
      <c r="I44" s="2"/>
      <c r="J44" s="7">
        <f t="shared" si="30"/>
        <v>0.1366941877631363</v>
      </c>
      <c r="K44" s="2"/>
      <c r="L44" s="6">
        <f t="shared" si="31"/>
        <v>-50</v>
      </c>
      <c r="M44" s="2"/>
      <c r="N44" s="7">
        <f t="shared" si="32"/>
        <v>-1</v>
      </c>
      <c r="O44" s="11"/>
      <c r="P44" s="6">
        <v>287.29000000000002</v>
      </c>
      <c r="Q44" s="2"/>
      <c r="R44" s="7">
        <f t="shared" si="33"/>
        <v>3.8057250801111164E-2</v>
      </c>
      <c r="S44" s="2"/>
      <c r="T44" s="6">
        <v>509.1</v>
      </c>
      <c r="U44" s="2"/>
      <c r="V44" s="7">
        <f t="shared" si="34"/>
        <v>6.6960058082030344E-2</v>
      </c>
      <c r="W44" s="2"/>
      <c r="X44" s="6">
        <f t="shared" si="35"/>
        <v>-221.81</v>
      </c>
      <c r="Y44" s="2"/>
      <c r="Z44" s="7">
        <f t="shared" si="36"/>
        <v>-0.43569043409939107</v>
      </c>
    </row>
    <row r="45" spans="1:26" s="27" customFormat="1" outlineLevel="1" collapsed="1" x14ac:dyDescent="0.25">
      <c r="A45" s="25"/>
      <c r="B45" s="13" t="str">
        <f>CONCATENATE("     ","Freight out/Postage                               ")</f>
        <v xml:space="preserve">     Freight out/Postage                               </v>
      </c>
      <c r="C45" s="13"/>
      <c r="D45" s="1">
        <f>SUM(OSRRefD22_4x_0)</f>
        <v>-687.14999999999964</v>
      </c>
      <c r="E45" s="1"/>
      <c r="F45" s="5">
        <f t="shared" si="29"/>
        <v>-2.8793211816467617</v>
      </c>
      <c r="G45" s="1"/>
      <c r="H45" s="1">
        <f>SUM(OSRRefH22_4x_0)</f>
        <v>-163.28999999999996</v>
      </c>
      <c r="I45" s="1"/>
      <c r="J45" s="5">
        <f t="shared" si="30"/>
        <v>-0.44641587839685043</v>
      </c>
      <c r="K45" s="1"/>
      <c r="L45" s="1">
        <f t="shared" si="31"/>
        <v>-523.85999999999967</v>
      </c>
      <c r="M45" s="1"/>
      <c r="N45" s="5">
        <f t="shared" si="32"/>
        <v>3.2081572662134841</v>
      </c>
      <c r="O45" s="13"/>
      <c r="P45" s="1">
        <f>SUM(OSRRefP22_4x_0)</f>
        <v>-5893.4500000000044</v>
      </c>
      <c r="Q45" s="1"/>
      <c r="R45" s="5">
        <f t="shared" si="33"/>
        <v>-0.78070418299909061</v>
      </c>
      <c r="S45" s="1"/>
      <c r="T45" s="1">
        <f>SUM(OSRRefT22_4x_0)</f>
        <v>-2804.4399999999987</v>
      </c>
      <c r="U45" s="1"/>
      <c r="V45" s="5">
        <f t="shared" si="34"/>
        <v>-0.36885772006986661</v>
      </c>
      <c r="W45" s="1"/>
      <c r="X45" s="1">
        <f t="shared" si="35"/>
        <v>-3089.0100000000057</v>
      </c>
      <c r="Y45" s="1"/>
      <c r="Z45" s="5">
        <f t="shared" si="36"/>
        <v>1.1014712384647227</v>
      </c>
    </row>
    <row r="46" spans="1:26" s="24" customFormat="1" hidden="1" outlineLevel="2" x14ac:dyDescent="0.25">
      <c r="A46" s="26"/>
      <c r="B46" s="11" t="str">
        <f>CONCATENATE("          ", "6305", " - ", "FREIGHT OUT")</f>
        <v xml:space="preserve">          6305 - FREIGHT OUT</v>
      </c>
      <c r="C46" s="11"/>
      <c r="D46" s="6">
        <v>3419.09</v>
      </c>
      <c r="E46" s="2"/>
      <c r="F46" s="7">
        <f t="shared" si="29"/>
        <v>14.326796564005866</v>
      </c>
      <c r="G46" s="2"/>
      <c r="H46" s="6">
        <v>1629.63</v>
      </c>
      <c r="I46" s="2"/>
      <c r="J46" s="7">
        <f t="shared" si="30"/>
        <v>4.4552189840887966</v>
      </c>
      <c r="K46" s="2"/>
      <c r="L46" s="6">
        <f t="shared" si="31"/>
        <v>1789.46</v>
      </c>
      <c r="M46" s="2"/>
      <c r="N46" s="7">
        <f t="shared" si="32"/>
        <v>1.098077477709664</v>
      </c>
      <c r="O46" s="11"/>
      <c r="P46" s="6">
        <v>22675.78</v>
      </c>
      <c r="Q46" s="2"/>
      <c r="R46" s="7">
        <f t="shared" si="33"/>
        <v>3.0038561960765096</v>
      </c>
      <c r="S46" s="2"/>
      <c r="T46" s="6">
        <v>22168.01</v>
      </c>
      <c r="U46" s="2"/>
      <c r="V46" s="7">
        <f t="shared" si="34"/>
        <v>2.9156771501925545</v>
      </c>
      <c r="W46" s="2"/>
      <c r="X46" s="6">
        <f t="shared" si="35"/>
        <v>507.77000000000044</v>
      </c>
      <c r="Y46" s="2"/>
      <c r="Z46" s="7">
        <f t="shared" si="36"/>
        <v>2.2905529183720165E-2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6">
        <v>-4106.24</v>
      </c>
      <c r="E47" s="2"/>
      <c r="F47" s="7">
        <f t="shared" si="29"/>
        <v>-17.206117745652627</v>
      </c>
      <c r="G47" s="2"/>
      <c r="H47" s="6">
        <v>-1792.92</v>
      </c>
      <c r="I47" s="2"/>
      <c r="J47" s="7">
        <f t="shared" si="30"/>
        <v>-4.9016348624856469</v>
      </c>
      <c r="K47" s="2"/>
      <c r="L47" s="6">
        <f t="shared" si="31"/>
        <v>-2313.3199999999997</v>
      </c>
      <c r="M47" s="2"/>
      <c r="N47" s="7">
        <f t="shared" si="32"/>
        <v>1.2902527720143675</v>
      </c>
      <c r="O47" s="11"/>
      <c r="P47" s="6">
        <v>-28569.230000000003</v>
      </c>
      <c r="Q47" s="2"/>
      <c r="R47" s="7">
        <f t="shared" si="33"/>
        <v>-3.7845603790755997</v>
      </c>
      <c r="S47" s="2"/>
      <c r="T47" s="6">
        <v>-24972.449999999997</v>
      </c>
      <c r="U47" s="2"/>
      <c r="V47" s="7">
        <f t="shared" si="34"/>
        <v>-3.2845348702624211</v>
      </c>
      <c r="W47" s="2"/>
      <c r="X47" s="6">
        <f t="shared" si="35"/>
        <v>-3596.7800000000061</v>
      </c>
      <c r="Y47" s="2"/>
      <c r="Z47" s="7">
        <f t="shared" si="36"/>
        <v>0.14402992097291242</v>
      </c>
    </row>
    <row r="48" spans="1:26" s="27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ref="F48:F54" si="37">IF(D$12=0,0,D48/D$12)</f>
        <v>0</v>
      </c>
      <c r="G48" s="1"/>
      <c r="H48" s="1">
        <f>SUM(OSRRefH22_5x_0)</f>
        <v>0</v>
      </c>
      <c r="I48" s="1"/>
      <c r="J48" s="5">
        <f t="shared" ref="J48:J54" si="38">IF(H$12=0,0,H48/H$12)</f>
        <v>0</v>
      </c>
      <c r="K48" s="1"/>
      <c r="L48" s="1">
        <f t="shared" ref="L48:L54" si="39">+D48-H48</f>
        <v>0</v>
      </c>
      <c r="M48" s="1"/>
      <c r="N48" s="5">
        <f t="shared" ref="N48:N54" si="40">IF(H48=0,0,L48/H48)</f>
        <v>0</v>
      </c>
      <c r="O48" s="13"/>
      <c r="P48" s="1">
        <f>SUM(OSRRefP22_5x_0)</f>
        <v>80.17</v>
      </c>
      <c r="Q48" s="1"/>
      <c r="R48" s="5">
        <f t="shared" ref="R48:R54" si="41">IF(P$12=0,0,P48/P$12)</f>
        <v>1.0620104412701736E-2</v>
      </c>
      <c r="S48" s="1"/>
      <c r="T48" s="1">
        <f>SUM(OSRRefT22_5x_0)</f>
        <v>83.47</v>
      </c>
      <c r="U48" s="1"/>
      <c r="V48" s="5">
        <f t="shared" ref="V48:V54" si="42">IF(T$12=0,0,T48/T$12)</f>
        <v>1.0978503335507902E-2</v>
      </c>
      <c r="W48" s="1"/>
      <c r="X48" s="1">
        <f t="shared" ref="X48:X54" si="43">+P48-T48</f>
        <v>-3.2999999999999972</v>
      </c>
      <c r="Y48" s="1"/>
      <c r="Z48" s="5">
        <f t="shared" ref="Z48:Z54" si="44">IF(T48=0,0,X48/T48)</f>
        <v>-3.9535162333772578E-2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1"/>
      <c r="P49" s="6">
        <v>80.17</v>
      </c>
      <c r="Q49" s="2"/>
      <c r="R49" s="7">
        <f t="shared" si="41"/>
        <v>1.0620104412701736E-2</v>
      </c>
      <c r="S49" s="2"/>
      <c r="T49" s="6">
        <v>83.47</v>
      </c>
      <c r="U49" s="2"/>
      <c r="V49" s="7">
        <f t="shared" si="42"/>
        <v>1.0978503335507902E-2</v>
      </c>
      <c r="W49" s="2"/>
      <c r="X49" s="6">
        <f t="shared" si="43"/>
        <v>-3.2999999999999972</v>
      </c>
      <c r="Y49" s="2"/>
      <c r="Z49" s="7">
        <f t="shared" si="44"/>
        <v>-3.9535162333772578E-2</v>
      </c>
    </row>
    <row r="50" spans="1:26" s="27" customFormat="1" outlineLevel="1" collapsed="1" x14ac:dyDescent="0.25">
      <c r="A50" s="25"/>
      <c r="B50" s="13" t="str">
        <f>CONCATENATE("     ","Inventory Adjustment                              ")</f>
        <v xml:space="preserve">     Inventory Adjustment                              </v>
      </c>
      <c r="C50" s="13"/>
      <c r="D50" s="1">
        <f>SUM(OSRRefD22_6x_0)</f>
        <v>100</v>
      </c>
      <c r="E50" s="1"/>
      <c r="F50" s="5">
        <f t="shared" si="37"/>
        <v>0.41902367483762831</v>
      </c>
      <c r="G50" s="1"/>
      <c r="H50" s="1">
        <f>SUM(OSRRefH22_6x_0)</f>
        <v>100</v>
      </c>
      <c r="I50" s="1"/>
      <c r="J50" s="5">
        <f t="shared" si="38"/>
        <v>0.2733883755262726</v>
      </c>
      <c r="K50" s="1"/>
      <c r="L50" s="1">
        <f t="shared" si="39"/>
        <v>0</v>
      </c>
      <c r="M50" s="1"/>
      <c r="N50" s="5">
        <f t="shared" si="40"/>
        <v>0</v>
      </c>
      <c r="O50" s="13"/>
      <c r="P50" s="1">
        <f>SUM(OSRRefP22_6x_0)</f>
        <v>500</v>
      </c>
      <c r="Q50" s="1"/>
      <c r="R50" s="5">
        <f t="shared" si="41"/>
        <v>6.6234903409640361E-2</v>
      </c>
      <c r="S50" s="1"/>
      <c r="T50" s="1">
        <f>SUM(OSRRefT22_6x_0)</f>
        <v>600</v>
      </c>
      <c r="U50" s="1"/>
      <c r="V50" s="5">
        <f t="shared" si="42"/>
        <v>7.8915802100212554E-2</v>
      </c>
      <c r="W50" s="1"/>
      <c r="X50" s="1">
        <f t="shared" si="43"/>
        <v>-100</v>
      </c>
      <c r="Y50" s="1"/>
      <c r="Z50" s="5">
        <f t="shared" si="44"/>
        <v>-0.16666666666666666</v>
      </c>
    </row>
    <row r="51" spans="1:26" s="24" customFormat="1" hidden="1" outlineLevel="2" x14ac:dyDescent="0.25">
      <c r="A51" s="26"/>
      <c r="B51" s="11" t="str">
        <f>CONCATENATE("          ", "6408", " - ", "INVENTORY ADJUSTMENT")</f>
        <v xml:space="preserve">          6408 - INVENTORY ADJUSTMENT</v>
      </c>
      <c r="C51" s="11"/>
      <c r="D51" s="6">
        <v>100</v>
      </c>
      <c r="E51" s="2"/>
      <c r="F51" s="7">
        <f t="shared" si="37"/>
        <v>0.41902367483762831</v>
      </c>
      <c r="G51" s="2"/>
      <c r="H51" s="6">
        <v>100</v>
      </c>
      <c r="I51" s="2"/>
      <c r="J51" s="7">
        <f t="shared" si="38"/>
        <v>0.2733883755262726</v>
      </c>
      <c r="K51" s="2"/>
      <c r="L51" s="6">
        <f t="shared" si="39"/>
        <v>0</v>
      </c>
      <c r="M51" s="2"/>
      <c r="N51" s="7">
        <f t="shared" si="40"/>
        <v>0</v>
      </c>
      <c r="O51" s="11"/>
      <c r="P51" s="6">
        <v>500</v>
      </c>
      <c r="Q51" s="2"/>
      <c r="R51" s="7">
        <f t="shared" si="41"/>
        <v>6.6234903409640361E-2</v>
      </c>
      <c r="S51" s="2"/>
      <c r="T51" s="6">
        <v>600</v>
      </c>
      <c r="U51" s="2"/>
      <c r="V51" s="7">
        <f t="shared" si="42"/>
        <v>7.8915802100212554E-2</v>
      </c>
      <c r="W51" s="2"/>
      <c r="X51" s="6">
        <f t="shared" si="43"/>
        <v>-100</v>
      </c>
      <c r="Y51" s="2"/>
      <c r="Z51" s="7">
        <f t="shared" si="44"/>
        <v>-0.16666666666666666</v>
      </c>
    </row>
    <row r="52" spans="1:26" s="27" customFormat="1" outlineLevel="1" collapsed="1" x14ac:dyDescent="0.25">
      <c r="A52" s="25"/>
      <c r="B52" s="13" t="str">
        <f>CONCATENATE("     ","Supplies                                          ")</f>
        <v xml:space="preserve">     Supplies                                          </v>
      </c>
      <c r="C52" s="13"/>
      <c r="D52" s="1">
        <f>SUM(OSRRefD22_7x_0)</f>
        <v>6.05</v>
      </c>
      <c r="E52" s="1"/>
      <c r="F52" s="5">
        <f t="shared" si="37"/>
        <v>2.5350932327676514E-2</v>
      </c>
      <c r="G52" s="1"/>
      <c r="H52" s="1">
        <f>SUM(OSRRefH22_7x_0)</f>
        <v>519.41</v>
      </c>
      <c r="I52" s="1"/>
      <c r="J52" s="5">
        <f t="shared" si="38"/>
        <v>1.4200065613210124</v>
      </c>
      <c r="K52" s="1"/>
      <c r="L52" s="1">
        <f t="shared" si="39"/>
        <v>-513.36</v>
      </c>
      <c r="M52" s="1"/>
      <c r="N52" s="5">
        <f t="shared" si="40"/>
        <v>-0.98835216880691568</v>
      </c>
      <c r="O52" s="13"/>
      <c r="P52" s="1">
        <f>SUM(OSRRefP22_7x_0)</f>
        <v>5180.68</v>
      </c>
      <c r="Q52" s="1"/>
      <c r="R52" s="5">
        <f t="shared" si="41"/>
        <v>0.68628367879251129</v>
      </c>
      <c r="S52" s="1"/>
      <c r="T52" s="1">
        <f>SUM(OSRRefT22_7x_0)</f>
        <v>7325.3600000000006</v>
      </c>
      <c r="U52" s="1"/>
      <c r="V52" s="5">
        <f t="shared" si="42"/>
        <v>0.96347776678802166</v>
      </c>
      <c r="W52" s="1"/>
      <c r="X52" s="1">
        <f t="shared" si="43"/>
        <v>-2144.6800000000003</v>
      </c>
      <c r="Y52" s="1"/>
      <c r="Z52" s="5">
        <f t="shared" si="44"/>
        <v>-0.29277468957157055</v>
      </c>
    </row>
    <row r="53" spans="1:26" s="24" customFormat="1" hidden="1" outlineLevel="2" x14ac:dyDescent="0.25">
      <c r="A53" s="26"/>
      <c r="B53" s="11" t="str">
        <f>CONCATENATE("          ", "6241", " - ", "OFFICE EXPENSE")</f>
        <v xml:space="preserve">          6241 - OFFICE EXPENSE</v>
      </c>
      <c r="C53" s="11"/>
      <c r="D53" s="6">
        <v>11.25</v>
      </c>
      <c r="E53" s="2"/>
      <c r="F53" s="7">
        <f t="shared" si="37"/>
        <v>4.7140163419233189E-2</v>
      </c>
      <c r="G53" s="2"/>
      <c r="H53" s="6"/>
      <c r="I53" s="2"/>
      <c r="J53" s="7">
        <f t="shared" si="38"/>
        <v>0</v>
      </c>
      <c r="K53" s="2"/>
      <c r="L53" s="6">
        <f t="shared" si="39"/>
        <v>11.25</v>
      </c>
      <c r="M53" s="2"/>
      <c r="N53" s="7">
        <f t="shared" si="40"/>
        <v>0</v>
      </c>
      <c r="O53" s="11"/>
      <c r="P53" s="6">
        <v>126.27</v>
      </c>
      <c r="Q53" s="2"/>
      <c r="R53" s="7">
        <f t="shared" si="41"/>
        <v>1.6726962507070578E-2</v>
      </c>
      <c r="S53" s="2"/>
      <c r="T53" s="6">
        <v>1.59</v>
      </c>
      <c r="U53" s="2"/>
      <c r="V53" s="7">
        <f t="shared" si="42"/>
        <v>2.0912687556556327E-4</v>
      </c>
      <c r="W53" s="2"/>
      <c r="X53" s="6">
        <f t="shared" si="43"/>
        <v>124.67999999999999</v>
      </c>
      <c r="Y53" s="2"/>
      <c r="Z53" s="7">
        <f t="shared" si="44"/>
        <v>78.415094339622627</v>
      </c>
    </row>
    <row r="54" spans="1:26" s="24" customFormat="1" hidden="1" outlineLevel="2" x14ac:dyDescent="0.25">
      <c r="A54" s="26"/>
      <c r="B54" s="11" t="str">
        <f>CONCATENATE("          ", "6247", " - ", "STORE SUPPLIES")</f>
        <v xml:space="preserve">          6247 - STORE SUPPLIES</v>
      </c>
      <c r="C54" s="11"/>
      <c r="D54" s="6">
        <v>-5.2</v>
      </c>
      <c r="E54" s="2"/>
      <c r="F54" s="7">
        <f t="shared" si="37"/>
        <v>-2.1789231091556675E-2</v>
      </c>
      <c r="G54" s="2"/>
      <c r="H54" s="6">
        <v>519.41</v>
      </c>
      <c r="I54" s="2"/>
      <c r="J54" s="7">
        <f t="shared" si="38"/>
        <v>1.4200065613210124</v>
      </c>
      <c r="K54" s="2"/>
      <c r="L54" s="6">
        <f t="shared" si="39"/>
        <v>-524.61</v>
      </c>
      <c r="M54" s="2"/>
      <c r="N54" s="7">
        <f t="shared" si="40"/>
        <v>-1.0100113590419901</v>
      </c>
      <c r="O54" s="11"/>
      <c r="P54" s="6">
        <v>5054.41</v>
      </c>
      <c r="Q54" s="2"/>
      <c r="R54" s="7">
        <f t="shared" si="41"/>
        <v>0.66955671628544067</v>
      </c>
      <c r="S54" s="2"/>
      <c r="T54" s="6">
        <v>7323.77</v>
      </c>
      <c r="U54" s="2"/>
      <c r="V54" s="7">
        <f t="shared" si="42"/>
        <v>0.96326863991245615</v>
      </c>
      <c r="W54" s="2"/>
      <c r="X54" s="6">
        <f t="shared" si="43"/>
        <v>-2269.3600000000006</v>
      </c>
      <c r="Y54" s="2"/>
      <c r="Z54" s="7">
        <f t="shared" si="44"/>
        <v>-0.30986227038806524</v>
      </c>
    </row>
    <row r="55" spans="1:26" s="27" customFormat="1" outlineLevel="1" collapsed="1" x14ac:dyDescent="0.25">
      <c r="A55" s="25"/>
      <c r="B55" s="13" t="str">
        <f>CONCATENATE("     ","Telephone/Data Lines                              ")</f>
        <v xml:space="preserve">     Telephone/Data Lines                              </v>
      </c>
      <c r="C55" s="13"/>
      <c r="D55" s="1">
        <f>SUM(OSRRefD22_8x_0)</f>
        <v>91.65</v>
      </c>
      <c r="E55" s="1"/>
      <c r="F55" s="5">
        <f t="shared" ref="F55:F56" si="45">IF(D$12=0,0,D55/D$12)</f>
        <v>0.38403519798868635</v>
      </c>
      <c r="G55" s="1"/>
      <c r="H55" s="1">
        <f>SUM(OSRRefH22_8x_0)</f>
        <v>156.9</v>
      </c>
      <c r="I55" s="1"/>
      <c r="J55" s="5">
        <f t="shared" ref="J55:J56" si="46">IF(H$12=0,0,H55/H$12)</f>
        <v>0.42894636120072172</v>
      </c>
      <c r="K55" s="1"/>
      <c r="L55" s="1">
        <f t="shared" ref="L55:L56" si="47">+D55-H55</f>
        <v>-65.25</v>
      </c>
      <c r="M55" s="1"/>
      <c r="N55" s="5">
        <f t="shared" ref="N55:N56" si="48">IF(H55=0,0,L55/H55)</f>
        <v>-0.41586998087954108</v>
      </c>
      <c r="O55" s="13"/>
      <c r="P55" s="1">
        <f>SUM(OSRRefP22_8x_0)</f>
        <v>410.9</v>
      </c>
      <c r="Q55" s="1"/>
      <c r="R55" s="5">
        <f t="shared" ref="R55:R56" si="49">IF(P$12=0,0,P55/P$12)</f>
        <v>5.4431843622042446E-2</v>
      </c>
      <c r="S55" s="1"/>
      <c r="T55" s="1">
        <f>SUM(OSRRefT22_8x_0)</f>
        <v>1014.2</v>
      </c>
      <c r="U55" s="1"/>
      <c r="V55" s="5">
        <f t="shared" ref="V55:V56" si="50">IF(T$12=0,0,T55/T$12)</f>
        <v>0.13339401081672594</v>
      </c>
      <c r="W55" s="1"/>
      <c r="X55" s="1">
        <f t="shared" ref="X55:X56" si="51">+P55-T55</f>
        <v>-603.30000000000007</v>
      </c>
      <c r="Y55" s="1"/>
      <c r="Z55" s="5">
        <f t="shared" ref="Z55:Z56" si="52">IF(T55=0,0,X55/T55)</f>
        <v>-0.59485308617629662</v>
      </c>
    </row>
    <row r="56" spans="1:26" s="24" customFormat="1" hidden="1" outlineLevel="2" x14ac:dyDescent="0.25">
      <c r="A56" s="26"/>
      <c r="B56" s="11" t="str">
        <f>CONCATENATE("          ", "6309", " - ", "TELEPHONE")</f>
        <v xml:space="preserve">          6309 - TELEPHONE</v>
      </c>
      <c r="C56" s="11"/>
      <c r="D56" s="6">
        <v>91.65</v>
      </c>
      <c r="E56" s="2"/>
      <c r="F56" s="7">
        <f t="shared" si="45"/>
        <v>0.38403519798868635</v>
      </c>
      <c r="G56" s="2"/>
      <c r="H56" s="6">
        <v>156.9</v>
      </c>
      <c r="I56" s="2"/>
      <c r="J56" s="7">
        <f t="shared" si="46"/>
        <v>0.42894636120072172</v>
      </c>
      <c r="K56" s="2"/>
      <c r="L56" s="6">
        <f t="shared" si="47"/>
        <v>-65.25</v>
      </c>
      <c r="M56" s="2"/>
      <c r="N56" s="7">
        <f t="shared" si="48"/>
        <v>-0.41586998087954108</v>
      </c>
      <c r="O56" s="11"/>
      <c r="P56" s="6">
        <v>410.9</v>
      </c>
      <c r="Q56" s="2"/>
      <c r="R56" s="7">
        <f t="shared" si="49"/>
        <v>5.4431843622042446E-2</v>
      </c>
      <c r="S56" s="2"/>
      <c r="T56" s="6">
        <v>1014.2</v>
      </c>
      <c r="U56" s="2"/>
      <c r="V56" s="7">
        <f t="shared" si="50"/>
        <v>0.13339401081672594</v>
      </c>
      <c r="W56" s="2"/>
      <c r="X56" s="6">
        <f t="shared" si="51"/>
        <v>-603.30000000000007</v>
      </c>
      <c r="Y56" s="2"/>
      <c r="Z56" s="7">
        <f t="shared" si="52"/>
        <v>-0.59485308617629662</v>
      </c>
    </row>
    <row r="57" spans="1:26" s="61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collapsed="1" x14ac:dyDescent="0.25">
      <c r="A58" s="10"/>
      <c r="B58" s="28" t="s">
        <v>0</v>
      </c>
      <c r="C58" s="10"/>
      <c r="D58" s="4">
        <f>SUM(OSRRefD25x_0)</f>
        <v>0</v>
      </c>
      <c r="E58" s="4"/>
      <c r="F58" s="12">
        <f t="shared" ref="F58:F63" si="53">IF(D$12=0,0,D58/D$12)</f>
        <v>0</v>
      </c>
      <c r="G58" s="4"/>
      <c r="H58" s="4">
        <f>SUM(OSRRefH25x_0)</f>
        <v>1289</v>
      </c>
      <c r="I58" s="4"/>
      <c r="J58" s="12">
        <f t="shared" ref="J58:J63" si="54">IF(H$12=0,0,H58/H$12)</f>
        <v>3.5239761605336537</v>
      </c>
      <c r="K58" s="4"/>
      <c r="L58" s="4">
        <f t="shared" ref="L58:L63" si="55">+D58-H58</f>
        <v>-1289</v>
      </c>
      <c r="M58" s="4"/>
      <c r="N58" s="12">
        <f t="shared" ref="N58:N63" si="56">IF(H58=0,0,L58/H58)</f>
        <v>-1</v>
      </c>
      <c r="O58" s="10"/>
      <c r="P58" s="4">
        <f>SUM(OSRRefP25x_0)</f>
        <v>85733.4</v>
      </c>
      <c r="Q58" s="4"/>
      <c r="R58" s="12">
        <f t="shared" ref="R58:R63" si="57">IF(P$12=0,0,P58/P$12)</f>
        <v>11.357086935960121</v>
      </c>
      <c r="S58" s="4"/>
      <c r="T58" s="4">
        <f>SUM(OSRRefT25x_0)</f>
        <v>3269.5</v>
      </c>
      <c r="U58" s="4"/>
      <c r="V58" s="12">
        <f t="shared" ref="V58:V63" si="58">IF(T$12=0,0,T58/T$12)</f>
        <v>0.43002535827774152</v>
      </c>
      <c r="W58" s="4"/>
      <c r="X58" s="4">
        <f t="shared" ref="X58:X63" si="59">+P58-T58</f>
        <v>82463.899999999994</v>
      </c>
      <c r="Y58" s="4"/>
      <c r="Z58" s="12">
        <f t="shared" ref="Z58:Z63" si="60">IF(T58=0,0,X58/T58)</f>
        <v>25.222174644441044</v>
      </c>
    </row>
    <row r="59" spans="1:26" s="24" customFormat="1" hidden="1" outlineLevel="1" x14ac:dyDescent="0.25">
      <c r="A59" s="44"/>
      <c r="B59" s="11" t="str">
        <f>CONCATENATE("          ", "4098", " - ", "TAXABLE SALES-GRAD RENTALS")</f>
        <v xml:space="preserve">          4098 - TAXABLE SALES-GRAD RENTALS</v>
      </c>
      <c r="C59" s="11"/>
      <c r="D59" s="2">
        <f t="shared" ref="D59:D63" si="61">0</f>
        <v>0</v>
      </c>
      <c r="E59" s="2"/>
      <c r="F59" s="19">
        <f t="shared" si="53"/>
        <v>0</v>
      </c>
      <c r="G59" s="2"/>
      <c r="H59" s="2">
        <f>--1289</f>
        <v>1289</v>
      </c>
      <c r="I59" s="2"/>
      <c r="J59" s="19">
        <f t="shared" si="54"/>
        <v>3.5239761605336537</v>
      </c>
      <c r="K59" s="2"/>
      <c r="L59" s="2">
        <f t="shared" si="55"/>
        <v>-1289</v>
      </c>
      <c r="M59" s="2"/>
      <c r="N59" s="19">
        <f t="shared" si="56"/>
        <v>-1</v>
      </c>
      <c r="O59" s="11"/>
      <c r="P59" s="2">
        <f>--1626.85</f>
        <v>1626.85</v>
      </c>
      <c r="Q59" s="2"/>
      <c r="R59" s="19">
        <f t="shared" si="57"/>
        <v>0.21550850522394685</v>
      </c>
      <c r="S59" s="2"/>
      <c r="T59" s="2">
        <f>--2269.5</f>
        <v>2269.5</v>
      </c>
      <c r="U59" s="2"/>
      <c r="V59" s="19">
        <f t="shared" si="58"/>
        <v>0.29849902144405394</v>
      </c>
      <c r="W59" s="2"/>
      <c r="X59" s="2">
        <f t="shared" si="59"/>
        <v>-642.65000000000009</v>
      </c>
      <c r="Y59" s="2"/>
      <c r="Z59" s="19">
        <f t="shared" si="60"/>
        <v>-0.28316809870015425</v>
      </c>
    </row>
    <row r="60" spans="1:26" s="24" customFormat="1" hidden="1" outlineLevel="1" x14ac:dyDescent="0.25">
      <c r="A60" s="44"/>
      <c r="B60" s="11" t="str">
        <f>CONCATENATE("          ", "4197", " - ", "NON-TAXABLE SALES-RETURNED CHE")</f>
        <v xml:space="preserve">          4197 - NON-TAXABLE SALES-RETURNED CHE</v>
      </c>
      <c r="C60" s="11"/>
      <c r="D60" s="2">
        <f t="shared" si="61"/>
        <v>0</v>
      </c>
      <c r="E60" s="2"/>
      <c r="F60" s="19">
        <f t="shared" si="53"/>
        <v>0</v>
      </c>
      <c r="G60" s="2"/>
      <c r="H60" s="2">
        <f t="shared" ref="H60:H63" si="62">0</f>
        <v>0</v>
      </c>
      <c r="I60" s="2"/>
      <c r="J60" s="19">
        <f t="shared" si="54"/>
        <v>0</v>
      </c>
      <c r="K60" s="2"/>
      <c r="L60" s="2">
        <f t="shared" si="55"/>
        <v>0</v>
      </c>
      <c r="M60" s="2"/>
      <c r="N60" s="19">
        <f t="shared" si="56"/>
        <v>0</v>
      </c>
      <c r="O60" s="11"/>
      <c r="P60" s="2">
        <f>--30</f>
        <v>30</v>
      </c>
      <c r="Q60" s="2"/>
      <c r="R60" s="19">
        <f t="shared" si="57"/>
        <v>3.974094204578422E-3</v>
      </c>
      <c r="S60" s="2"/>
      <c r="T60" s="2">
        <f>--260</f>
        <v>260</v>
      </c>
      <c r="U60" s="2"/>
      <c r="V60" s="19">
        <f t="shared" si="58"/>
        <v>3.4196847576758768E-2</v>
      </c>
      <c r="W60" s="2"/>
      <c r="X60" s="2">
        <f t="shared" si="59"/>
        <v>-230</v>
      </c>
      <c r="Y60" s="2"/>
      <c r="Z60" s="19">
        <f t="shared" si="60"/>
        <v>-0.88461538461538458</v>
      </c>
    </row>
    <row r="61" spans="1:26" s="24" customFormat="1" hidden="1" outlineLevel="1" x14ac:dyDescent="0.25">
      <c r="A61" s="44"/>
      <c r="B61" s="11" t="str">
        <f>CONCATENATE("          ", "4198", " - ", "NON-TAXABLE SALES-GRAD RENTALS")</f>
        <v xml:space="preserve">          4198 - NON-TAXABLE SALES-GRAD RENTALS</v>
      </c>
      <c r="C61" s="11"/>
      <c r="D61" s="2">
        <f t="shared" si="61"/>
        <v>0</v>
      </c>
      <c r="E61" s="2"/>
      <c r="F61" s="19">
        <f t="shared" si="53"/>
        <v>0</v>
      </c>
      <c r="G61" s="2"/>
      <c r="H61" s="2">
        <f t="shared" si="62"/>
        <v>0</v>
      </c>
      <c r="I61" s="2"/>
      <c r="J61" s="19">
        <f t="shared" si="54"/>
        <v>0</v>
      </c>
      <c r="K61" s="2"/>
      <c r="L61" s="2">
        <f t="shared" si="55"/>
        <v>0</v>
      </c>
      <c r="M61" s="2"/>
      <c r="N61" s="19">
        <f t="shared" si="56"/>
        <v>0</v>
      </c>
      <c r="O61" s="11"/>
      <c r="P61" s="2">
        <f>--495</f>
        <v>495</v>
      </c>
      <c r="Q61" s="2"/>
      <c r="R61" s="19">
        <f t="shared" si="57"/>
        <v>6.5572554375543962E-2</v>
      </c>
      <c r="S61" s="2"/>
      <c r="T61" s="2">
        <f>--450</f>
        <v>450</v>
      </c>
      <c r="U61" s="2"/>
      <c r="V61" s="19">
        <f t="shared" si="58"/>
        <v>5.9186851575159412E-2</v>
      </c>
      <c r="W61" s="2"/>
      <c r="X61" s="2">
        <f t="shared" si="59"/>
        <v>45</v>
      </c>
      <c r="Y61" s="2"/>
      <c r="Z61" s="19">
        <f t="shared" si="60"/>
        <v>0.1</v>
      </c>
    </row>
    <row r="62" spans="1:26" s="24" customFormat="1" hidden="1" outlineLevel="1" x14ac:dyDescent="0.25">
      <c r="A62" s="44"/>
      <c r="B62" s="11" t="str">
        <f>CONCATENATE("          ", "9160", " - ", "MISC. INCOME")</f>
        <v xml:space="preserve">          9160 - MISC. INCOME</v>
      </c>
      <c r="C62" s="11"/>
      <c r="D62" s="2">
        <f t="shared" si="61"/>
        <v>0</v>
      </c>
      <c r="E62" s="2"/>
      <c r="F62" s="19">
        <f t="shared" si="53"/>
        <v>0</v>
      </c>
      <c r="G62" s="2"/>
      <c r="H62" s="2">
        <f t="shared" si="62"/>
        <v>0</v>
      </c>
      <c r="I62" s="2"/>
      <c r="J62" s="19">
        <f t="shared" si="54"/>
        <v>0</v>
      </c>
      <c r="K62" s="2"/>
      <c r="L62" s="2">
        <f t="shared" si="55"/>
        <v>0</v>
      </c>
      <c r="M62" s="2"/>
      <c r="N62" s="19">
        <f t="shared" si="56"/>
        <v>0</v>
      </c>
      <c r="O62" s="11"/>
      <c r="P62" s="2">
        <f>--22475</f>
        <v>22475</v>
      </c>
      <c r="Q62" s="2"/>
      <c r="R62" s="19">
        <f t="shared" si="57"/>
        <v>2.9772589082633343</v>
      </c>
      <c r="S62" s="2"/>
      <c r="T62" s="2">
        <f>--290</f>
        <v>290</v>
      </c>
      <c r="U62" s="2"/>
      <c r="V62" s="19">
        <f t="shared" si="58"/>
        <v>3.8142637681769398E-2</v>
      </c>
      <c r="W62" s="2"/>
      <c r="X62" s="2">
        <f t="shared" si="59"/>
        <v>22185</v>
      </c>
      <c r="Y62" s="2"/>
      <c r="Z62" s="19">
        <f t="shared" si="60"/>
        <v>76.5</v>
      </c>
    </row>
    <row r="63" spans="1:26" s="24" customFormat="1" hidden="1" outlineLevel="1" x14ac:dyDescent="0.25">
      <c r="A63" s="44"/>
      <c r="B63" s="11" t="str">
        <f>CONCATENATE("          ", "9163", " - ", "MISC. INCOME")</f>
        <v xml:space="preserve">          9163 - MISC. INCOME</v>
      </c>
      <c r="C63" s="11"/>
      <c r="D63" s="2">
        <f t="shared" si="61"/>
        <v>0</v>
      </c>
      <c r="E63" s="2"/>
      <c r="F63" s="19">
        <f t="shared" si="53"/>
        <v>0</v>
      </c>
      <c r="G63" s="2"/>
      <c r="H63" s="2">
        <f t="shared" si="62"/>
        <v>0</v>
      </c>
      <c r="I63" s="2"/>
      <c r="J63" s="19">
        <f t="shared" si="54"/>
        <v>0</v>
      </c>
      <c r="K63" s="2"/>
      <c r="L63" s="2">
        <f t="shared" si="55"/>
        <v>0</v>
      </c>
      <c r="M63" s="2"/>
      <c r="N63" s="19">
        <f t="shared" si="56"/>
        <v>0</v>
      </c>
      <c r="O63" s="11"/>
      <c r="P63" s="2">
        <f>--61106.55</f>
        <v>61106.55</v>
      </c>
      <c r="Q63" s="2"/>
      <c r="R63" s="19">
        <f t="shared" si="57"/>
        <v>8.0947728738927189</v>
      </c>
      <c r="S63" s="2"/>
      <c r="T63" s="2">
        <f>0</f>
        <v>0</v>
      </c>
      <c r="U63" s="2"/>
      <c r="V63" s="19">
        <f t="shared" si="58"/>
        <v>0</v>
      </c>
      <c r="W63" s="2"/>
      <c r="X63" s="2">
        <f t="shared" si="59"/>
        <v>61106.55</v>
      </c>
      <c r="Y63" s="2"/>
      <c r="Z63" s="19">
        <f t="shared" si="60"/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0">
        <f>+D25-D27+D58</f>
        <v>613.09999999999968</v>
      </c>
      <c r="E65" s="14"/>
      <c r="F65" s="21">
        <f>IF(D$12=0,0,D65/D$12)</f>
        <v>2.569034150429498</v>
      </c>
      <c r="G65" s="14"/>
      <c r="H65" s="20">
        <f>+H25-H27+H58</f>
        <v>-547.31999999999994</v>
      </c>
      <c r="I65" s="14"/>
      <c r="J65" s="21">
        <f>IF(H$12=0,0,H65/H$12)</f>
        <v>-1.4963092569303951</v>
      </c>
      <c r="K65" s="15"/>
      <c r="L65" s="20">
        <f>+D65-H65</f>
        <v>1160.4199999999996</v>
      </c>
      <c r="M65" s="15"/>
      <c r="N65" s="21">
        <f>IF(H65=0,0,L65/H65)</f>
        <v>-2.12018563180589</v>
      </c>
      <c r="O65" s="28"/>
      <c r="P65" s="20">
        <f>+P25-P27+P58</f>
        <v>86963.01</v>
      </c>
      <c r="Q65" s="14"/>
      <c r="R65" s="21">
        <f>IF(P$12=0,0,P65/P$12)</f>
        <v>11.519973135123177</v>
      </c>
      <c r="S65" s="14"/>
      <c r="T65" s="20">
        <f>+T25-T27+T58</f>
        <v>-5978.5500000000047</v>
      </c>
      <c r="U65" s="14"/>
      <c r="V65" s="21">
        <f>IF(T$12=0,0,T65/T$12)</f>
        <v>-0.78633678107704352</v>
      </c>
      <c r="W65" s="15"/>
      <c r="X65" s="20">
        <f>+P65-T65</f>
        <v>92941.56</v>
      </c>
      <c r="Y65" s="15"/>
      <c r="Z65" s="21">
        <f>IF(T65=0,0,X65/T65)</f>
        <v>-15.545836365004879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>
        <v>41.24</v>
      </c>
      <c r="E67" s="4"/>
      <c r="F67" s="12">
        <f>IF(D$12=0,0,D67/D$12)</f>
        <v>0.17280536350303793</v>
      </c>
      <c r="G67" s="4"/>
      <c r="H67" s="4">
        <v>58.96</v>
      </c>
      <c r="I67" s="4"/>
      <c r="J67" s="12">
        <f>IF(H$12=0,0,H67/H$12)</f>
        <v>0.16118978621029031</v>
      </c>
      <c r="K67" s="4"/>
      <c r="L67" s="4">
        <f>+D67-H67</f>
        <v>-17.72</v>
      </c>
      <c r="M67" s="4"/>
      <c r="N67" s="12">
        <f>IF(H67=0,0,L67/H67)</f>
        <v>-0.30054274084124827</v>
      </c>
      <c r="O67" s="10"/>
      <c r="P67" s="4">
        <v>815.34</v>
      </c>
      <c r="Q67" s="4"/>
      <c r="R67" s="12">
        <f>IF(P$12=0,0,P67/P$12)</f>
        <v>0.10800793229203236</v>
      </c>
      <c r="S67" s="4"/>
      <c r="T67" s="4">
        <v>820.48</v>
      </c>
      <c r="U67" s="4"/>
      <c r="V67" s="12">
        <f>IF(T$12=0,0,T67/T$12)</f>
        <v>0.10791472884530398</v>
      </c>
      <c r="W67" s="4"/>
      <c r="X67" s="4">
        <f>+P67-T67</f>
        <v>-5.1399999999999864</v>
      </c>
      <c r="Y67" s="4"/>
      <c r="Z67" s="12">
        <f>IF(T67=0,0,X67/T67)</f>
        <v>-6.2646255850233841E-3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2">
        <f>+D65-D67</f>
        <v>571.85999999999967</v>
      </c>
      <c r="E69" s="14"/>
      <c r="F69" s="30">
        <f>IF(D$12=0,0,D69/D$12)</f>
        <v>2.3962287869264598</v>
      </c>
      <c r="G69" s="14"/>
      <c r="H69" s="32">
        <f>+H65-H67</f>
        <v>-606.28</v>
      </c>
      <c r="I69" s="14"/>
      <c r="J69" s="30">
        <f>IF(H$12=0,0,H69/H$12)</f>
        <v>-1.6574990431406855</v>
      </c>
      <c r="K69" s="15"/>
      <c r="L69" s="32">
        <f>D69-H69</f>
        <v>1178.1399999999996</v>
      </c>
      <c r="M69" s="15"/>
      <c r="N69" s="30">
        <f>IF(H69=0,0,L69/H69)</f>
        <v>-1.9432275516263107</v>
      </c>
      <c r="O69" s="28"/>
      <c r="P69" s="32">
        <f>+P65-P67</f>
        <v>86147.67</v>
      </c>
      <c r="Q69" s="14"/>
      <c r="R69" s="30">
        <f>IF(P$12=0,0,P69/P$12)</f>
        <v>11.411965202831146</v>
      </c>
      <c r="S69" s="14"/>
      <c r="T69" s="32">
        <f>+T65-T67</f>
        <v>-6799.0300000000043</v>
      </c>
      <c r="U69" s="14"/>
      <c r="V69" s="30">
        <f>IF(T$12=0,0,T69/T$12)</f>
        <v>-0.89425150992234737</v>
      </c>
      <c r="W69" s="15"/>
      <c r="X69" s="32">
        <f>P69-T69</f>
        <v>92946.7</v>
      </c>
      <c r="Y69" s="15"/>
      <c r="Z69" s="30">
        <f>IF(T69=0,0,X69/T69)</f>
        <v>-13.670582421315972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6">
        <f>SUM(D69:D71)</f>
        <v>571.85999999999967</v>
      </c>
      <c r="E72" s="14"/>
      <c r="F72" s="31">
        <f>IF(D$12=0,0,D72/D$12)</f>
        <v>2.3962287869264598</v>
      </c>
      <c r="G72" s="14"/>
      <c r="H72" s="36">
        <f>SUM(H69:H71)</f>
        <v>-606.28</v>
      </c>
      <c r="I72" s="14"/>
      <c r="J72" s="31">
        <f>IF(H$12=0,0,H72/H$12)</f>
        <v>-1.6574990431406855</v>
      </c>
      <c r="K72" s="15"/>
      <c r="L72" s="36">
        <f>+D72-H72</f>
        <v>1178.1399999999996</v>
      </c>
      <c r="M72" s="15"/>
      <c r="N72" s="31">
        <f>IF(H72=0,0,L72/H72)</f>
        <v>-1.9432275516263107</v>
      </c>
      <c r="O72" s="28"/>
      <c r="P72" s="36">
        <f>SUM(P69:P71)</f>
        <v>86147.67</v>
      </c>
      <c r="Q72" s="14"/>
      <c r="R72" s="31">
        <f>IF(P$12=0,0,P72/P$12)</f>
        <v>11.411965202831146</v>
      </c>
      <c r="S72" s="14"/>
      <c r="T72" s="36">
        <f>SUM(T69:T71)</f>
        <v>-6799.0300000000043</v>
      </c>
      <c r="U72" s="14"/>
      <c r="V72" s="31">
        <f>IF(T$12=0,0,T72/T$12)</f>
        <v>-0.89425150992234737</v>
      </c>
      <c r="W72" s="15"/>
      <c r="X72" s="36">
        <f>+P72-T72</f>
        <v>92946.7</v>
      </c>
      <c r="Y72" s="15"/>
      <c r="Z72" s="31">
        <f>IF(T72=0,0,X72/T72)</f>
        <v>-13.670582421315972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62">
        <v>43847.45381392361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56" t="s">
        <v>313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54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310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84496.63</v>
      </c>
      <c r="E12" s="4"/>
      <c r="F12" s="12"/>
      <c r="G12" s="4"/>
      <c r="H12" s="4">
        <f>SUM(OSRRefH13x_0)</f>
        <v>178214.93000000005</v>
      </c>
      <c r="I12" s="4"/>
      <c r="J12" s="12"/>
      <c r="K12" s="4"/>
      <c r="L12" s="4">
        <f t="shared" ref="L12:L36" si="0">+D12-H12</f>
        <v>-93718.300000000047</v>
      </c>
      <c r="M12" s="4"/>
      <c r="N12" s="12">
        <f t="shared" ref="N12:N36" si="1">IF(H12=0,0,L12/H12)</f>
        <v>-0.52587232730725775</v>
      </c>
      <c r="O12" s="10"/>
      <c r="P12" s="4">
        <f>SUM(OSRRefP13x_0)</f>
        <v>1583381.76</v>
      </c>
      <c r="Q12" s="4"/>
      <c r="R12" s="12"/>
      <c r="S12" s="4"/>
      <c r="T12" s="4">
        <f>SUM(OSRRefT13x_0)</f>
        <v>1542165.1500000001</v>
      </c>
      <c r="U12" s="4"/>
      <c r="V12" s="12"/>
      <c r="W12" s="4"/>
      <c r="X12" s="4">
        <f t="shared" ref="X12:X36" si="2">+P12-T12</f>
        <v>41216.60999999987</v>
      </c>
      <c r="Y12" s="4"/>
      <c r="Z12" s="12">
        <f t="shared" ref="Z12:Z36" si="3">IF(T12=0,0,X12/T12)</f>
        <v>2.6726456631444347E-2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--14554.47</f>
        <v>14554.47</v>
      </c>
      <c r="E13" s="2"/>
      <c r="F13" s="19"/>
      <c r="G13" s="2"/>
      <c r="H13" s="2">
        <f>--5777.96</f>
        <v>5777.96</v>
      </c>
      <c r="I13" s="2"/>
      <c r="J13" s="19"/>
      <c r="K13" s="2"/>
      <c r="L13" s="2">
        <f t="shared" si="0"/>
        <v>8776.5099999999984</v>
      </c>
      <c r="M13" s="2"/>
      <c r="N13" s="19">
        <f t="shared" si="1"/>
        <v>1.518963440383803</v>
      </c>
      <c r="O13" s="11"/>
      <c r="P13" s="2">
        <f>--244135.05</f>
        <v>244135.05</v>
      </c>
      <c r="Q13" s="2"/>
      <c r="R13" s="19"/>
      <c r="S13" s="2"/>
      <c r="T13" s="2">
        <f>--180634.91</f>
        <v>180634.91</v>
      </c>
      <c r="U13" s="2"/>
      <c r="V13" s="19"/>
      <c r="W13" s="2"/>
      <c r="X13" s="2">
        <f t="shared" si="2"/>
        <v>63500.139999999985</v>
      </c>
      <c r="Y13" s="2"/>
      <c r="Z13" s="19">
        <f t="shared" si="3"/>
        <v>0.35153858132960003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--59566.42</f>
        <v>59566.42</v>
      </c>
      <c r="E14" s="2"/>
      <c r="F14" s="19"/>
      <c r="G14" s="2"/>
      <c r="H14" s="2">
        <f>--141717</f>
        <v>141717</v>
      </c>
      <c r="I14" s="2"/>
      <c r="J14" s="19"/>
      <c r="K14" s="2"/>
      <c r="L14" s="2">
        <f t="shared" si="0"/>
        <v>-82150.58</v>
      </c>
      <c r="M14" s="2"/>
      <c r="N14" s="19">
        <f t="shared" si="1"/>
        <v>-0.57968048999061517</v>
      </c>
      <c r="O14" s="11"/>
      <c r="P14" s="2">
        <f>--1342335.26</f>
        <v>1342335.26</v>
      </c>
      <c r="Q14" s="2"/>
      <c r="R14" s="19"/>
      <c r="S14" s="2"/>
      <c r="T14" s="2">
        <f>--1101796.91</f>
        <v>1101796.9099999999</v>
      </c>
      <c r="U14" s="2"/>
      <c r="V14" s="19"/>
      <c r="W14" s="2"/>
      <c r="X14" s="2">
        <f t="shared" si="2"/>
        <v>240538.35000000009</v>
      </c>
      <c r="Y14" s="2"/>
      <c r="Z14" s="19">
        <f t="shared" si="3"/>
        <v>0.21831459846806078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--6927.18</f>
        <v>6927.18</v>
      </c>
      <c r="E15" s="2"/>
      <c r="F15" s="19"/>
      <c r="G15" s="2"/>
      <c r="H15" s="2">
        <f>--8130.2</f>
        <v>8130.2</v>
      </c>
      <c r="I15" s="2"/>
      <c r="J15" s="19"/>
      <c r="K15" s="2"/>
      <c r="L15" s="2">
        <f t="shared" si="0"/>
        <v>-1203.0199999999995</v>
      </c>
      <c r="M15" s="2"/>
      <c r="N15" s="19">
        <f t="shared" si="1"/>
        <v>-0.14796929964822508</v>
      </c>
      <c r="O15" s="11"/>
      <c r="P15" s="2">
        <f>--70431.2</f>
        <v>70431.199999999997</v>
      </c>
      <c r="Q15" s="2"/>
      <c r="R15" s="19"/>
      <c r="S15" s="2"/>
      <c r="T15" s="2">
        <f>--77160.09</f>
        <v>77160.09</v>
      </c>
      <c r="U15" s="2"/>
      <c r="V15" s="19"/>
      <c r="W15" s="2"/>
      <c r="X15" s="2">
        <f t="shared" si="2"/>
        <v>-6728.8899999999994</v>
      </c>
      <c r="Y15" s="2"/>
      <c r="Z15" s="19">
        <f t="shared" si="3"/>
        <v>-8.720687080587905E-2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--1077</f>
        <v>1077</v>
      </c>
      <c r="I16" s="2"/>
      <c r="J16" s="19"/>
      <c r="K16" s="2"/>
      <c r="L16" s="2">
        <f t="shared" si="0"/>
        <v>-1077</v>
      </c>
      <c r="M16" s="2"/>
      <c r="N16" s="19">
        <f t="shared" si="1"/>
        <v>-1</v>
      </c>
      <c r="O16" s="11"/>
      <c r="P16" s="2">
        <f>--129</f>
        <v>129</v>
      </c>
      <c r="Q16" s="2"/>
      <c r="R16" s="19"/>
      <c r="S16" s="2"/>
      <c r="T16" s="2">
        <f>--1484.99</f>
        <v>1484.99</v>
      </c>
      <c r="U16" s="2"/>
      <c r="V16" s="19"/>
      <c r="W16" s="2"/>
      <c r="X16" s="2">
        <f t="shared" si="2"/>
        <v>-1355.99</v>
      </c>
      <c r="Y16" s="2"/>
      <c r="Z16" s="19">
        <f t="shared" si="3"/>
        <v>-0.91313072815305152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--389.97</f>
        <v>389.97</v>
      </c>
      <c r="I17" s="2"/>
      <c r="J17" s="19"/>
      <c r="K17" s="2"/>
      <c r="L17" s="2">
        <f t="shared" si="0"/>
        <v>-389.97</v>
      </c>
      <c r="M17" s="2"/>
      <c r="N17" s="19">
        <f t="shared" si="1"/>
        <v>-1</v>
      </c>
      <c r="O17" s="11"/>
      <c r="P17" s="2">
        <f>--4407.94</f>
        <v>4407.9399999999996</v>
      </c>
      <c r="Q17" s="2"/>
      <c r="R17" s="19"/>
      <c r="S17" s="2"/>
      <c r="T17" s="2">
        <f>--9828.81</f>
        <v>9828.81</v>
      </c>
      <c r="U17" s="2"/>
      <c r="V17" s="19"/>
      <c r="W17" s="2"/>
      <c r="X17" s="2">
        <f t="shared" si="2"/>
        <v>-5420.87</v>
      </c>
      <c r="Y17" s="2"/>
      <c r="Z17" s="19">
        <f t="shared" si="3"/>
        <v>-0.55152861841870993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--2710.56</f>
        <v>2710.56</v>
      </c>
      <c r="E18" s="2"/>
      <c r="F18" s="19"/>
      <c r="G18" s="2"/>
      <c r="H18" s="2">
        <f>--6902.57</f>
        <v>6902.57</v>
      </c>
      <c r="I18" s="2"/>
      <c r="J18" s="19"/>
      <c r="K18" s="2"/>
      <c r="L18" s="2">
        <f t="shared" si="0"/>
        <v>-4192.01</v>
      </c>
      <c r="M18" s="2"/>
      <c r="N18" s="19">
        <f t="shared" si="1"/>
        <v>-0.60731147963729459</v>
      </c>
      <c r="O18" s="11"/>
      <c r="P18" s="2">
        <f>--33078.47</f>
        <v>33078.47</v>
      </c>
      <c r="Q18" s="2"/>
      <c r="R18" s="19"/>
      <c r="S18" s="2"/>
      <c r="T18" s="2">
        <f>--42646.83</f>
        <v>42646.83</v>
      </c>
      <c r="U18" s="2"/>
      <c r="V18" s="19"/>
      <c r="W18" s="2"/>
      <c r="X18" s="2">
        <f t="shared" si="2"/>
        <v>-9568.36</v>
      </c>
      <c r="Y18" s="2"/>
      <c r="Z18" s="19">
        <f t="shared" si="3"/>
        <v>-0.22436274864978242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 t="shared" ref="D19:D20" si="5">0</f>
        <v>0</v>
      </c>
      <c r="E19" s="2"/>
      <c r="F19" s="19"/>
      <c r="G19" s="2"/>
      <c r="H19" s="2">
        <f>--4.99</f>
        <v>4.99</v>
      </c>
      <c r="I19" s="2"/>
      <c r="J19" s="19"/>
      <c r="K19" s="2"/>
      <c r="L19" s="2">
        <f t="shared" si="0"/>
        <v>-4.99</v>
      </c>
      <c r="M19" s="2"/>
      <c r="N19" s="19">
        <f t="shared" si="1"/>
        <v>-1</v>
      </c>
      <c r="O19" s="11"/>
      <c r="P19" s="2">
        <f>--936.91</f>
        <v>936.91</v>
      </c>
      <c r="Q19" s="2"/>
      <c r="R19" s="19"/>
      <c r="S19" s="2"/>
      <c r="T19" s="2">
        <f>--1284.85</f>
        <v>1284.8499999999999</v>
      </c>
      <c r="U19" s="2"/>
      <c r="V19" s="19"/>
      <c r="W19" s="2"/>
      <c r="X19" s="2">
        <f t="shared" si="2"/>
        <v>-347.93999999999994</v>
      </c>
      <c r="Y19" s="2"/>
      <c r="Z19" s="19">
        <f t="shared" si="3"/>
        <v>-0.27080203914853873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si="5"/>
        <v>0</v>
      </c>
      <c r="E20" s="2"/>
      <c r="F20" s="19"/>
      <c r="G20" s="2"/>
      <c r="H20" s="2">
        <f>--4487.6</f>
        <v>4487.6000000000004</v>
      </c>
      <c r="I20" s="2"/>
      <c r="J20" s="19"/>
      <c r="K20" s="2"/>
      <c r="L20" s="2">
        <f t="shared" si="0"/>
        <v>-4487.6000000000004</v>
      </c>
      <c r="M20" s="2"/>
      <c r="N20" s="19">
        <f t="shared" si="1"/>
        <v>-1</v>
      </c>
      <c r="O20" s="11"/>
      <c r="P20" s="2">
        <f>--1462.51</f>
        <v>1462.51</v>
      </c>
      <c r="Q20" s="2"/>
      <c r="R20" s="19"/>
      <c r="S20" s="2"/>
      <c r="T20" s="2">
        <f>--6266.46</f>
        <v>6266.46</v>
      </c>
      <c r="U20" s="2"/>
      <c r="V20" s="19"/>
      <c r="W20" s="2"/>
      <c r="X20" s="2">
        <f t="shared" si="2"/>
        <v>-4803.95</v>
      </c>
      <c r="Y20" s="2"/>
      <c r="Z20" s="19">
        <f t="shared" si="3"/>
        <v>-0.76661304787711082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--8486</f>
        <v>8486</v>
      </c>
      <c r="E21" s="2"/>
      <c r="F21" s="19"/>
      <c r="G21" s="2"/>
      <c r="H21" s="2">
        <f>--17809</f>
        <v>17809</v>
      </c>
      <c r="I21" s="2"/>
      <c r="J21" s="19"/>
      <c r="K21" s="2"/>
      <c r="L21" s="2">
        <f t="shared" si="0"/>
        <v>-9323</v>
      </c>
      <c r="M21" s="2"/>
      <c r="N21" s="19">
        <f t="shared" si="1"/>
        <v>-0.52349935425908245</v>
      </c>
      <c r="O21" s="11"/>
      <c r="P21" s="2">
        <f>--70795</f>
        <v>70795</v>
      </c>
      <c r="Q21" s="2"/>
      <c r="R21" s="19"/>
      <c r="S21" s="2"/>
      <c r="T21" s="2">
        <f>--166621.85</f>
        <v>166621.85</v>
      </c>
      <c r="U21" s="2"/>
      <c r="V21" s="19"/>
      <c r="W21" s="2"/>
      <c r="X21" s="2">
        <f t="shared" si="2"/>
        <v>-95826.85</v>
      </c>
      <c r="Y21" s="2"/>
      <c r="Z21" s="19">
        <f t="shared" si="3"/>
        <v>-0.57511574862480519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--266.75</f>
        <v>266.75</v>
      </c>
      <c r="E22" s="2"/>
      <c r="F22" s="19"/>
      <c r="G22" s="2"/>
      <c r="H22" s="2">
        <f>--829.73</f>
        <v>829.73</v>
      </c>
      <c r="I22" s="2"/>
      <c r="J22" s="19"/>
      <c r="K22" s="2"/>
      <c r="L22" s="2">
        <f t="shared" si="0"/>
        <v>-562.98</v>
      </c>
      <c r="M22" s="2"/>
      <c r="N22" s="19">
        <f t="shared" si="1"/>
        <v>-0.67850987670688057</v>
      </c>
      <c r="O22" s="11"/>
      <c r="P22" s="2">
        <f>--3571.63</f>
        <v>3571.63</v>
      </c>
      <c r="Q22" s="2"/>
      <c r="R22" s="19"/>
      <c r="S22" s="2"/>
      <c r="T22" s="2">
        <f>--5430.48</f>
        <v>5430.48</v>
      </c>
      <c r="U22" s="2"/>
      <c r="V22" s="19"/>
      <c r="W22" s="2"/>
      <c r="X22" s="2">
        <f t="shared" si="2"/>
        <v>-1858.8499999999995</v>
      </c>
      <c r="Y22" s="2"/>
      <c r="Z22" s="19">
        <f t="shared" si="3"/>
        <v>-0.34229939158232781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--129</f>
        <v>129</v>
      </c>
      <c r="I23" s="2"/>
      <c r="J23" s="19"/>
      <c r="K23" s="2"/>
      <c r="L23" s="2">
        <f t="shared" si="0"/>
        <v>-129</v>
      </c>
      <c r="M23" s="2"/>
      <c r="N23" s="19">
        <f t="shared" si="1"/>
        <v>-1</v>
      </c>
      <c r="O23" s="11"/>
      <c r="P23" s="2">
        <f>--2728</f>
        <v>2728</v>
      </c>
      <c r="Q23" s="2"/>
      <c r="R23" s="19"/>
      <c r="S23" s="2"/>
      <c r="T23" s="2">
        <f>--486</f>
        <v>486</v>
      </c>
      <c r="U23" s="2"/>
      <c r="V23" s="19"/>
      <c r="W23" s="2"/>
      <c r="X23" s="2">
        <f t="shared" si="2"/>
        <v>2242</v>
      </c>
      <c r="Y23" s="2"/>
      <c r="Z23" s="19">
        <f t="shared" si="3"/>
        <v>4.6131687242798352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--437.97</f>
        <v>437.97</v>
      </c>
      <c r="E24" s="2"/>
      <c r="F24" s="19"/>
      <c r="G24" s="2"/>
      <c r="H24" s="2">
        <f>--275</f>
        <v>275</v>
      </c>
      <c r="I24" s="2"/>
      <c r="J24" s="19"/>
      <c r="K24" s="2"/>
      <c r="L24" s="2">
        <f t="shared" si="0"/>
        <v>162.97000000000003</v>
      </c>
      <c r="M24" s="2"/>
      <c r="N24" s="19">
        <f t="shared" si="1"/>
        <v>0.59261818181818193</v>
      </c>
      <c r="O24" s="11"/>
      <c r="P24" s="2">
        <f>--9401.84</f>
        <v>9401.84</v>
      </c>
      <c r="Q24" s="2"/>
      <c r="R24" s="19"/>
      <c r="S24" s="2"/>
      <c r="T24" s="2">
        <f>--2924.91</f>
        <v>2924.91</v>
      </c>
      <c r="U24" s="2"/>
      <c r="V24" s="19"/>
      <c r="W24" s="2"/>
      <c r="X24" s="2">
        <f t="shared" si="2"/>
        <v>6476.93</v>
      </c>
      <c r="Y24" s="2"/>
      <c r="Z24" s="19">
        <f t="shared" si="3"/>
        <v>2.2144031782174496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--49.99</f>
        <v>49.99</v>
      </c>
      <c r="E25" s="2"/>
      <c r="F25" s="19"/>
      <c r="G25" s="2"/>
      <c r="H25" s="2">
        <f>--90.98</f>
        <v>90.98</v>
      </c>
      <c r="I25" s="2"/>
      <c r="J25" s="19"/>
      <c r="K25" s="2"/>
      <c r="L25" s="2">
        <f t="shared" si="0"/>
        <v>-40.99</v>
      </c>
      <c r="M25" s="2"/>
      <c r="N25" s="19">
        <f t="shared" si="1"/>
        <v>-0.45053857990767204</v>
      </c>
      <c r="O25" s="11"/>
      <c r="P25" s="2">
        <f>--1653.36</f>
        <v>1653.36</v>
      </c>
      <c r="Q25" s="2"/>
      <c r="R25" s="19"/>
      <c r="S25" s="2"/>
      <c r="T25" s="2">
        <f>--3004.99</f>
        <v>3004.99</v>
      </c>
      <c r="U25" s="2"/>
      <c r="V25" s="19"/>
      <c r="W25" s="2"/>
      <c r="X25" s="2">
        <f t="shared" si="2"/>
        <v>-1351.6299999999999</v>
      </c>
      <c r="Y25" s="2"/>
      <c r="Z25" s="19">
        <f t="shared" si="3"/>
        <v>-0.44979517402720143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-804.91</f>
        <v>-804.91</v>
      </c>
      <c r="E27" s="2"/>
      <c r="F27" s="19"/>
      <c r="G27" s="2"/>
      <c r="H27" s="2">
        <f>-1014.74</f>
        <v>-1014.74</v>
      </c>
      <c r="I27" s="2"/>
      <c r="J27" s="19"/>
      <c r="K27" s="2"/>
      <c r="L27" s="2">
        <f t="shared" si="0"/>
        <v>209.83000000000004</v>
      </c>
      <c r="M27" s="2"/>
      <c r="N27" s="19">
        <f t="shared" si="1"/>
        <v>-0.20678203283599744</v>
      </c>
      <c r="O27" s="11"/>
      <c r="P27" s="2">
        <f>-5806.99</f>
        <v>-5806.99</v>
      </c>
      <c r="Q27" s="2"/>
      <c r="R27" s="19"/>
      <c r="S27" s="2"/>
      <c r="T27" s="2">
        <f>-5502.77</f>
        <v>-5502.77</v>
      </c>
      <c r="U27" s="2"/>
      <c r="V27" s="19"/>
      <c r="W27" s="2"/>
      <c r="X27" s="2">
        <f t="shared" si="2"/>
        <v>-304.21999999999935</v>
      </c>
      <c r="Y27" s="2"/>
      <c r="Z27" s="19">
        <f t="shared" si="3"/>
        <v>5.5284883794888634E-2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-7175.99</f>
        <v>-7175.99</v>
      </c>
      <c r="E28" s="2"/>
      <c r="F28" s="19"/>
      <c r="G28" s="2"/>
      <c r="H28" s="2">
        <f>-7470.3</f>
        <v>-7470.3</v>
      </c>
      <c r="I28" s="2"/>
      <c r="J28" s="19"/>
      <c r="K28" s="2"/>
      <c r="L28" s="2">
        <f t="shared" si="0"/>
        <v>294.3100000000004</v>
      </c>
      <c r="M28" s="2"/>
      <c r="N28" s="19">
        <f t="shared" si="1"/>
        <v>-3.9397346826767383E-2</v>
      </c>
      <c r="O28" s="11"/>
      <c r="P28" s="2">
        <f>-187653.58</f>
        <v>-187653.58</v>
      </c>
      <c r="Q28" s="2"/>
      <c r="R28" s="19"/>
      <c r="S28" s="2"/>
      <c r="T28" s="2">
        <f>-45046.97</f>
        <v>-45046.97</v>
      </c>
      <c r="U28" s="2"/>
      <c r="V28" s="19"/>
      <c r="W28" s="2"/>
      <c r="X28" s="2">
        <f t="shared" si="2"/>
        <v>-142606.60999999999</v>
      </c>
      <c r="Y28" s="2"/>
      <c r="Z28" s="19">
        <f t="shared" si="3"/>
        <v>3.1657314576318893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-325.91</f>
        <v>-325.91000000000003</v>
      </c>
      <c r="E29" s="2"/>
      <c r="F29" s="19"/>
      <c r="G29" s="2"/>
      <c r="H29" s="2">
        <f>-396.94</f>
        <v>-396.94</v>
      </c>
      <c r="I29" s="2"/>
      <c r="J29" s="19"/>
      <c r="K29" s="2"/>
      <c r="L29" s="2">
        <f t="shared" si="0"/>
        <v>71.029999999999973</v>
      </c>
      <c r="M29" s="2"/>
      <c r="N29" s="19">
        <f t="shared" si="1"/>
        <v>-0.1789439209956164</v>
      </c>
      <c r="O29" s="11"/>
      <c r="P29" s="2">
        <f>-3282.15</f>
        <v>-3282.15</v>
      </c>
      <c r="Q29" s="2"/>
      <c r="R29" s="19"/>
      <c r="S29" s="2"/>
      <c r="T29" s="2">
        <f>-4005.47</f>
        <v>-4005.47</v>
      </c>
      <c r="U29" s="2"/>
      <c r="V29" s="19"/>
      <c r="W29" s="2"/>
      <c r="X29" s="2">
        <f t="shared" si="2"/>
        <v>723.31999999999971</v>
      </c>
      <c r="Y29" s="2"/>
      <c r="Z29" s="19">
        <f t="shared" si="3"/>
        <v>-0.18058305267546623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6">0</f>
        <v>0</v>
      </c>
      <c r="E30" s="2"/>
      <c r="F30" s="19"/>
      <c r="G30" s="2"/>
      <c r="H30" s="2">
        <f t="shared" ref="H30:H31" si="7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8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6"/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-655.98</f>
        <v>-655.98</v>
      </c>
      <c r="Q31" s="2"/>
      <c r="R31" s="19"/>
      <c r="S31" s="2"/>
      <c r="T31" s="2">
        <f t="shared" si="8"/>
        <v>0</v>
      </c>
      <c r="U31" s="2"/>
      <c r="V31" s="19"/>
      <c r="W31" s="2"/>
      <c r="X31" s="2">
        <f t="shared" si="2"/>
        <v>-655.98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-195.9</f>
        <v>-195.9</v>
      </c>
      <c r="E32" s="2"/>
      <c r="F32" s="19"/>
      <c r="G32" s="2"/>
      <c r="H32" s="2">
        <f>-424.13</f>
        <v>-424.13</v>
      </c>
      <c r="I32" s="2"/>
      <c r="J32" s="19"/>
      <c r="K32" s="2"/>
      <c r="L32" s="2">
        <f t="shared" si="0"/>
        <v>228.23</v>
      </c>
      <c r="M32" s="2"/>
      <c r="N32" s="19">
        <f t="shared" si="1"/>
        <v>-0.53811331431400744</v>
      </c>
      <c r="O32" s="11"/>
      <c r="P32" s="2">
        <f>-2987.89</f>
        <v>-2987.89</v>
      </c>
      <c r="Q32" s="2"/>
      <c r="R32" s="19"/>
      <c r="S32" s="2"/>
      <c r="T32" s="2">
        <f>-2937.75</f>
        <v>-2937.75</v>
      </c>
      <c r="U32" s="2"/>
      <c r="V32" s="19"/>
      <c r="W32" s="2"/>
      <c r="X32" s="2">
        <f t="shared" si="2"/>
        <v>-50.139999999999873</v>
      </c>
      <c r="Y32" s="2"/>
      <c r="Z32" s="19">
        <f t="shared" si="3"/>
        <v>1.7067483618415411E-2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6" si="9"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-3.99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9"/>
        <v>0</v>
      </c>
      <c r="E34" s="2"/>
      <c r="F34" s="19"/>
      <c r="G34" s="2"/>
      <c r="H34" s="2">
        <f>-9.99</f>
        <v>-9.99</v>
      </c>
      <c r="I34" s="2"/>
      <c r="J34" s="19"/>
      <c r="K34" s="2"/>
      <c r="L34" s="2">
        <f t="shared" si="0"/>
        <v>9.99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-9.99</f>
        <v>-9.99</v>
      </c>
      <c r="U34" s="2"/>
      <c r="V34" s="19"/>
      <c r="W34" s="2"/>
      <c r="X34" s="2">
        <f t="shared" si="2"/>
        <v>-1269.8499999999999</v>
      </c>
      <c r="Y34" s="2"/>
      <c r="Z34" s="19">
        <f t="shared" si="3"/>
        <v>127.1121121121121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9"/>
        <v>0</v>
      </c>
      <c r="E35" s="2"/>
      <c r="F35" s="19"/>
      <c r="G35" s="2"/>
      <c r="H35" s="2">
        <f>-39.98</f>
        <v>-39.979999999999997</v>
      </c>
      <c r="I35" s="2"/>
      <c r="J35" s="19"/>
      <c r="K35" s="2"/>
      <c r="L35" s="2">
        <f t="shared" si="0"/>
        <v>39.979999999999997</v>
      </c>
      <c r="M35" s="2"/>
      <c r="N35" s="19">
        <f t="shared" si="1"/>
        <v>-1</v>
      </c>
      <c r="O35" s="11"/>
      <c r="P35" s="2">
        <f>-49.98</f>
        <v>-49.98</v>
      </c>
      <c r="Q35" s="2"/>
      <c r="R35" s="19"/>
      <c r="S35" s="2"/>
      <c r="T35" s="2">
        <f>-53.97</f>
        <v>-53.97</v>
      </c>
      <c r="U35" s="2"/>
      <c r="V35" s="19"/>
      <c r="W35" s="2"/>
      <c r="X35" s="2">
        <f t="shared" si="2"/>
        <v>3.990000000000002</v>
      </c>
      <c r="Y35" s="2"/>
      <c r="Z35" s="19">
        <f t="shared" si="3"/>
        <v>-7.3929961089494206E-2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9"/>
        <v>0</v>
      </c>
      <c r="E36" s="2"/>
      <c r="F36" s="19"/>
      <c r="G36" s="2"/>
      <c r="H36" s="2">
        <f>-49.99</f>
        <v>-49.99</v>
      </c>
      <c r="I36" s="2"/>
      <c r="J36" s="19"/>
      <c r="K36" s="2"/>
      <c r="L36" s="2">
        <f t="shared" si="0"/>
        <v>49.99</v>
      </c>
      <c r="M36" s="2"/>
      <c r="N36" s="19">
        <f t="shared" si="1"/>
        <v>-1</v>
      </c>
      <c r="O36" s="11"/>
      <c r="P36" s="2">
        <f>-54.97</f>
        <v>-54.97</v>
      </c>
      <c r="Q36" s="2"/>
      <c r="R36" s="19"/>
      <c r="S36" s="2"/>
      <c r="T36" s="2">
        <f>-49.99</f>
        <v>-49.99</v>
      </c>
      <c r="U36" s="2"/>
      <c r="V36" s="19"/>
      <c r="W36" s="2"/>
      <c r="X36" s="2">
        <f t="shared" si="2"/>
        <v>-4.9799999999999969</v>
      </c>
      <c r="Y36" s="2"/>
      <c r="Z36" s="19">
        <f t="shared" si="3"/>
        <v>9.9619923984796896E-2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70545.789999999994</v>
      </c>
      <c r="E38" s="4"/>
      <c r="F38" s="12">
        <f t="shared" ref="F38:F52" si="10">IF(D$12=0,0,D38/D$12)</f>
        <v>0.83489471710291863</v>
      </c>
      <c r="G38" s="4"/>
      <c r="H38" s="4">
        <f>SUM(OSRRefH16x_0)</f>
        <v>143256.71</v>
      </c>
      <c r="I38" s="4"/>
      <c r="J38" s="12">
        <f t="shared" ref="J38:J52" si="11">IF(H$12=0,0,H38/H$12)</f>
        <v>0.80384236045767854</v>
      </c>
      <c r="K38" s="4"/>
      <c r="L38" s="4">
        <f t="shared" ref="L38:L52" si="12">+D38-H38</f>
        <v>-72710.92</v>
      </c>
      <c r="M38" s="4"/>
      <c r="N38" s="12">
        <f t="shared" ref="N38:N52" si="13">IF(H38=0,0,L38/H38)</f>
        <v>-0.50755681880450843</v>
      </c>
      <c r="O38" s="10"/>
      <c r="P38" s="4">
        <f>SUM(OSRRefP16x_0)</f>
        <v>1407046.8499999999</v>
      </c>
      <c r="Q38" s="4"/>
      <c r="R38" s="12">
        <f t="shared" ref="R38:R52" si="14">IF(P$12=0,0,P38/P$12)</f>
        <v>0.88863398931663828</v>
      </c>
      <c r="S38" s="4"/>
      <c r="T38" s="4">
        <f>SUM(OSRRefT16x_0)</f>
        <v>1306430.8500000001</v>
      </c>
      <c r="U38" s="4"/>
      <c r="V38" s="12">
        <f t="shared" ref="V38:V52" si="15">IF(T$12=0,0,T38/T$12)</f>
        <v>0.84714069047663276</v>
      </c>
      <c r="W38" s="4"/>
      <c r="X38" s="4">
        <f t="shared" ref="X38:X52" si="16">+P38-T38</f>
        <v>100615.99999999977</v>
      </c>
      <c r="Y38" s="4"/>
      <c r="Z38" s="12">
        <f t="shared" ref="Z38:Z52" si="17">IF(T38=0,0,X38/T38)</f>
        <v>7.7015940032340607E-2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2601.6999999999998</v>
      </c>
      <c r="E39" s="2"/>
      <c r="F39" s="19">
        <f t="shared" si="10"/>
        <v>3.079057709165442E-2</v>
      </c>
      <c r="G39" s="2"/>
      <c r="H39" s="2">
        <v>2241.6999999999998</v>
      </c>
      <c r="I39" s="2"/>
      <c r="J39" s="19">
        <f t="shared" si="11"/>
        <v>1.2578631880056285E-2</v>
      </c>
      <c r="K39" s="2"/>
      <c r="L39" s="2">
        <f t="shared" si="12"/>
        <v>360</v>
      </c>
      <c r="M39" s="2"/>
      <c r="N39" s="19">
        <f t="shared" si="13"/>
        <v>0.16059240754784318</v>
      </c>
      <c r="O39" s="11"/>
      <c r="P39" s="2">
        <v>187409.43</v>
      </c>
      <c r="Q39" s="2"/>
      <c r="R39" s="19">
        <f t="shared" si="14"/>
        <v>0.11836023044752012</v>
      </c>
      <c r="S39" s="2"/>
      <c r="T39" s="2">
        <v>161283.47</v>
      </c>
      <c r="U39" s="2"/>
      <c r="V39" s="19">
        <f t="shared" si="15"/>
        <v>0.10458248910630615</v>
      </c>
      <c r="W39" s="2"/>
      <c r="X39" s="2">
        <f t="shared" si="16"/>
        <v>26125.959999999992</v>
      </c>
      <c r="Y39" s="2"/>
      <c r="Z39" s="19">
        <f t="shared" si="17"/>
        <v>0.16198783421512442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49827.72</v>
      </c>
      <c r="E40" s="2"/>
      <c r="F40" s="19">
        <f t="shared" si="10"/>
        <v>0.58970067800337123</v>
      </c>
      <c r="G40" s="2"/>
      <c r="H40" s="2">
        <v>86098.75</v>
      </c>
      <c r="I40" s="2"/>
      <c r="J40" s="19">
        <f t="shared" si="11"/>
        <v>0.48311749189588088</v>
      </c>
      <c r="K40" s="2"/>
      <c r="L40" s="2">
        <f t="shared" si="12"/>
        <v>-36271.03</v>
      </c>
      <c r="M40" s="2"/>
      <c r="N40" s="19">
        <f t="shared" si="13"/>
        <v>-0.42127243426879019</v>
      </c>
      <c r="O40" s="11"/>
      <c r="P40" s="2">
        <v>1008177.98</v>
      </c>
      <c r="Q40" s="2"/>
      <c r="R40" s="19">
        <f t="shared" si="14"/>
        <v>0.63672451298163246</v>
      </c>
      <c r="S40" s="2"/>
      <c r="T40" s="2">
        <v>945263.31</v>
      </c>
      <c r="U40" s="2"/>
      <c r="V40" s="19">
        <f t="shared" si="15"/>
        <v>0.61294557849397646</v>
      </c>
      <c r="W40" s="2"/>
      <c r="X40" s="2">
        <f t="shared" si="16"/>
        <v>62914.669999999925</v>
      </c>
      <c r="Y40" s="2"/>
      <c r="Z40" s="19">
        <f t="shared" si="17"/>
        <v>6.6557825036073728E-2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5515.26</v>
      </c>
      <c r="E41" s="2"/>
      <c r="F41" s="19">
        <f t="shared" si="10"/>
        <v>6.5271952266025279E-2</v>
      </c>
      <c r="G41" s="2"/>
      <c r="H41" s="2">
        <v>4549.84</v>
      </c>
      <c r="I41" s="2"/>
      <c r="J41" s="19">
        <f t="shared" si="11"/>
        <v>2.5530072031563229E-2</v>
      </c>
      <c r="K41" s="2"/>
      <c r="L41" s="2">
        <f t="shared" si="12"/>
        <v>965.42000000000007</v>
      </c>
      <c r="M41" s="2"/>
      <c r="N41" s="19">
        <f t="shared" si="13"/>
        <v>0.21218768132505758</v>
      </c>
      <c r="O41" s="11"/>
      <c r="P41" s="2">
        <v>54451.43</v>
      </c>
      <c r="Q41" s="2"/>
      <c r="R41" s="19">
        <f t="shared" si="14"/>
        <v>3.4389325035549229E-2</v>
      </c>
      <c r="S41" s="2"/>
      <c r="T41" s="2">
        <v>61516.49</v>
      </c>
      <c r="U41" s="2"/>
      <c r="V41" s="19">
        <f t="shared" si="15"/>
        <v>3.9889690154131671E-2</v>
      </c>
      <c r="W41" s="2"/>
      <c r="X41" s="2">
        <f t="shared" si="16"/>
        <v>-7065.0599999999977</v>
      </c>
      <c r="Y41" s="2"/>
      <c r="Z41" s="19">
        <f t="shared" si="17"/>
        <v>-0.1148482301249632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10"/>
        <v>0</v>
      </c>
      <c r="G42" s="2"/>
      <c r="H42" s="2">
        <v>1077</v>
      </c>
      <c r="I42" s="2"/>
      <c r="J42" s="19">
        <f t="shared" si="11"/>
        <v>6.0432647253515727E-3</v>
      </c>
      <c r="K42" s="2"/>
      <c r="L42" s="2">
        <f t="shared" si="12"/>
        <v>-1077</v>
      </c>
      <c r="M42" s="2"/>
      <c r="N42" s="19">
        <f t="shared" si="13"/>
        <v>-1</v>
      </c>
      <c r="O42" s="11"/>
      <c r="P42" s="2">
        <v>2728</v>
      </c>
      <c r="Q42" s="2"/>
      <c r="R42" s="19">
        <f t="shared" si="14"/>
        <v>1.7228946732340785E-3</v>
      </c>
      <c r="S42" s="2"/>
      <c r="T42" s="2">
        <v>1750</v>
      </c>
      <c r="U42" s="2"/>
      <c r="V42" s="19">
        <f t="shared" si="15"/>
        <v>1.1347682185659557E-3</v>
      </c>
      <c r="W42" s="2"/>
      <c r="X42" s="2">
        <f t="shared" si="16"/>
        <v>978</v>
      </c>
      <c r="Y42" s="2"/>
      <c r="Z42" s="19">
        <f t="shared" si="17"/>
        <v>0.55885714285714283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780.26</v>
      </c>
      <c r="E43" s="2"/>
      <c r="F43" s="19">
        <f t="shared" si="10"/>
        <v>9.2342144296168969E-3</v>
      </c>
      <c r="G43" s="2"/>
      <c r="H43" s="2"/>
      <c r="I43" s="2"/>
      <c r="J43" s="19">
        <f t="shared" si="11"/>
        <v>0</v>
      </c>
      <c r="K43" s="2"/>
      <c r="L43" s="2">
        <f t="shared" si="12"/>
        <v>780.26</v>
      </c>
      <c r="M43" s="2"/>
      <c r="N43" s="19">
        <f t="shared" si="13"/>
        <v>0</v>
      </c>
      <c r="O43" s="11"/>
      <c r="P43" s="2">
        <v>7860.66</v>
      </c>
      <c r="Q43" s="2"/>
      <c r="R43" s="19">
        <f t="shared" si="14"/>
        <v>4.9644755286305685E-3</v>
      </c>
      <c r="S43" s="2"/>
      <c r="T43" s="2">
        <v>6563.47</v>
      </c>
      <c r="U43" s="2"/>
      <c r="V43" s="19">
        <f t="shared" si="15"/>
        <v>4.2560098054349104E-3</v>
      </c>
      <c r="W43" s="2"/>
      <c r="X43" s="2">
        <f t="shared" si="16"/>
        <v>1297.1899999999996</v>
      </c>
      <c r="Y43" s="2"/>
      <c r="Z43" s="19">
        <f t="shared" si="17"/>
        <v>0.19763783486478945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1409.73</v>
      </c>
      <c r="E44" s="2"/>
      <c r="F44" s="19">
        <f t="shared" si="10"/>
        <v>1.6683860646276662E-2</v>
      </c>
      <c r="G44" s="2"/>
      <c r="H44" s="2">
        <v>5391.42</v>
      </c>
      <c r="I44" s="2"/>
      <c r="J44" s="19">
        <f t="shared" si="11"/>
        <v>3.025234754461929E-2</v>
      </c>
      <c r="K44" s="2"/>
      <c r="L44" s="2">
        <f t="shared" si="12"/>
        <v>-3981.69</v>
      </c>
      <c r="M44" s="2"/>
      <c r="N44" s="19">
        <f t="shared" si="13"/>
        <v>-0.73852343167477219</v>
      </c>
      <c r="O44" s="11"/>
      <c r="P44" s="2">
        <v>20604.38</v>
      </c>
      <c r="Q44" s="2"/>
      <c r="R44" s="19">
        <f t="shared" si="14"/>
        <v>1.3012894628772281E-2</v>
      </c>
      <c r="S44" s="2"/>
      <c r="T44" s="2">
        <v>23929.56</v>
      </c>
      <c r="U44" s="2"/>
      <c r="V44" s="19">
        <f t="shared" si="15"/>
        <v>1.5516859527009801E-2</v>
      </c>
      <c r="W44" s="2"/>
      <c r="X44" s="2">
        <f t="shared" si="16"/>
        <v>-3325.1800000000003</v>
      </c>
      <c r="Y44" s="2"/>
      <c r="Z44" s="19">
        <f t="shared" si="17"/>
        <v>-0.13895700547774384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10"/>
        <v>0</v>
      </c>
      <c r="G45" s="2"/>
      <c r="H45" s="2"/>
      <c r="I45" s="2"/>
      <c r="J45" s="19">
        <f t="shared" si="11"/>
        <v>0</v>
      </c>
      <c r="K45" s="2"/>
      <c r="L45" s="2">
        <f t="shared" si="12"/>
        <v>0</v>
      </c>
      <c r="M45" s="2"/>
      <c r="N45" s="19">
        <f t="shared" si="13"/>
        <v>0</v>
      </c>
      <c r="O45" s="11"/>
      <c r="P45" s="2">
        <v>88.75</v>
      </c>
      <c r="Q45" s="2"/>
      <c r="R45" s="19">
        <f t="shared" si="14"/>
        <v>5.6050917246893132E-5</v>
      </c>
      <c r="S45" s="2"/>
      <c r="T45" s="2">
        <v>0</v>
      </c>
      <c r="U45" s="2"/>
      <c r="V45" s="19">
        <f t="shared" si="15"/>
        <v>0</v>
      </c>
      <c r="W45" s="2"/>
      <c r="X45" s="2">
        <f t="shared" si="16"/>
        <v>88.75</v>
      </c>
      <c r="Y45" s="2"/>
      <c r="Z45" s="19">
        <f t="shared" si="17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-60143.000000000007</v>
      </c>
      <c r="E46" s="2"/>
      <c r="F46" s="19">
        <f t="shared" si="10"/>
        <v>-0.71177986625028722</v>
      </c>
      <c r="G46" s="2"/>
      <c r="H46" s="2">
        <v>-99371</v>
      </c>
      <c r="I46" s="2"/>
      <c r="J46" s="19">
        <f t="shared" si="11"/>
        <v>-0.55759076975200661</v>
      </c>
      <c r="K46" s="2"/>
      <c r="L46" s="2">
        <f t="shared" si="12"/>
        <v>39227.999999999993</v>
      </c>
      <c r="M46" s="2"/>
      <c r="N46" s="19">
        <f t="shared" si="13"/>
        <v>-0.39476305964516806</v>
      </c>
      <c r="O46" s="11"/>
      <c r="P46" s="2">
        <v>-1281641</v>
      </c>
      <c r="Q46" s="2"/>
      <c r="R46" s="19">
        <f t="shared" si="14"/>
        <v>-0.80943271697155339</v>
      </c>
      <c r="S46" s="2"/>
      <c r="T46" s="2">
        <v>-1200488</v>
      </c>
      <c r="U46" s="2"/>
      <c r="V46" s="19">
        <f t="shared" si="15"/>
        <v>-0.77844321666846117</v>
      </c>
      <c r="W46" s="2"/>
      <c r="X46" s="2">
        <f t="shared" si="16"/>
        <v>-81153</v>
      </c>
      <c r="Y46" s="2"/>
      <c r="Z46" s="19">
        <f t="shared" si="17"/>
        <v>6.7600009329539315E-2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70546</v>
      </c>
      <c r="E47" s="2"/>
      <c r="F47" s="19">
        <f t="shared" si="10"/>
        <v>0.83489720240913745</v>
      </c>
      <c r="G47" s="2"/>
      <c r="H47" s="2">
        <v>143257</v>
      </c>
      <c r="I47" s="2"/>
      <c r="J47" s="19">
        <f t="shared" si="11"/>
        <v>0.80384398770630472</v>
      </c>
      <c r="K47" s="2"/>
      <c r="L47" s="2">
        <f t="shared" si="12"/>
        <v>-72711</v>
      </c>
      <c r="M47" s="2"/>
      <c r="N47" s="19">
        <f t="shared" si="13"/>
        <v>-0.50755634977697428</v>
      </c>
      <c r="O47" s="11"/>
      <c r="P47" s="2">
        <v>1407045</v>
      </c>
      <c r="Q47" s="2"/>
      <c r="R47" s="19">
        <f t="shared" si="14"/>
        <v>0.88863282093132112</v>
      </c>
      <c r="S47" s="2"/>
      <c r="T47" s="2">
        <v>1306418</v>
      </c>
      <c r="U47" s="2"/>
      <c r="V47" s="19">
        <f t="shared" si="15"/>
        <v>0.84713235803571352</v>
      </c>
      <c r="W47" s="2"/>
      <c r="X47" s="2">
        <f t="shared" si="16"/>
        <v>100627</v>
      </c>
      <c r="Y47" s="2"/>
      <c r="Z47" s="19">
        <f t="shared" si="17"/>
        <v>7.7025117535122756E-2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10"/>
        <v>0</v>
      </c>
      <c r="G48" s="2"/>
      <c r="H48" s="2"/>
      <c r="I48" s="2"/>
      <c r="J48" s="19">
        <f t="shared" si="11"/>
        <v>0</v>
      </c>
      <c r="K48" s="2"/>
      <c r="L48" s="2">
        <f t="shared" si="12"/>
        <v>0</v>
      </c>
      <c r="M48" s="2"/>
      <c r="N48" s="19">
        <f t="shared" si="13"/>
        <v>0</v>
      </c>
      <c r="O48" s="11"/>
      <c r="P48" s="2"/>
      <c r="Q48" s="2"/>
      <c r="R48" s="19">
        <f t="shared" si="14"/>
        <v>0</v>
      </c>
      <c r="S48" s="2"/>
      <c r="T48" s="2">
        <v>14.08</v>
      </c>
      <c r="U48" s="2"/>
      <c r="V48" s="19">
        <f t="shared" si="15"/>
        <v>9.1300208670906607E-6</v>
      </c>
      <c r="W48" s="2"/>
      <c r="X48" s="2">
        <f t="shared" si="16"/>
        <v>-14.08</v>
      </c>
      <c r="Y48" s="2"/>
      <c r="Z48" s="19">
        <f t="shared" si="17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>
        <v>105.75</v>
      </c>
      <c r="Q49" s="2"/>
      <c r="R49" s="19">
        <f t="shared" si="14"/>
        <v>6.6787430973058574E-5</v>
      </c>
      <c r="S49" s="2"/>
      <c r="T49" s="2"/>
      <c r="U49" s="2"/>
      <c r="V49" s="19">
        <f t="shared" si="15"/>
        <v>0</v>
      </c>
      <c r="W49" s="2"/>
      <c r="X49" s="2">
        <f t="shared" si="16"/>
        <v>105.75</v>
      </c>
      <c r="Y49" s="2"/>
      <c r="Z49" s="19">
        <f t="shared" si="17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0"/>
        <v>0</v>
      </c>
      <c r="G50" s="2"/>
      <c r="H50" s="2">
        <v>12</v>
      </c>
      <c r="I50" s="2"/>
      <c r="J50" s="19">
        <f t="shared" si="11"/>
        <v>6.7334425909209718E-5</v>
      </c>
      <c r="K50" s="2"/>
      <c r="L50" s="2">
        <f t="shared" si="12"/>
        <v>-12</v>
      </c>
      <c r="M50" s="2"/>
      <c r="N50" s="19">
        <f t="shared" si="13"/>
        <v>-1</v>
      </c>
      <c r="O50" s="11"/>
      <c r="P50" s="2">
        <v>4.84</v>
      </c>
      <c r="Q50" s="2"/>
      <c r="R50" s="19">
        <f t="shared" si="14"/>
        <v>3.0567486138023972E-6</v>
      </c>
      <c r="S50" s="2"/>
      <c r="T50" s="2">
        <v>12</v>
      </c>
      <c r="U50" s="2"/>
      <c r="V50" s="19">
        <f t="shared" si="15"/>
        <v>7.7812677844522669E-6</v>
      </c>
      <c r="W50" s="2"/>
      <c r="X50" s="2">
        <f t="shared" si="16"/>
        <v>-7.16</v>
      </c>
      <c r="Y50" s="2"/>
      <c r="Z50" s="19">
        <f t="shared" si="17"/>
        <v>-0.59666666666666668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8.1199999999999992</v>
      </c>
      <c r="E51" s="2"/>
      <c r="F51" s="19">
        <f t="shared" si="10"/>
        <v>9.6098507123893565E-5</v>
      </c>
      <c r="G51" s="2"/>
      <c r="H51" s="2"/>
      <c r="I51" s="2"/>
      <c r="J51" s="19">
        <f t="shared" si="11"/>
        <v>0</v>
      </c>
      <c r="K51" s="2"/>
      <c r="L51" s="2">
        <f t="shared" si="12"/>
        <v>8.1199999999999992</v>
      </c>
      <c r="M51" s="2"/>
      <c r="N51" s="19">
        <f t="shared" si="13"/>
        <v>0</v>
      </c>
      <c r="O51" s="11"/>
      <c r="P51" s="2">
        <v>49.12</v>
      </c>
      <c r="Q51" s="2"/>
      <c r="R51" s="19">
        <f t="shared" si="14"/>
        <v>3.1022209072308621E-5</v>
      </c>
      <c r="S51" s="2"/>
      <c r="T51" s="2">
        <v>22.9</v>
      </c>
      <c r="U51" s="2"/>
      <c r="V51" s="19">
        <f t="shared" si="15"/>
        <v>1.4849252688663076E-5</v>
      </c>
      <c r="W51" s="2"/>
      <c r="X51" s="2">
        <f t="shared" si="16"/>
        <v>26.22</v>
      </c>
      <c r="Y51" s="2"/>
      <c r="Z51" s="19">
        <f t="shared" si="17"/>
        <v>1.1449781659388647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0"/>
        <v>0</v>
      </c>
      <c r="G52" s="2"/>
      <c r="H52" s="2"/>
      <c r="I52" s="2"/>
      <c r="J52" s="19">
        <f t="shared" si="11"/>
        <v>0</v>
      </c>
      <c r="K52" s="2"/>
      <c r="L52" s="2">
        <f t="shared" si="12"/>
        <v>0</v>
      </c>
      <c r="M52" s="2"/>
      <c r="N52" s="19">
        <f t="shared" si="13"/>
        <v>0</v>
      </c>
      <c r="O52" s="11"/>
      <c r="P52" s="2">
        <v>162.51</v>
      </c>
      <c r="Q52" s="2"/>
      <c r="R52" s="19">
        <f t="shared" si="14"/>
        <v>1.0263475562583214E-4</v>
      </c>
      <c r="S52" s="2"/>
      <c r="T52" s="2">
        <v>145.57</v>
      </c>
      <c r="U52" s="2"/>
      <c r="V52" s="19">
        <f t="shared" si="15"/>
        <v>9.4393262615226375E-5</v>
      </c>
      <c r="W52" s="2"/>
      <c r="X52" s="2">
        <f t="shared" si="16"/>
        <v>16.939999999999998</v>
      </c>
      <c r="Y52" s="2"/>
      <c r="Z52" s="19">
        <f t="shared" si="17"/>
        <v>0.11637013120835336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0">
        <f>D12-D38</f>
        <v>13950.840000000011</v>
      </c>
      <c r="E54" s="14"/>
      <c r="F54" s="21">
        <f>IF(D$12=0,0,D54/D$12)</f>
        <v>0.16510528289708135</v>
      </c>
      <c r="G54" s="14"/>
      <c r="H54" s="20">
        <f>H12-H38</f>
        <v>34958.220000000059</v>
      </c>
      <c r="I54" s="14"/>
      <c r="J54" s="21">
        <f>IF(H$12=0,0,H54/H$12)</f>
        <v>0.19615763954232146</v>
      </c>
      <c r="K54" s="15"/>
      <c r="L54" s="20">
        <f>+D54-H54</f>
        <v>-21007.380000000048</v>
      </c>
      <c r="M54" s="15"/>
      <c r="N54" s="21">
        <f>IF(H54=0,0,L54/H54)</f>
        <v>-0.60092819371238049</v>
      </c>
      <c r="O54" s="28"/>
      <c r="P54" s="20">
        <f>P12-P38</f>
        <v>176334.91000000015</v>
      </c>
      <c r="Q54" s="14"/>
      <c r="R54" s="21">
        <f>IF(P$12=0,0,P54/P$12)</f>
        <v>0.11136601068336176</v>
      </c>
      <c r="S54" s="14"/>
      <c r="T54" s="20">
        <f>T12-T38</f>
        <v>235734.30000000005</v>
      </c>
      <c r="U54" s="14"/>
      <c r="V54" s="21">
        <f>IF(T$12=0,0,T54/T$12)</f>
        <v>0.15285930952336721</v>
      </c>
      <c r="W54" s="15"/>
      <c r="X54" s="20">
        <f>+P54-T54</f>
        <v>-59399.389999999898</v>
      </c>
      <c r="Y54" s="15"/>
      <c r="Z54" s="21">
        <f>IF(T54=0,0,X54/T54)</f>
        <v>-0.25197601706667161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2">
        <f>SUM(OSRRefD22x_0)</f>
        <v>13308.350000000002</v>
      </c>
      <c r="E56" s="22"/>
      <c r="F56" s="33">
        <f t="shared" ref="F56:F66" si="18">IF(D$12=0,0,D56/D$12)</f>
        <v>0.15750154769486074</v>
      </c>
      <c r="G56" s="22"/>
      <c r="H56" s="22">
        <f>SUM(OSRRefH22x_0)</f>
        <v>11699.27</v>
      </c>
      <c r="I56" s="22"/>
      <c r="J56" s="33">
        <f t="shared" ref="J56:J66" si="19">IF(H$12=0,0,H56/H$12)</f>
        <v>6.5646969083903342E-2</v>
      </c>
      <c r="K56" s="4"/>
      <c r="L56" s="22">
        <f t="shared" ref="L56:L66" si="20">+D56-H56</f>
        <v>1609.0800000000017</v>
      </c>
      <c r="M56" s="4"/>
      <c r="N56" s="33">
        <f t="shared" ref="N56:N66" si="21">IF(H56=0,0,L56/H56)</f>
        <v>0.13753678648325934</v>
      </c>
      <c r="O56" s="10"/>
      <c r="P56" s="22">
        <f>SUM(OSRRefP22x_0)</f>
        <v>128433.93999999997</v>
      </c>
      <c r="Q56" s="22"/>
      <c r="R56" s="33">
        <f t="shared" ref="R56:R66" si="22">IF(P$12=0,0,P56/P$12)</f>
        <v>8.1113691747971103E-2</v>
      </c>
      <c r="S56" s="22"/>
      <c r="T56" s="22">
        <f>SUM(OSRRefT22x_0)</f>
        <v>170375.59000000003</v>
      </c>
      <c r="U56" s="22"/>
      <c r="V56" s="33">
        <f t="shared" ref="V56:V66" si="23">IF(T$12=0,0,T56/T$12)</f>
        <v>0.11047817414367067</v>
      </c>
      <c r="W56" s="4"/>
      <c r="X56" s="22">
        <f t="shared" ref="X56:X66" si="24">+P56-T56</f>
        <v>-41941.650000000052</v>
      </c>
      <c r="Y56" s="4"/>
      <c r="Z56" s="33">
        <f t="shared" ref="Z56:Z66" si="25">IF(T56=0,0,X56/T56)</f>
        <v>-0.24617170804808391</v>
      </c>
    </row>
    <row r="57" spans="1:26" s="27" customFormat="1" outlineLevel="1" collapsed="1" x14ac:dyDescent="0.25">
      <c r="A57" s="25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2991.2100000000005</v>
      </c>
      <c r="E57" s="1"/>
      <c r="F57" s="5">
        <f t="shared" si="18"/>
        <v>3.5400346735721892E-2</v>
      </c>
      <c r="G57" s="1"/>
      <c r="H57" s="1">
        <f>SUM(OSRRefH22_0x_0)</f>
        <v>1987.9</v>
      </c>
      <c r="I57" s="1"/>
      <c r="J57" s="5">
        <f t="shared" si="19"/>
        <v>1.11545087720765E-2</v>
      </c>
      <c r="K57" s="1"/>
      <c r="L57" s="1">
        <f t="shared" si="20"/>
        <v>1003.3100000000004</v>
      </c>
      <c r="M57" s="1"/>
      <c r="N57" s="5">
        <f t="shared" si="21"/>
        <v>0.50470848634237153</v>
      </c>
      <c r="O57" s="13"/>
      <c r="P57" s="1">
        <f>SUM(OSRRefP22_0x_0)</f>
        <v>18221.209999999995</v>
      </c>
      <c r="Q57" s="1"/>
      <c r="R57" s="5">
        <f t="shared" si="22"/>
        <v>1.1507780663079E-2</v>
      </c>
      <c r="S57" s="1"/>
      <c r="T57" s="1">
        <f>SUM(OSRRefT22_0x_0)</f>
        <v>14538.510000000002</v>
      </c>
      <c r="U57" s="1"/>
      <c r="V57" s="5">
        <f t="shared" si="23"/>
        <v>9.4273366247447626E-3</v>
      </c>
      <c r="W57" s="1"/>
      <c r="X57" s="1">
        <f t="shared" si="24"/>
        <v>3682.6999999999935</v>
      </c>
      <c r="Y57" s="1"/>
      <c r="Z57" s="5">
        <f t="shared" si="25"/>
        <v>0.25330656305219673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6">
        <v>526</v>
      </c>
      <c r="E58" s="2"/>
      <c r="F58" s="7">
        <f t="shared" si="18"/>
        <v>6.2251003383211852E-3</v>
      </c>
      <c r="G58" s="2"/>
      <c r="H58" s="6">
        <v>245.32</v>
      </c>
      <c r="I58" s="2"/>
      <c r="J58" s="7">
        <f t="shared" si="19"/>
        <v>1.3765401136706106E-3</v>
      </c>
      <c r="K58" s="2"/>
      <c r="L58" s="6">
        <f t="shared" si="20"/>
        <v>280.68</v>
      </c>
      <c r="M58" s="2"/>
      <c r="N58" s="7">
        <f t="shared" si="21"/>
        <v>1.1441382683841514</v>
      </c>
      <c r="O58" s="11"/>
      <c r="P58" s="6">
        <v>4227.74</v>
      </c>
      <c r="Q58" s="2"/>
      <c r="R58" s="7">
        <f t="shared" si="22"/>
        <v>2.670069914156394E-3</v>
      </c>
      <c r="S58" s="2"/>
      <c r="T58" s="6">
        <v>3273.85</v>
      </c>
      <c r="U58" s="2"/>
      <c r="V58" s="7">
        <f t="shared" si="23"/>
        <v>2.1228919613440881E-3</v>
      </c>
      <c r="W58" s="2"/>
      <c r="X58" s="6">
        <f t="shared" si="24"/>
        <v>953.88999999999987</v>
      </c>
      <c r="Y58" s="2"/>
      <c r="Z58" s="7">
        <f t="shared" si="25"/>
        <v>0.29136643401499762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6">
        <v>254.69</v>
      </c>
      <c r="E59" s="2"/>
      <c r="F59" s="7">
        <f t="shared" si="18"/>
        <v>3.0142030516483319E-3</v>
      </c>
      <c r="G59" s="2"/>
      <c r="H59" s="6">
        <v>105.43</v>
      </c>
      <c r="I59" s="2"/>
      <c r="J59" s="7">
        <f t="shared" si="19"/>
        <v>5.9158904363399844E-4</v>
      </c>
      <c r="K59" s="2"/>
      <c r="L59" s="6">
        <f t="shared" si="20"/>
        <v>149.26</v>
      </c>
      <c r="M59" s="2"/>
      <c r="N59" s="7">
        <f t="shared" si="21"/>
        <v>1.4157260741724365</v>
      </c>
      <c r="O59" s="11"/>
      <c r="P59" s="6">
        <v>960.61</v>
      </c>
      <c r="Q59" s="2"/>
      <c r="R59" s="7">
        <f t="shared" si="22"/>
        <v>6.0668249708775224E-4</v>
      </c>
      <c r="S59" s="2"/>
      <c r="T59" s="6">
        <v>732.83</v>
      </c>
      <c r="U59" s="2"/>
      <c r="V59" s="7">
        <f t="shared" si="23"/>
        <v>4.7519553920667961E-4</v>
      </c>
      <c r="W59" s="2"/>
      <c r="X59" s="6">
        <f t="shared" si="24"/>
        <v>227.77999999999997</v>
      </c>
      <c r="Y59" s="2"/>
      <c r="Z59" s="7">
        <f t="shared" si="25"/>
        <v>0.31082242812111943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6">
        <v>1287.6500000000001</v>
      </c>
      <c r="E60" s="2"/>
      <c r="F60" s="7">
        <f t="shared" si="18"/>
        <v>1.5239069297793296E-2</v>
      </c>
      <c r="G60" s="2"/>
      <c r="H60" s="6">
        <v>1029.08</v>
      </c>
      <c r="I60" s="2"/>
      <c r="J60" s="7">
        <f t="shared" si="19"/>
        <v>5.7743759178874613E-3</v>
      </c>
      <c r="K60" s="2"/>
      <c r="L60" s="6">
        <f t="shared" si="20"/>
        <v>258.57000000000016</v>
      </c>
      <c r="M60" s="2"/>
      <c r="N60" s="7">
        <f t="shared" si="21"/>
        <v>0.25126326427488649</v>
      </c>
      <c r="O60" s="11"/>
      <c r="P60" s="6">
        <v>6434.82</v>
      </c>
      <c r="Q60" s="2"/>
      <c r="R60" s="7">
        <f t="shared" si="22"/>
        <v>4.0639725444355252E-3</v>
      </c>
      <c r="S60" s="2"/>
      <c r="T60" s="6">
        <v>5538.66</v>
      </c>
      <c r="U60" s="2"/>
      <c r="V60" s="7">
        <f t="shared" si="23"/>
        <v>3.5914830522528664E-3</v>
      </c>
      <c r="W60" s="2"/>
      <c r="X60" s="6">
        <f t="shared" si="24"/>
        <v>896.15999999999985</v>
      </c>
      <c r="Y60" s="2"/>
      <c r="Z60" s="7">
        <f t="shared" si="25"/>
        <v>0.16180086880220124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6">
        <v>34.85</v>
      </c>
      <c r="E61" s="2"/>
      <c r="F61" s="7">
        <f t="shared" si="18"/>
        <v>4.1244248439257283E-4</v>
      </c>
      <c r="G61" s="2"/>
      <c r="H61" s="6">
        <v>23.03</v>
      </c>
      <c r="I61" s="2"/>
      <c r="J61" s="7">
        <f t="shared" si="19"/>
        <v>1.2922598572409166E-4</v>
      </c>
      <c r="K61" s="2"/>
      <c r="L61" s="6">
        <f t="shared" si="20"/>
        <v>11.82</v>
      </c>
      <c r="M61" s="2"/>
      <c r="N61" s="7">
        <f t="shared" si="21"/>
        <v>0.5132435953104646</v>
      </c>
      <c r="O61" s="11"/>
      <c r="P61" s="6">
        <v>159.9</v>
      </c>
      <c r="Q61" s="2"/>
      <c r="R61" s="7">
        <f t="shared" si="22"/>
        <v>1.0098638498905028E-4</v>
      </c>
      <c r="S61" s="2"/>
      <c r="T61" s="6">
        <v>160.12</v>
      </c>
      <c r="U61" s="2"/>
      <c r="V61" s="7">
        <f t="shared" si="23"/>
        <v>1.0382804980387477E-4</v>
      </c>
      <c r="W61" s="2"/>
      <c r="X61" s="6">
        <f t="shared" si="24"/>
        <v>-0.21999999999999886</v>
      </c>
      <c r="Y61" s="2"/>
      <c r="Z61" s="7">
        <f t="shared" si="25"/>
        <v>-1.3739695228578495E-3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6">
        <v>263.31</v>
      </c>
      <c r="E62" s="2"/>
      <c r="F62" s="7">
        <f t="shared" si="18"/>
        <v>3.1162189545310857E-3</v>
      </c>
      <c r="G62" s="2"/>
      <c r="H62" s="6">
        <v>174.42</v>
      </c>
      <c r="I62" s="2"/>
      <c r="J62" s="7">
        <f t="shared" si="19"/>
        <v>9.7870588059036328E-4</v>
      </c>
      <c r="K62" s="2"/>
      <c r="L62" s="6">
        <f t="shared" si="20"/>
        <v>88.890000000000015</v>
      </c>
      <c r="M62" s="2"/>
      <c r="N62" s="7">
        <f t="shared" si="21"/>
        <v>0.50963192294461657</v>
      </c>
      <c r="O62" s="11"/>
      <c r="P62" s="6">
        <v>1285.92</v>
      </c>
      <c r="Q62" s="2"/>
      <c r="R62" s="7">
        <f t="shared" si="22"/>
        <v>8.1213516063239233E-4</v>
      </c>
      <c r="S62" s="2"/>
      <c r="T62" s="6">
        <v>1131.19</v>
      </c>
      <c r="U62" s="2"/>
      <c r="V62" s="7">
        <f t="shared" si="23"/>
        <v>7.3350769209121344E-4</v>
      </c>
      <c r="W62" s="2"/>
      <c r="X62" s="6">
        <f t="shared" si="24"/>
        <v>154.73000000000002</v>
      </c>
      <c r="Y62" s="2"/>
      <c r="Z62" s="7">
        <f t="shared" si="25"/>
        <v>0.13678515545575898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6">
        <v>159.55000000000001</v>
      </c>
      <c r="E63" s="2"/>
      <c r="F63" s="7">
        <f t="shared" si="18"/>
        <v>1.888240986652367E-3</v>
      </c>
      <c r="G63" s="2"/>
      <c r="H63" s="6">
        <v>32.700000000000003</v>
      </c>
      <c r="I63" s="2"/>
      <c r="J63" s="7">
        <f t="shared" si="19"/>
        <v>1.834863106025965E-4</v>
      </c>
      <c r="K63" s="2"/>
      <c r="L63" s="6">
        <f t="shared" si="20"/>
        <v>126.85000000000001</v>
      </c>
      <c r="M63" s="2"/>
      <c r="N63" s="7">
        <f t="shared" si="21"/>
        <v>3.879204892966361</v>
      </c>
      <c r="O63" s="11"/>
      <c r="P63" s="6">
        <v>1032.23</v>
      </c>
      <c r="Q63" s="2"/>
      <c r="R63" s="7">
        <f t="shared" si="22"/>
        <v>6.5191479785645632E-4</v>
      </c>
      <c r="S63" s="2"/>
      <c r="T63" s="6">
        <v>812.26</v>
      </c>
      <c r="U63" s="2"/>
      <c r="V63" s="7">
        <f t="shared" si="23"/>
        <v>5.2670104754993325E-4</v>
      </c>
      <c r="W63" s="2"/>
      <c r="X63" s="6">
        <f t="shared" si="24"/>
        <v>219.97000000000003</v>
      </c>
      <c r="Y63" s="2"/>
      <c r="Z63" s="7">
        <f t="shared" si="25"/>
        <v>0.27081230147982177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6">
        <v>125.52</v>
      </c>
      <c r="E64" s="2"/>
      <c r="F64" s="7">
        <f t="shared" si="18"/>
        <v>1.4855030313043252E-3</v>
      </c>
      <c r="G64" s="2"/>
      <c r="H64" s="6">
        <v>146.9</v>
      </c>
      <c r="I64" s="2"/>
      <c r="J64" s="7">
        <f t="shared" si="19"/>
        <v>8.2428559717190905E-4</v>
      </c>
      <c r="K64" s="2"/>
      <c r="L64" s="6">
        <f t="shared" si="20"/>
        <v>-21.38000000000001</v>
      </c>
      <c r="M64" s="2"/>
      <c r="N64" s="7">
        <f t="shared" si="21"/>
        <v>-0.14554118447923764</v>
      </c>
      <c r="O64" s="11"/>
      <c r="P64" s="6">
        <v>1531.09</v>
      </c>
      <c r="Q64" s="2"/>
      <c r="R64" s="7">
        <f t="shared" si="22"/>
        <v>9.6697463535262641E-4</v>
      </c>
      <c r="S64" s="2"/>
      <c r="T64" s="6">
        <v>1104.77</v>
      </c>
      <c r="U64" s="2"/>
      <c r="V64" s="7">
        <f t="shared" si="23"/>
        <v>7.1637593418577767E-4</v>
      </c>
      <c r="W64" s="2"/>
      <c r="X64" s="6">
        <f t="shared" si="24"/>
        <v>426.31999999999994</v>
      </c>
      <c r="Y64" s="2"/>
      <c r="Z64" s="7">
        <f t="shared" si="25"/>
        <v>0.38589027580401347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6">
        <v>173.86</v>
      </c>
      <c r="E65" s="2"/>
      <c r="F65" s="7">
        <f t="shared" si="18"/>
        <v>2.0575968532709531E-3</v>
      </c>
      <c r="G65" s="2"/>
      <c r="H65" s="6">
        <v>117.58</v>
      </c>
      <c r="I65" s="2"/>
      <c r="J65" s="7">
        <f t="shared" si="19"/>
        <v>6.5976514986707327E-4</v>
      </c>
      <c r="K65" s="2"/>
      <c r="L65" s="6">
        <f t="shared" si="20"/>
        <v>56.280000000000015</v>
      </c>
      <c r="M65" s="2"/>
      <c r="N65" s="7">
        <f t="shared" si="21"/>
        <v>0.47865283211430532</v>
      </c>
      <c r="O65" s="11"/>
      <c r="P65" s="6">
        <v>1628.12</v>
      </c>
      <c r="Q65" s="2"/>
      <c r="R65" s="7">
        <f t="shared" si="22"/>
        <v>1.0282548663437931E-3</v>
      </c>
      <c r="S65" s="2"/>
      <c r="T65" s="6">
        <v>932.34</v>
      </c>
      <c r="U65" s="2"/>
      <c r="V65" s="7">
        <f t="shared" si="23"/>
        <v>6.0456560051301892E-4</v>
      </c>
      <c r="W65" s="2"/>
      <c r="X65" s="6">
        <f t="shared" si="24"/>
        <v>695.77999999999986</v>
      </c>
      <c r="Y65" s="2"/>
      <c r="Z65" s="7">
        <f t="shared" si="25"/>
        <v>0.74627281892871677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6">
        <v>165.78</v>
      </c>
      <c r="E66" s="2"/>
      <c r="F66" s="7">
        <f t="shared" si="18"/>
        <v>1.9619717378077683E-3</v>
      </c>
      <c r="G66" s="2"/>
      <c r="H66" s="6">
        <v>113.44</v>
      </c>
      <c r="I66" s="2"/>
      <c r="J66" s="7">
        <f t="shared" si="19"/>
        <v>6.3653477292839589E-4</v>
      </c>
      <c r="K66" s="2"/>
      <c r="L66" s="6">
        <f t="shared" si="20"/>
        <v>52.34</v>
      </c>
      <c r="M66" s="2"/>
      <c r="N66" s="7">
        <f t="shared" si="21"/>
        <v>0.46138928067700991</v>
      </c>
      <c r="O66" s="11"/>
      <c r="P66" s="6">
        <v>960.78</v>
      </c>
      <c r="Q66" s="2"/>
      <c r="R66" s="7">
        <f t="shared" si="22"/>
        <v>6.0678986222501387E-4</v>
      </c>
      <c r="S66" s="2"/>
      <c r="T66" s="6">
        <v>852.49</v>
      </c>
      <c r="U66" s="2"/>
      <c r="V66" s="7">
        <f t="shared" si="23"/>
        <v>5.5278774779730943E-4</v>
      </c>
      <c r="W66" s="2"/>
      <c r="X66" s="6">
        <f t="shared" si="24"/>
        <v>108.28999999999996</v>
      </c>
      <c r="Y66" s="2"/>
      <c r="Z66" s="7">
        <f t="shared" si="25"/>
        <v>0.12702788302502077</v>
      </c>
    </row>
    <row r="67" spans="1:26" s="27" customFormat="1" outlineLevel="1" collapsed="1" x14ac:dyDescent="0.25">
      <c r="A67" s="25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8569.36</v>
      </c>
      <c r="E67" s="1"/>
      <c r="F67" s="5">
        <f t="shared" ref="F67:F71" si="26">IF(D$12=0,0,D67/D$12)</f>
        <v>0.10141658904029664</v>
      </c>
      <c r="G67" s="1"/>
      <c r="H67" s="1">
        <f>SUM(OSRRefH22_1x_0)</f>
        <v>5855.67</v>
      </c>
      <c r="I67" s="1"/>
      <c r="J67" s="5">
        <f t="shared" ref="J67:J71" si="27">IF(H$12=0,0,H67/H$12)</f>
        <v>3.2857348146981838E-2</v>
      </c>
      <c r="K67" s="1"/>
      <c r="L67" s="1">
        <f t="shared" ref="L67:L71" si="28">+D67-H67</f>
        <v>2713.6900000000005</v>
      </c>
      <c r="M67" s="1"/>
      <c r="N67" s="5">
        <f t="shared" ref="N67:N71" si="29">IF(H67=0,0,L67/H67)</f>
        <v>0.46342946238432159</v>
      </c>
      <c r="O67" s="13"/>
      <c r="P67" s="1">
        <f>SUM(OSRRefP22_1x_0)</f>
        <v>57288.5</v>
      </c>
      <c r="Q67" s="1"/>
      <c r="R67" s="5">
        <f t="shared" ref="R67:R71" si="30">IF(P$12=0,0,P67/P$12)</f>
        <v>3.6181103917731119E-2</v>
      </c>
      <c r="S67" s="1"/>
      <c r="T67" s="1">
        <f>SUM(OSRRefT22_1x_0)</f>
        <v>53918.81</v>
      </c>
      <c r="U67" s="1"/>
      <c r="V67" s="5">
        <f t="shared" ref="V67:V71" si="31">IF(T$12=0,0,T67/T$12)</f>
        <v>3.4963058269083559E-2</v>
      </c>
      <c r="W67" s="1"/>
      <c r="X67" s="1">
        <f t="shared" ref="X67:X71" si="32">+P67-T67</f>
        <v>3369.6900000000023</v>
      </c>
      <c r="Y67" s="1"/>
      <c r="Z67" s="5">
        <f t="shared" ref="Z67:Z71" si="33">IF(T67=0,0,X67/T67)</f>
        <v>6.2495630003703763E-2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6">
        <v>3721.56</v>
      </c>
      <c r="E68" s="2"/>
      <c r="F68" s="7">
        <f t="shared" si="26"/>
        <v>4.4043886720689332E-2</v>
      </c>
      <c r="G68" s="2"/>
      <c r="H68" s="6">
        <v>2421.7399999999998</v>
      </c>
      <c r="I68" s="2"/>
      <c r="J68" s="7">
        <f t="shared" si="27"/>
        <v>1.3588872716780795E-2</v>
      </c>
      <c r="K68" s="2"/>
      <c r="L68" s="6">
        <f t="shared" si="28"/>
        <v>1299.8200000000002</v>
      </c>
      <c r="M68" s="2"/>
      <c r="N68" s="7">
        <f t="shared" si="29"/>
        <v>0.5367297893250309</v>
      </c>
      <c r="O68" s="11"/>
      <c r="P68" s="6">
        <v>18778.14</v>
      </c>
      <c r="Q68" s="2"/>
      <c r="R68" s="7">
        <f t="shared" si="30"/>
        <v>1.1859515168344492E-2</v>
      </c>
      <c r="S68" s="2"/>
      <c r="T68" s="6">
        <v>15550.12</v>
      </c>
      <c r="U68" s="2"/>
      <c r="V68" s="7">
        <f t="shared" si="31"/>
        <v>1.0083303983363908E-2</v>
      </c>
      <c r="W68" s="2"/>
      <c r="X68" s="6">
        <f t="shared" si="32"/>
        <v>3228.0199999999986</v>
      </c>
      <c r="Y68" s="2"/>
      <c r="Z68" s="7">
        <f t="shared" si="33"/>
        <v>0.20758810864482063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6">
        <v>2457.04</v>
      </c>
      <c r="E69" s="2"/>
      <c r="F69" s="7">
        <f t="shared" si="26"/>
        <v>2.9078556150700919E-2</v>
      </c>
      <c r="G69" s="2"/>
      <c r="H69" s="6">
        <v>721</v>
      </c>
      <c r="I69" s="2"/>
      <c r="J69" s="7">
        <f t="shared" si="27"/>
        <v>4.0456767567116844E-3</v>
      </c>
      <c r="K69" s="2"/>
      <c r="L69" s="6">
        <f t="shared" si="28"/>
        <v>1736.04</v>
      </c>
      <c r="M69" s="2"/>
      <c r="N69" s="7">
        <f t="shared" si="29"/>
        <v>2.4078224687933427</v>
      </c>
      <c r="O69" s="11"/>
      <c r="P69" s="6">
        <v>19659.289999999997</v>
      </c>
      <c r="Q69" s="2"/>
      <c r="R69" s="7">
        <f t="shared" si="30"/>
        <v>1.2416013937156885E-2</v>
      </c>
      <c r="S69" s="2"/>
      <c r="T69" s="6">
        <v>15082.32</v>
      </c>
      <c r="U69" s="2"/>
      <c r="V69" s="7">
        <f t="shared" si="31"/>
        <v>9.7799642275666777E-3</v>
      </c>
      <c r="W69" s="2"/>
      <c r="X69" s="6">
        <f t="shared" si="32"/>
        <v>4576.9699999999975</v>
      </c>
      <c r="Y69" s="2"/>
      <c r="Z69" s="7">
        <f t="shared" si="33"/>
        <v>0.30346591240604875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6">
        <v>641</v>
      </c>
      <c r="E70" s="2"/>
      <c r="F70" s="7">
        <f t="shared" si="26"/>
        <v>7.5861013628590861E-3</v>
      </c>
      <c r="G70" s="2"/>
      <c r="H70" s="6"/>
      <c r="I70" s="2"/>
      <c r="J70" s="7">
        <f t="shared" si="27"/>
        <v>0</v>
      </c>
      <c r="K70" s="2"/>
      <c r="L70" s="6">
        <f t="shared" si="28"/>
        <v>641</v>
      </c>
      <c r="M70" s="2"/>
      <c r="N70" s="7">
        <f t="shared" si="29"/>
        <v>0</v>
      </c>
      <c r="O70" s="11"/>
      <c r="P70" s="6">
        <v>8242.16</v>
      </c>
      <c r="Q70" s="2"/>
      <c r="R70" s="7">
        <f t="shared" si="30"/>
        <v>5.2054155278383404E-3</v>
      </c>
      <c r="S70" s="2"/>
      <c r="T70" s="6"/>
      <c r="U70" s="2"/>
      <c r="V70" s="7">
        <f t="shared" si="31"/>
        <v>0</v>
      </c>
      <c r="W70" s="2"/>
      <c r="X70" s="6">
        <f t="shared" si="32"/>
        <v>8242.16</v>
      </c>
      <c r="Y70" s="2"/>
      <c r="Z70" s="7">
        <f t="shared" si="33"/>
        <v>0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6">
        <v>1749.76</v>
      </c>
      <c r="E71" s="2"/>
      <c r="F71" s="7">
        <f t="shared" si="26"/>
        <v>2.0708044806047293E-2</v>
      </c>
      <c r="G71" s="2"/>
      <c r="H71" s="6">
        <v>2712.93</v>
      </c>
      <c r="I71" s="2"/>
      <c r="J71" s="7">
        <f t="shared" si="27"/>
        <v>1.5222798673489359E-2</v>
      </c>
      <c r="K71" s="2"/>
      <c r="L71" s="6">
        <f t="shared" si="28"/>
        <v>-963.16999999999985</v>
      </c>
      <c r="M71" s="2"/>
      <c r="N71" s="7">
        <f t="shared" si="29"/>
        <v>-0.35502943312212254</v>
      </c>
      <c r="O71" s="11"/>
      <c r="P71" s="6">
        <v>10608.91</v>
      </c>
      <c r="Q71" s="2"/>
      <c r="R71" s="7">
        <f t="shared" si="30"/>
        <v>6.7001592843914026E-3</v>
      </c>
      <c r="S71" s="2"/>
      <c r="T71" s="6">
        <v>23286.37</v>
      </c>
      <c r="U71" s="2"/>
      <c r="V71" s="7">
        <f t="shared" si="31"/>
        <v>1.5099790058152979E-2</v>
      </c>
      <c r="W71" s="2"/>
      <c r="X71" s="6">
        <f t="shared" si="32"/>
        <v>-12677.46</v>
      </c>
      <c r="Y71" s="2"/>
      <c r="Z71" s="7">
        <f t="shared" si="33"/>
        <v>-0.54441546707365729</v>
      </c>
    </row>
    <row r="72" spans="1:26" s="27" customFormat="1" outlineLevel="1" collapsed="1" x14ac:dyDescent="0.25">
      <c r="A72" s="25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79.67</v>
      </c>
      <c r="E72" s="1"/>
      <c r="F72" s="5">
        <f t="shared" ref="F72:F92" si="34">IF(D$12=0,0,D72/D$12)</f>
        <v>9.4287784021682283E-4</v>
      </c>
      <c r="G72" s="1"/>
      <c r="H72" s="1">
        <f>SUM(OSRRefH22_2x_0)</f>
        <v>-375</v>
      </c>
      <c r="I72" s="1"/>
      <c r="J72" s="5">
        <f t="shared" ref="J72:J92" si="35">IF(H$12=0,0,H72/H$12)</f>
        <v>-2.1042008096628039E-3</v>
      </c>
      <c r="K72" s="1"/>
      <c r="L72" s="1">
        <f t="shared" ref="L72:L92" si="36">+D72-H72</f>
        <v>454.67</v>
      </c>
      <c r="M72" s="1"/>
      <c r="N72" s="5">
        <f t="shared" ref="N72:N92" si="37">IF(H72=0,0,L72/H72)</f>
        <v>-1.2124533333333334</v>
      </c>
      <c r="O72" s="13"/>
      <c r="P72" s="1">
        <f>SUM(OSRRefP22_2x_0)</f>
        <v>1508.38</v>
      </c>
      <c r="Q72" s="1"/>
      <c r="R72" s="5">
        <f t="shared" ref="R72:R92" si="38">IF(P$12=0,0,P72/P$12)</f>
        <v>9.5263191613373149E-4</v>
      </c>
      <c r="S72" s="1"/>
      <c r="T72" s="1">
        <f>SUM(OSRRefT22_2x_0)</f>
        <v>1346.89</v>
      </c>
      <c r="U72" s="1"/>
      <c r="V72" s="5">
        <f t="shared" ref="V72:V92" si="39">IF(T$12=0,0,T72/T$12)</f>
        <v>8.7337598051674291E-4</v>
      </c>
      <c r="W72" s="1"/>
      <c r="X72" s="1">
        <f t="shared" ref="X72:X92" si="40">+P72-T72</f>
        <v>161.49</v>
      </c>
      <c r="Y72" s="1"/>
      <c r="Z72" s="5">
        <f t="shared" ref="Z72:Z92" si="41">IF(T72=0,0,X72/T72)</f>
        <v>0.11989843268566847</v>
      </c>
    </row>
    <row r="73" spans="1:26" s="24" customFormat="1" hidden="1" outlineLevel="2" x14ac:dyDescent="0.25">
      <c r="A73" s="26"/>
      <c r="B73" s="11" t="str">
        <f>CONCATENATE("          ", "6362", " - ", "ADVERTISING EXPENSE")</f>
        <v xml:space="preserve">          6362 - ADVERTISING EXPENSE</v>
      </c>
      <c r="C73" s="11"/>
      <c r="D73" s="6">
        <v>79.67</v>
      </c>
      <c r="E73" s="2"/>
      <c r="F73" s="7">
        <f t="shared" si="34"/>
        <v>9.4287784021682283E-4</v>
      </c>
      <c r="G73" s="2"/>
      <c r="H73" s="6">
        <v>-375</v>
      </c>
      <c r="I73" s="2"/>
      <c r="J73" s="7">
        <f t="shared" si="35"/>
        <v>-2.1042008096628039E-3</v>
      </c>
      <c r="K73" s="2"/>
      <c r="L73" s="6">
        <f t="shared" si="36"/>
        <v>454.67</v>
      </c>
      <c r="M73" s="2"/>
      <c r="N73" s="7">
        <f t="shared" si="37"/>
        <v>-1.2124533333333334</v>
      </c>
      <c r="O73" s="11"/>
      <c r="P73" s="6">
        <v>1508.38</v>
      </c>
      <c r="Q73" s="2"/>
      <c r="R73" s="7">
        <f t="shared" si="38"/>
        <v>9.5263191613373149E-4</v>
      </c>
      <c r="S73" s="2"/>
      <c r="T73" s="6">
        <v>1346.89</v>
      </c>
      <c r="U73" s="2"/>
      <c r="V73" s="7">
        <f t="shared" si="39"/>
        <v>8.7337598051674291E-4</v>
      </c>
      <c r="W73" s="2"/>
      <c r="X73" s="6">
        <f t="shared" si="40"/>
        <v>161.49</v>
      </c>
      <c r="Y73" s="2"/>
      <c r="Z73" s="7">
        <f t="shared" si="41"/>
        <v>0.11989843268566847</v>
      </c>
    </row>
    <row r="74" spans="1:26" s="27" customFormat="1" outlineLevel="1" collapsed="1" x14ac:dyDescent="0.25">
      <c r="A74" s="25"/>
      <c r="B74" s="13" t="str">
        <f>CONCATENATE("     ","Depreciation                                      ")</f>
        <v xml:space="preserve">     Depreciation                                      </v>
      </c>
      <c r="C74" s="13"/>
      <c r="D74" s="1">
        <f>SUM(OSRRefD22_3x_0)</f>
        <v>280.44</v>
      </c>
      <c r="E74" s="1"/>
      <c r="F74" s="5">
        <f t="shared" si="34"/>
        <v>3.3189489332296446E-3</v>
      </c>
      <c r="G74" s="1"/>
      <c r="H74" s="1">
        <f>SUM(OSRRefH22_3x_0)</f>
        <v>280.44</v>
      </c>
      <c r="I74" s="1"/>
      <c r="J74" s="5">
        <f t="shared" si="35"/>
        <v>1.5736055334982311E-3</v>
      </c>
      <c r="K74" s="1"/>
      <c r="L74" s="1">
        <f t="shared" si="36"/>
        <v>0</v>
      </c>
      <c r="M74" s="1"/>
      <c r="N74" s="5">
        <f t="shared" si="37"/>
        <v>0</v>
      </c>
      <c r="O74" s="13"/>
      <c r="P74" s="1">
        <f>SUM(OSRRefP22_3x_0)</f>
        <v>1682.64</v>
      </c>
      <c r="Q74" s="1"/>
      <c r="R74" s="5">
        <f t="shared" si="38"/>
        <v>1.0626874974232368E-3</v>
      </c>
      <c r="S74" s="1"/>
      <c r="T74" s="1">
        <f>SUM(OSRRefT22_3x_0)</f>
        <v>1682.64</v>
      </c>
      <c r="U74" s="1"/>
      <c r="V74" s="5">
        <f t="shared" si="39"/>
        <v>1.091089368735897E-3</v>
      </c>
      <c r="W74" s="1"/>
      <c r="X74" s="1">
        <f t="shared" si="40"/>
        <v>0</v>
      </c>
      <c r="Y74" s="1"/>
      <c r="Z74" s="5">
        <f t="shared" si="41"/>
        <v>0</v>
      </c>
    </row>
    <row r="75" spans="1:26" s="24" customFormat="1" hidden="1" outlineLevel="2" x14ac:dyDescent="0.25">
      <c r="A75" s="26"/>
      <c r="B75" s="11" t="str">
        <f>CONCATENATE("          ", "6322", " - ", "EQUIPMENT DEPRECIATION EXPENSE")</f>
        <v xml:space="preserve">          6322 - EQUIPMENT DEPRECIATION EXPENSE</v>
      </c>
      <c r="C75" s="11"/>
      <c r="D75" s="6">
        <v>280.44</v>
      </c>
      <c r="E75" s="2"/>
      <c r="F75" s="7">
        <f t="shared" si="34"/>
        <v>3.3189489332296446E-3</v>
      </c>
      <c r="G75" s="2"/>
      <c r="H75" s="6">
        <v>280.44</v>
      </c>
      <c r="I75" s="2"/>
      <c r="J75" s="7">
        <f t="shared" si="35"/>
        <v>1.5736055334982311E-3</v>
      </c>
      <c r="K75" s="2"/>
      <c r="L75" s="6">
        <f t="shared" si="36"/>
        <v>0</v>
      </c>
      <c r="M75" s="2"/>
      <c r="N75" s="7">
        <f t="shared" si="37"/>
        <v>0</v>
      </c>
      <c r="O75" s="11"/>
      <c r="P75" s="6">
        <v>1682.64</v>
      </c>
      <c r="Q75" s="2"/>
      <c r="R75" s="7">
        <f t="shared" si="38"/>
        <v>1.0626874974232368E-3</v>
      </c>
      <c r="S75" s="2"/>
      <c r="T75" s="6">
        <v>1682.64</v>
      </c>
      <c r="U75" s="2"/>
      <c r="V75" s="7">
        <f t="shared" si="39"/>
        <v>1.091089368735897E-3</v>
      </c>
      <c r="W75" s="2"/>
      <c r="X75" s="6">
        <f t="shared" si="40"/>
        <v>0</v>
      </c>
      <c r="Y75" s="2"/>
      <c r="Z75" s="7">
        <f t="shared" si="41"/>
        <v>0</v>
      </c>
    </row>
    <row r="76" spans="1:26" s="27" customFormat="1" outlineLevel="1" collapsed="1" x14ac:dyDescent="0.25">
      <c r="A76" s="25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SUM(OSRRefD22_4x_0)</f>
        <v>933.49</v>
      </c>
      <c r="E76" s="1"/>
      <c r="F76" s="5">
        <f t="shared" si="34"/>
        <v>1.1047659533877268E-2</v>
      </c>
      <c r="G76" s="1"/>
      <c r="H76" s="1">
        <f>SUM(OSRRefH22_4x_0)</f>
        <v>2068.17</v>
      </c>
      <c r="I76" s="1"/>
      <c r="J76" s="5">
        <f t="shared" si="35"/>
        <v>1.1604919969387523E-2</v>
      </c>
      <c r="K76" s="1"/>
      <c r="L76" s="1">
        <f t="shared" si="36"/>
        <v>-1134.68</v>
      </c>
      <c r="M76" s="1"/>
      <c r="N76" s="5">
        <f t="shared" si="37"/>
        <v>-0.54863961860001842</v>
      </c>
      <c r="O76" s="13"/>
      <c r="P76" s="1">
        <f>SUM(OSRRefP22_4x_0)</f>
        <v>49270.659999999996</v>
      </c>
      <c r="Q76" s="1"/>
      <c r="R76" s="5">
        <f t="shared" si="38"/>
        <v>3.1117359846307688E-2</v>
      </c>
      <c r="S76" s="1"/>
      <c r="T76" s="1">
        <f>SUM(OSRRefT22_4x_0)</f>
        <v>87149.13</v>
      </c>
      <c r="U76" s="1"/>
      <c r="V76" s="5">
        <f t="shared" si="39"/>
        <v>5.6510893142670222E-2</v>
      </c>
      <c r="W76" s="1"/>
      <c r="X76" s="1">
        <f t="shared" si="40"/>
        <v>-37878.470000000008</v>
      </c>
      <c r="Y76" s="1"/>
      <c r="Z76" s="5">
        <f t="shared" si="41"/>
        <v>-0.43463968028137523</v>
      </c>
    </row>
    <row r="77" spans="1:26" s="24" customFormat="1" hidden="1" outlineLevel="2" x14ac:dyDescent="0.25">
      <c r="A77" s="26"/>
      <c r="B77" s="11" t="str">
        <f>CONCATENATE("          ", "6382", " - ", "DISCOUNTS/MARK DOWNS")</f>
        <v xml:space="preserve">          6382 - DISCOUNTS/MARK DOWNS</v>
      </c>
      <c r="C77" s="11"/>
      <c r="D77" s="6">
        <v>933.49</v>
      </c>
      <c r="E77" s="2"/>
      <c r="F77" s="7">
        <f t="shared" si="34"/>
        <v>1.1047659533877268E-2</v>
      </c>
      <c r="G77" s="2"/>
      <c r="H77" s="6">
        <v>2068.17</v>
      </c>
      <c r="I77" s="2"/>
      <c r="J77" s="7">
        <f t="shared" si="35"/>
        <v>1.1604919969387523E-2</v>
      </c>
      <c r="K77" s="2"/>
      <c r="L77" s="6">
        <f t="shared" si="36"/>
        <v>-1134.68</v>
      </c>
      <c r="M77" s="2"/>
      <c r="N77" s="7">
        <f t="shared" si="37"/>
        <v>-0.54863961860001842</v>
      </c>
      <c r="O77" s="11"/>
      <c r="P77" s="6">
        <v>49270.659999999996</v>
      </c>
      <c r="Q77" s="2"/>
      <c r="R77" s="7">
        <f t="shared" si="38"/>
        <v>3.1117359846307688E-2</v>
      </c>
      <c r="S77" s="2"/>
      <c r="T77" s="6">
        <v>87149.13</v>
      </c>
      <c r="U77" s="2"/>
      <c r="V77" s="7">
        <f t="shared" si="39"/>
        <v>5.6510893142670222E-2</v>
      </c>
      <c r="W77" s="2"/>
      <c r="X77" s="6">
        <f t="shared" si="40"/>
        <v>-37878.470000000008</v>
      </c>
      <c r="Y77" s="2"/>
      <c r="Z77" s="7">
        <f t="shared" si="41"/>
        <v>-0.43463968028137523</v>
      </c>
    </row>
    <row r="78" spans="1:26" s="27" customFormat="1" outlineLevel="1" collapsed="1" x14ac:dyDescent="0.25">
      <c r="A78" s="25"/>
      <c r="B78" s="13" t="str">
        <f>CONCATENATE("     ","Employees' Appreciation                           ")</f>
        <v xml:space="preserve">     Employees' Appreciation                           </v>
      </c>
      <c r="C78" s="13"/>
      <c r="D78" s="1">
        <f>SUM(OSRRefD22_5x_0)</f>
        <v>0</v>
      </c>
      <c r="E78" s="1"/>
      <c r="F78" s="5">
        <f t="shared" si="34"/>
        <v>0</v>
      </c>
      <c r="G78" s="1"/>
      <c r="H78" s="1">
        <f>SUM(OSRRefH22_5x_0)</f>
        <v>0</v>
      </c>
      <c r="I78" s="1"/>
      <c r="J78" s="5">
        <f t="shared" si="35"/>
        <v>0</v>
      </c>
      <c r="K78" s="1"/>
      <c r="L78" s="1">
        <f t="shared" si="36"/>
        <v>0</v>
      </c>
      <c r="M78" s="1"/>
      <c r="N78" s="5">
        <f t="shared" si="37"/>
        <v>0</v>
      </c>
      <c r="O78" s="13"/>
      <c r="P78" s="1">
        <f>SUM(OSRRefP22_5x_0)</f>
        <v>0</v>
      </c>
      <c r="Q78" s="1"/>
      <c r="R78" s="5">
        <f t="shared" si="38"/>
        <v>0</v>
      </c>
      <c r="S78" s="1"/>
      <c r="T78" s="1">
        <f>SUM(OSRRefT22_5x_0)</f>
        <v>181.84</v>
      </c>
      <c r="U78" s="1"/>
      <c r="V78" s="5">
        <f t="shared" si="39"/>
        <v>1.1791214449373336E-4</v>
      </c>
      <c r="W78" s="1"/>
      <c r="X78" s="1">
        <f t="shared" si="40"/>
        <v>-181.84</v>
      </c>
      <c r="Y78" s="1"/>
      <c r="Z78" s="5">
        <f t="shared" si="41"/>
        <v>-1</v>
      </c>
    </row>
    <row r="79" spans="1:26" s="24" customFormat="1" hidden="1" outlineLevel="2" x14ac:dyDescent="0.25">
      <c r="A79" s="26"/>
      <c r="B79" s="11" t="str">
        <f>CONCATENATE("          ", "6277", " - ", "EMPLOYEE APPRECIATION")</f>
        <v xml:space="preserve">          6277 - EMPLOYEE APPRECIATION</v>
      </c>
      <c r="C79" s="11"/>
      <c r="D79" s="6"/>
      <c r="E79" s="2"/>
      <c r="F79" s="7">
        <f t="shared" si="34"/>
        <v>0</v>
      </c>
      <c r="G79" s="2"/>
      <c r="H79" s="6"/>
      <c r="I79" s="2"/>
      <c r="J79" s="7">
        <f t="shared" si="35"/>
        <v>0</v>
      </c>
      <c r="K79" s="2"/>
      <c r="L79" s="6">
        <f t="shared" si="36"/>
        <v>0</v>
      </c>
      <c r="M79" s="2"/>
      <c r="N79" s="7">
        <f t="shared" si="37"/>
        <v>0</v>
      </c>
      <c r="O79" s="11"/>
      <c r="P79" s="6"/>
      <c r="Q79" s="2"/>
      <c r="R79" s="7">
        <f t="shared" si="38"/>
        <v>0</v>
      </c>
      <c r="S79" s="2"/>
      <c r="T79" s="6">
        <v>181.84</v>
      </c>
      <c r="U79" s="2"/>
      <c r="V79" s="7">
        <f t="shared" si="39"/>
        <v>1.1791214449373336E-4</v>
      </c>
      <c r="W79" s="2"/>
      <c r="X79" s="6">
        <f t="shared" si="40"/>
        <v>-181.84</v>
      </c>
      <c r="Y79" s="2"/>
      <c r="Z79" s="7">
        <f t="shared" si="41"/>
        <v>-1</v>
      </c>
    </row>
    <row r="80" spans="1:26" s="27" customFormat="1" outlineLevel="1" collapsed="1" x14ac:dyDescent="0.25">
      <c r="A80" s="25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SUM(OSRRefD22_6x_0)</f>
        <v>0</v>
      </c>
      <c r="E80" s="1"/>
      <c r="F80" s="5">
        <f t="shared" si="34"/>
        <v>0</v>
      </c>
      <c r="G80" s="1"/>
      <c r="H80" s="1">
        <f>SUM(OSRRefH22_6x_0)</f>
        <v>0</v>
      </c>
      <c r="I80" s="1"/>
      <c r="J80" s="5">
        <f t="shared" si="35"/>
        <v>0</v>
      </c>
      <c r="K80" s="1"/>
      <c r="L80" s="1">
        <f t="shared" si="36"/>
        <v>0</v>
      </c>
      <c r="M80" s="1"/>
      <c r="N80" s="5">
        <f t="shared" si="37"/>
        <v>0</v>
      </c>
      <c r="O80" s="13"/>
      <c r="P80" s="1">
        <f>SUM(OSRRefP22_6x_0)</f>
        <v>41.61</v>
      </c>
      <c r="Q80" s="1"/>
      <c r="R80" s="5">
        <f t="shared" si="38"/>
        <v>2.6279196243867304E-5</v>
      </c>
      <c r="S80" s="1"/>
      <c r="T80" s="1">
        <f>SUM(OSRRefT22_6x_0)</f>
        <v>71.959999999999994</v>
      </c>
      <c r="U80" s="1"/>
      <c r="V80" s="5">
        <f t="shared" si="39"/>
        <v>4.6661669147432091E-5</v>
      </c>
      <c r="W80" s="1"/>
      <c r="X80" s="1">
        <f t="shared" si="40"/>
        <v>-30.349999999999994</v>
      </c>
      <c r="Y80" s="1"/>
      <c r="Z80" s="5">
        <f t="shared" si="41"/>
        <v>-0.42176209005002774</v>
      </c>
    </row>
    <row r="81" spans="1:26" s="24" customFormat="1" hidden="1" outlineLevel="2" x14ac:dyDescent="0.25">
      <c r="A81" s="26"/>
      <c r="B81" s="11" t="str">
        <f>CONCATENATE("          ", "6305", " - ", "FREIGHT OUT")</f>
        <v xml:space="preserve">          6305 - FREIGHT OUT</v>
      </c>
      <c r="C81" s="11"/>
      <c r="D81" s="6"/>
      <c r="E81" s="2"/>
      <c r="F81" s="7">
        <f t="shared" si="34"/>
        <v>0</v>
      </c>
      <c r="G81" s="2"/>
      <c r="H81" s="6"/>
      <c r="I81" s="2"/>
      <c r="J81" s="7">
        <f t="shared" si="35"/>
        <v>0</v>
      </c>
      <c r="K81" s="2"/>
      <c r="L81" s="6">
        <f t="shared" si="36"/>
        <v>0</v>
      </c>
      <c r="M81" s="2"/>
      <c r="N81" s="7">
        <f t="shared" si="37"/>
        <v>0</v>
      </c>
      <c r="O81" s="11"/>
      <c r="P81" s="6">
        <v>41.61</v>
      </c>
      <c r="Q81" s="2"/>
      <c r="R81" s="7">
        <f t="shared" si="38"/>
        <v>2.6279196243867304E-5</v>
      </c>
      <c r="S81" s="2"/>
      <c r="T81" s="6">
        <v>71.959999999999994</v>
      </c>
      <c r="U81" s="2"/>
      <c r="V81" s="7">
        <f t="shared" si="39"/>
        <v>4.6661669147432091E-5</v>
      </c>
      <c r="W81" s="2"/>
      <c r="X81" s="6">
        <f t="shared" si="40"/>
        <v>-30.349999999999994</v>
      </c>
      <c r="Y81" s="2"/>
      <c r="Z81" s="7">
        <f t="shared" si="41"/>
        <v>-0.42176209005002774</v>
      </c>
    </row>
    <row r="82" spans="1:26" s="27" customFormat="1" outlineLevel="1" collapsed="1" x14ac:dyDescent="0.25">
      <c r="A82" s="25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SUM(OSRRefD22_7x_0)</f>
        <v>0</v>
      </c>
      <c r="E82" s="1"/>
      <c r="F82" s="5">
        <f t="shared" si="34"/>
        <v>0</v>
      </c>
      <c r="G82" s="1"/>
      <c r="H82" s="1">
        <f>SUM(OSRRefH22_7x_0)</f>
        <v>312.39</v>
      </c>
      <c r="I82" s="1"/>
      <c r="J82" s="5">
        <f t="shared" si="35"/>
        <v>1.752883442481502E-3</v>
      </c>
      <c r="K82" s="1"/>
      <c r="L82" s="1">
        <f t="shared" si="36"/>
        <v>-312.39</v>
      </c>
      <c r="M82" s="1"/>
      <c r="N82" s="5">
        <f t="shared" si="37"/>
        <v>-1</v>
      </c>
      <c r="O82" s="13"/>
      <c r="P82" s="1">
        <f>SUM(OSRRefP22_7x_0)</f>
        <v>0</v>
      </c>
      <c r="Q82" s="1"/>
      <c r="R82" s="5">
        <f t="shared" si="38"/>
        <v>0</v>
      </c>
      <c r="S82" s="1"/>
      <c r="T82" s="1">
        <f>SUM(OSRRefT22_7x_0)</f>
        <v>312.39</v>
      </c>
      <c r="U82" s="1"/>
      <c r="V82" s="5">
        <f t="shared" si="39"/>
        <v>2.0256585359875365E-4</v>
      </c>
      <c r="W82" s="1"/>
      <c r="X82" s="1">
        <f t="shared" si="40"/>
        <v>-312.39</v>
      </c>
      <c r="Y82" s="1"/>
      <c r="Z82" s="5">
        <f t="shared" si="41"/>
        <v>-1</v>
      </c>
    </row>
    <row r="83" spans="1:26" s="24" customFormat="1" hidden="1" outlineLevel="2" x14ac:dyDescent="0.25">
      <c r="A83" s="26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34"/>
        <v>0</v>
      </c>
      <c r="G83" s="2"/>
      <c r="H83" s="6">
        <v>312.39</v>
      </c>
      <c r="I83" s="2"/>
      <c r="J83" s="7">
        <f t="shared" si="35"/>
        <v>1.752883442481502E-3</v>
      </c>
      <c r="K83" s="2"/>
      <c r="L83" s="6">
        <f t="shared" si="36"/>
        <v>-312.39</v>
      </c>
      <c r="M83" s="2"/>
      <c r="N83" s="7">
        <f t="shared" si="37"/>
        <v>-1</v>
      </c>
      <c r="O83" s="11"/>
      <c r="P83" s="6"/>
      <c r="Q83" s="2"/>
      <c r="R83" s="7">
        <f t="shared" si="38"/>
        <v>0</v>
      </c>
      <c r="S83" s="2"/>
      <c r="T83" s="6">
        <v>312.39</v>
      </c>
      <c r="U83" s="2"/>
      <c r="V83" s="7">
        <f t="shared" si="39"/>
        <v>2.0256585359875365E-4</v>
      </c>
      <c r="W83" s="2"/>
      <c r="X83" s="6">
        <f t="shared" si="40"/>
        <v>-312.39</v>
      </c>
      <c r="Y83" s="2"/>
      <c r="Z83" s="7">
        <f t="shared" si="41"/>
        <v>-1</v>
      </c>
    </row>
    <row r="84" spans="1:26" s="27" customFormat="1" outlineLevel="1" collapsed="1" x14ac:dyDescent="0.25">
      <c r="A84" s="25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SUM(OSRRefD22_8x_0)</f>
        <v>0</v>
      </c>
      <c r="E84" s="1"/>
      <c r="F84" s="5">
        <f t="shared" si="34"/>
        <v>0</v>
      </c>
      <c r="G84" s="1"/>
      <c r="H84" s="1">
        <f>SUM(OSRRefH22_8x_0)</f>
        <v>1250</v>
      </c>
      <c r="I84" s="1"/>
      <c r="J84" s="5">
        <f t="shared" si="35"/>
        <v>7.0140026988760127E-3</v>
      </c>
      <c r="K84" s="1"/>
      <c r="L84" s="1">
        <f t="shared" si="36"/>
        <v>-1250</v>
      </c>
      <c r="M84" s="1"/>
      <c r="N84" s="5">
        <f t="shared" si="37"/>
        <v>-1</v>
      </c>
      <c r="O84" s="13"/>
      <c r="P84" s="1">
        <f>SUM(OSRRefP22_8x_0)</f>
        <v>0</v>
      </c>
      <c r="Q84" s="1"/>
      <c r="R84" s="5">
        <f t="shared" si="38"/>
        <v>0</v>
      </c>
      <c r="S84" s="1"/>
      <c r="T84" s="1">
        <f>SUM(OSRRefT22_8x_0)</f>
        <v>7500</v>
      </c>
      <c r="U84" s="1"/>
      <c r="V84" s="5">
        <f t="shared" si="39"/>
        <v>4.8632923652826669E-3</v>
      </c>
      <c r="W84" s="1"/>
      <c r="X84" s="1">
        <f t="shared" si="40"/>
        <v>-7500</v>
      </c>
      <c r="Y84" s="1"/>
      <c r="Z84" s="5">
        <f t="shared" si="41"/>
        <v>-1</v>
      </c>
    </row>
    <row r="85" spans="1:26" s="24" customFormat="1" hidden="1" outlineLevel="2" x14ac:dyDescent="0.25">
      <c r="A85" s="26"/>
      <c r="B85" s="11" t="str">
        <f>CONCATENATE("          ", "6408", " - ", "INVENTORY ADJUSTMENT")</f>
        <v xml:space="preserve">          6408 - INVENTORY ADJUSTMENT</v>
      </c>
      <c r="C85" s="11"/>
      <c r="D85" s="6"/>
      <c r="E85" s="2"/>
      <c r="F85" s="7">
        <f t="shared" si="34"/>
        <v>0</v>
      </c>
      <c r="G85" s="2"/>
      <c r="H85" s="6">
        <v>1250</v>
      </c>
      <c r="I85" s="2"/>
      <c r="J85" s="7">
        <f t="shared" si="35"/>
        <v>7.0140026988760127E-3</v>
      </c>
      <c r="K85" s="2"/>
      <c r="L85" s="6">
        <f t="shared" si="36"/>
        <v>-1250</v>
      </c>
      <c r="M85" s="2"/>
      <c r="N85" s="7">
        <f t="shared" si="37"/>
        <v>-1</v>
      </c>
      <c r="O85" s="11"/>
      <c r="P85" s="6"/>
      <c r="Q85" s="2"/>
      <c r="R85" s="7">
        <f t="shared" si="38"/>
        <v>0</v>
      </c>
      <c r="S85" s="2"/>
      <c r="T85" s="6">
        <v>7500</v>
      </c>
      <c r="U85" s="2"/>
      <c r="V85" s="7">
        <f t="shared" si="39"/>
        <v>4.8632923652826669E-3</v>
      </c>
      <c r="W85" s="2"/>
      <c r="X85" s="6">
        <f t="shared" si="40"/>
        <v>-7500</v>
      </c>
      <c r="Y85" s="2"/>
      <c r="Z85" s="7">
        <f t="shared" si="41"/>
        <v>-1</v>
      </c>
    </row>
    <row r="86" spans="1:26" s="27" customFormat="1" outlineLevel="1" collapsed="1" x14ac:dyDescent="0.25">
      <c r="A86" s="25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SUM(OSRRefD22_9x_0)</f>
        <v>197.18</v>
      </c>
      <c r="E86" s="1"/>
      <c r="F86" s="5">
        <f t="shared" si="34"/>
        <v>2.333584191464204E-3</v>
      </c>
      <c r="G86" s="1"/>
      <c r="H86" s="1">
        <f>SUM(OSRRefH22_9x_0)</f>
        <v>0</v>
      </c>
      <c r="I86" s="1"/>
      <c r="J86" s="5">
        <f t="shared" si="35"/>
        <v>0</v>
      </c>
      <c r="K86" s="1"/>
      <c r="L86" s="1">
        <f t="shared" si="36"/>
        <v>197.18</v>
      </c>
      <c r="M86" s="1"/>
      <c r="N86" s="5">
        <f t="shared" si="37"/>
        <v>0</v>
      </c>
      <c r="O86" s="13"/>
      <c r="P86" s="1">
        <f>SUM(OSRRefP22_9x_0)</f>
        <v>197.18</v>
      </c>
      <c r="Q86" s="1"/>
      <c r="R86" s="5">
        <f t="shared" si="38"/>
        <v>1.2453092803090015E-4</v>
      </c>
      <c r="S86" s="1"/>
      <c r="T86" s="1">
        <f>SUM(OSRRefT22_9x_0)</f>
        <v>0</v>
      </c>
      <c r="U86" s="1"/>
      <c r="V86" s="5">
        <f t="shared" si="39"/>
        <v>0</v>
      </c>
      <c r="W86" s="1"/>
      <c r="X86" s="1">
        <f t="shared" si="40"/>
        <v>197.18</v>
      </c>
      <c r="Y86" s="1"/>
      <c r="Z86" s="5">
        <f t="shared" si="41"/>
        <v>0</v>
      </c>
    </row>
    <row r="87" spans="1:26" s="24" customFormat="1" hidden="1" outlineLevel="2" x14ac:dyDescent="0.25">
      <c r="A87" s="26"/>
      <c r="B87" s="11" t="str">
        <f>CONCATENATE("          ", "6375", " - ", "OUTSIDE REPAIRS &amp; MAINTENANCE")</f>
        <v xml:space="preserve">          6375 - OUTSIDE REPAIRS &amp; MAINTENANCE</v>
      </c>
      <c r="C87" s="11"/>
      <c r="D87" s="6">
        <v>197.18</v>
      </c>
      <c r="E87" s="2"/>
      <c r="F87" s="7">
        <f t="shared" si="34"/>
        <v>2.333584191464204E-3</v>
      </c>
      <c r="G87" s="2"/>
      <c r="H87" s="6"/>
      <c r="I87" s="2"/>
      <c r="J87" s="7">
        <f t="shared" si="35"/>
        <v>0</v>
      </c>
      <c r="K87" s="2"/>
      <c r="L87" s="6">
        <f t="shared" si="36"/>
        <v>197.18</v>
      </c>
      <c r="M87" s="2"/>
      <c r="N87" s="7">
        <f t="shared" si="37"/>
        <v>0</v>
      </c>
      <c r="O87" s="11"/>
      <c r="P87" s="6">
        <v>197.18</v>
      </c>
      <c r="Q87" s="2"/>
      <c r="R87" s="7">
        <f t="shared" si="38"/>
        <v>1.2453092803090015E-4</v>
      </c>
      <c r="S87" s="2"/>
      <c r="T87" s="6"/>
      <c r="U87" s="2"/>
      <c r="V87" s="7">
        <f t="shared" si="39"/>
        <v>0</v>
      </c>
      <c r="W87" s="2"/>
      <c r="X87" s="6">
        <f t="shared" si="40"/>
        <v>197.18</v>
      </c>
      <c r="Y87" s="2"/>
      <c r="Z87" s="7">
        <f t="shared" si="41"/>
        <v>0</v>
      </c>
    </row>
    <row r="88" spans="1:26" s="27" customFormat="1" outlineLevel="1" collapsed="1" x14ac:dyDescent="0.25">
      <c r="A88" s="25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SUM(OSRRefD22_10x_0)</f>
        <v>0</v>
      </c>
      <c r="E88" s="1"/>
      <c r="F88" s="5">
        <f t="shared" si="34"/>
        <v>0</v>
      </c>
      <c r="G88" s="1"/>
      <c r="H88" s="1">
        <f>SUM(OSRRefH22_10x_0)</f>
        <v>0</v>
      </c>
      <c r="I88" s="1"/>
      <c r="J88" s="5">
        <f t="shared" si="35"/>
        <v>0</v>
      </c>
      <c r="K88" s="1"/>
      <c r="L88" s="1">
        <f t="shared" si="36"/>
        <v>0</v>
      </c>
      <c r="M88" s="1"/>
      <c r="N88" s="5">
        <f t="shared" si="37"/>
        <v>0</v>
      </c>
      <c r="O88" s="13"/>
      <c r="P88" s="1">
        <f>SUM(OSRRefP22_10x_0)</f>
        <v>-5000</v>
      </c>
      <c r="Q88" s="1"/>
      <c r="R88" s="5">
        <f t="shared" si="38"/>
        <v>-3.1577981547545424E-3</v>
      </c>
      <c r="S88" s="1"/>
      <c r="T88" s="1">
        <f>SUM(OSRRefT22_10x_0)</f>
        <v>258.74</v>
      </c>
      <c r="U88" s="1"/>
      <c r="V88" s="5">
        <f t="shared" si="39"/>
        <v>1.6777710221243164E-4</v>
      </c>
      <c r="W88" s="1"/>
      <c r="X88" s="1">
        <f t="shared" si="40"/>
        <v>-5258.74</v>
      </c>
      <c r="Y88" s="1"/>
      <c r="Z88" s="5">
        <f t="shared" si="41"/>
        <v>-20.324418335008115</v>
      </c>
    </row>
    <row r="89" spans="1:26" s="24" customFormat="1" hidden="1" outlineLevel="2" x14ac:dyDescent="0.25">
      <c r="A89" s="26"/>
      <c r="B89" s="11" t="str">
        <f>CONCATENATE("          ", "6258", " - ", "MEMBERSHIP DUES")</f>
        <v xml:space="preserve">          6258 - MEMBERSHIP DUES</v>
      </c>
      <c r="C89" s="11"/>
      <c r="D89" s="6"/>
      <c r="E89" s="2"/>
      <c r="F89" s="7">
        <f t="shared" si="34"/>
        <v>0</v>
      </c>
      <c r="G89" s="2"/>
      <c r="H89" s="6"/>
      <c r="I89" s="2"/>
      <c r="J89" s="7">
        <f t="shared" si="35"/>
        <v>0</v>
      </c>
      <c r="K89" s="2"/>
      <c r="L89" s="6">
        <f t="shared" si="36"/>
        <v>0</v>
      </c>
      <c r="M89" s="2"/>
      <c r="N89" s="7">
        <f t="shared" si="37"/>
        <v>0</v>
      </c>
      <c r="O89" s="11"/>
      <c r="P89" s="6">
        <v>-5000</v>
      </c>
      <c r="Q89" s="2"/>
      <c r="R89" s="7">
        <f t="shared" si="38"/>
        <v>-3.1577981547545424E-3</v>
      </c>
      <c r="S89" s="2"/>
      <c r="T89" s="6">
        <v>258.74</v>
      </c>
      <c r="U89" s="2"/>
      <c r="V89" s="7">
        <f t="shared" si="39"/>
        <v>1.6777710221243164E-4</v>
      </c>
      <c r="W89" s="2"/>
      <c r="X89" s="6">
        <f t="shared" si="40"/>
        <v>-5258.74</v>
      </c>
      <c r="Y89" s="2"/>
      <c r="Z89" s="7">
        <f t="shared" si="41"/>
        <v>-20.324418335008115</v>
      </c>
    </row>
    <row r="90" spans="1:26" s="27" customFormat="1" outlineLevel="1" collapsed="1" x14ac:dyDescent="0.25">
      <c r="A90" s="25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SUM(OSRRefD22_11x_0)</f>
        <v>0</v>
      </c>
      <c r="E90" s="1"/>
      <c r="F90" s="5">
        <f t="shared" si="34"/>
        <v>0</v>
      </c>
      <c r="G90" s="1"/>
      <c r="H90" s="1">
        <f>SUM(OSRRefH22_11x_0)</f>
        <v>77.25</v>
      </c>
      <c r="I90" s="1"/>
      <c r="J90" s="5">
        <f t="shared" si="35"/>
        <v>4.3346536679053757E-4</v>
      </c>
      <c r="K90" s="1"/>
      <c r="L90" s="1">
        <f t="shared" si="36"/>
        <v>-77.25</v>
      </c>
      <c r="M90" s="1"/>
      <c r="N90" s="5">
        <f t="shared" si="37"/>
        <v>-1</v>
      </c>
      <c r="O90" s="13"/>
      <c r="P90" s="1">
        <f>SUM(OSRRefP22_11x_0)</f>
        <v>2702.03</v>
      </c>
      <c r="Q90" s="1"/>
      <c r="R90" s="5">
        <f t="shared" si="38"/>
        <v>1.7064930696182835E-3</v>
      </c>
      <c r="S90" s="1"/>
      <c r="T90" s="1">
        <f>SUM(OSRRefT22_11x_0)</f>
        <v>1283.43</v>
      </c>
      <c r="U90" s="1"/>
      <c r="V90" s="5">
        <f t="shared" si="39"/>
        <v>8.3222604271663116E-4</v>
      </c>
      <c r="W90" s="1"/>
      <c r="X90" s="1">
        <f t="shared" si="40"/>
        <v>1418.6000000000001</v>
      </c>
      <c r="Y90" s="1"/>
      <c r="Z90" s="5">
        <f t="shared" si="41"/>
        <v>1.1053193395822134</v>
      </c>
    </row>
    <row r="91" spans="1:26" s="24" customFormat="1" hidden="1" outlineLevel="2" x14ac:dyDescent="0.25">
      <c r="A91" s="26"/>
      <c r="B91" s="11" t="str">
        <f>CONCATENATE("          ", "6241", " - ", "OFFICE EXPENSE")</f>
        <v xml:space="preserve">          6241 - OFFICE EXPENSE</v>
      </c>
      <c r="C91" s="11"/>
      <c r="D91" s="6"/>
      <c r="E91" s="2"/>
      <c r="F91" s="7">
        <f t="shared" si="34"/>
        <v>0</v>
      </c>
      <c r="G91" s="2"/>
      <c r="H91" s="6">
        <v>77.25</v>
      </c>
      <c r="I91" s="2"/>
      <c r="J91" s="7">
        <f t="shared" si="35"/>
        <v>4.3346536679053757E-4</v>
      </c>
      <c r="K91" s="2"/>
      <c r="L91" s="6">
        <f t="shared" si="36"/>
        <v>-77.25</v>
      </c>
      <c r="M91" s="2"/>
      <c r="N91" s="7">
        <f t="shared" si="37"/>
        <v>-1</v>
      </c>
      <c r="O91" s="11"/>
      <c r="P91" s="6">
        <v>692.65</v>
      </c>
      <c r="Q91" s="2"/>
      <c r="R91" s="7">
        <f t="shared" si="38"/>
        <v>4.3744977837814679E-4</v>
      </c>
      <c r="S91" s="2"/>
      <c r="T91" s="6">
        <v>1054.67</v>
      </c>
      <c r="U91" s="2"/>
      <c r="V91" s="7">
        <f t="shared" si="39"/>
        <v>6.8388914118568947E-4</v>
      </c>
      <c r="W91" s="2"/>
      <c r="X91" s="6">
        <f t="shared" si="40"/>
        <v>-362.0200000000001</v>
      </c>
      <c r="Y91" s="2"/>
      <c r="Z91" s="7">
        <f t="shared" si="41"/>
        <v>-0.34325428807115027</v>
      </c>
    </row>
    <row r="92" spans="1:26" s="24" customFormat="1" hidden="1" outlineLevel="2" x14ac:dyDescent="0.25">
      <c r="A92" s="26"/>
      <c r="B92" s="11" t="str">
        <f>CONCATENATE("          ", "6247", " - ", "STORE SUPPLIES")</f>
        <v xml:space="preserve">          6247 - STORE SUPPLIES</v>
      </c>
      <c r="C92" s="11"/>
      <c r="D92" s="6"/>
      <c r="E92" s="2"/>
      <c r="F92" s="7">
        <f t="shared" si="34"/>
        <v>0</v>
      </c>
      <c r="G92" s="2"/>
      <c r="H92" s="6"/>
      <c r="I92" s="2"/>
      <c r="J92" s="7">
        <f t="shared" si="35"/>
        <v>0</v>
      </c>
      <c r="K92" s="2"/>
      <c r="L92" s="6">
        <f t="shared" si="36"/>
        <v>0</v>
      </c>
      <c r="M92" s="2"/>
      <c r="N92" s="7">
        <f t="shared" si="37"/>
        <v>0</v>
      </c>
      <c r="O92" s="11"/>
      <c r="P92" s="6">
        <v>2009.38</v>
      </c>
      <c r="Q92" s="2"/>
      <c r="R92" s="7">
        <f t="shared" si="38"/>
        <v>1.2690432912401367E-3</v>
      </c>
      <c r="S92" s="2"/>
      <c r="T92" s="6">
        <v>228.76</v>
      </c>
      <c r="U92" s="2"/>
      <c r="V92" s="7">
        <f t="shared" si="39"/>
        <v>1.4833690153094172E-4</v>
      </c>
      <c r="W92" s="2"/>
      <c r="X92" s="6">
        <f t="shared" si="40"/>
        <v>1780.6200000000001</v>
      </c>
      <c r="Y92" s="2"/>
      <c r="Z92" s="7">
        <f t="shared" si="41"/>
        <v>7.7837908725301634</v>
      </c>
    </row>
    <row r="93" spans="1:26" s="27" customFormat="1" outlineLevel="1" collapsed="1" x14ac:dyDescent="0.25">
      <c r="A93" s="25"/>
      <c r="B93" s="13" t="str">
        <f>CONCATENATE("     ","Telephone/Data Lines                              ")</f>
        <v xml:space="preserve">     Telephone/Data Lines                              </v>
      </c>
      <c r="C93" s="13"/>
      <c r="D93" s="1">
        <f>SUM(OSRRefD22_12x_0)</f>
        <v>257</v>
      </c>
      <c r="E93" s="1"/>
      <c r="F93" s="5">
        <f t="shared" ref="F93:F98" si="42">IF(D$12=0,0,D93/D$12)</f>
        <v>3.041541420054267E-3</v>
      </c>
      <c r="G93" s="1"/>
      <c r="H93" s="1">
        <f>SUM(OSRRefH22_12x_0)</f>
        <v>242.45</v>
      </c>
      <c r="I93" s="1"/>
      <c r="J93" s="5">
        <f t="shared" ref="J93:J98" si="43">IF(H$12=0,0,H93/H$12)</f>
        <v>1.3604359634739912E-3</v>
      </c>
      <c r="K93" s="1"/>
      <c r="L93" s="1">
        <f t="shared" ref="L93:L98" si="44">+D93-H93</f>
        <v>14.550000000000011</v>
      </c>
      <c r="M93" s="1"/>
      <c r="N93" s="5">
        <f t="shared" ref="N93:N98" si="45">IF(H93=0,0,L93/H93)</f>
        <v>6.0012373685295987E-2</v>
      </c>
      <c r="O93" s="13"/>
      <c r="P93" s="1">
        <f>SUM(OSRRefP22_12x_0)</f>
        <v>1536.15</v>
      </c>
      <c r="Q93" s="1"/>
      <c r="R93" s="5">
        <f t="shared" ref="R93:R98" si="46">IF(P$12=0,0,P93/P$12)</f>
        <v>9.7017032708523814E-4</v>
      </c>
      <c r="S93" s="1"/>
      <c r="T93" s="1">
        <f>SUM(OSRRefT22_12x_0)</f>
        <v>2017.85</v>
      </c>
      <c r="U93" s="1"/>
      <c r="V93" s="5">
        <f t="shared" ref="V93:V98" si="47">IF(T$12=0,0,T93/T$12)</f>
        <v>1.3084525999047505E-3</v>
      </c>
      <c r="W93" s="1"/>
      <c r="X93" s="1">
        <f t="shared" ref="X93:X98" si="48">+P93-T93</f>
        <v>-481.69999999999982</v>
      </c>
      <c r="Y93" s="1"/>
      <c r="Z93" s="5">
        <f t="shared" ref="Z93:Z98" si="49">IF(T93=0,0,X93/T93)</f>
        <v>-0.23871942909532415</v>
      </c>
    </row>
    <row r="94" spans="1:26" s="24" customFormat="1" hidden="1" outlineLevel="2" x14ac:dyDescent="0.25">
      <c r="A94" s="26"/>
      <c r="B94" s="11" t="str">
        <f>CONCATENATE("          ", "6309", " - ", "TELEPHONE")</f>
        <v xml:space="preserve">          6309 - TELEPHONE</v>
      </c>
      <c r="C94" s="11"/>
      <c r="D94" s="6">
        <v>257</v>
      </c>
      <c r="E94" s="2"/>
      <c r="F94" s="7">
        <f t="shared" si="42"/>
        <v>3.041541420054267E-3</v>
      </c>
      <c r="G94" s="2"/>
      <c r="H94" s="6">
        <v>242.45</v>
      </c>
      <c r="I94" s="2"/>
      <c r="J94" s="7">
        <f t="shared" si="43"/>
        <v>1.3604359634739912E-3</v>
      </c>
      <c r="K94" s="2"/>
      <c r="L94" s="6">
        <f t="shared" si="44"/>
        <v>14.550000000000011</v>
      </c>
      <c r="M94" s="2"/>
      <c r="N94" s="7">
        <f t="shared" si="45"/>
        <v>6.0012373685295987E-2</v>
      </c>
      <c r="O94" s="11"/>
      <c r="P94" s="6">
        <v>1536.15</v>
      </c>
      <c r="Q94" s="2"/>
      <c r="R94" s="7">
        <f t="shared" si="46"/>
        <v>9.7017032708523814E-4</v>
      </c>
      <c r="S94" s="2"/>
      <c r="T94" s="6">
        <v>2017.85</v>
      </c>
      <c r="U94" s="2"/>
      <c r="V94" s="7">
        <f t="shared" si="47"/>
        <v>1.3084525999047505E-3</v>
      </c>
      <c r="W94" s="2"/>
      <c r="X94" s="6">
        <f t="shared" si="48"/>
        <v>-481.69999999999982</v>
      </c>
      <c r="Y94" s="2"/>
      <c r="Z94" s="7">
        <f t="shared" si="49"/>
        <v>-0.23871942909532415</v>
      </c>
    </row>
    <row r="95" spans="1:26" s="27" customFormat="1" outlineLevel="1" collapsed="1" x14ac:dyDescent="0.25">
      <c r="A95" s="25"/>
      <c r="B95" s="13" t="str">
        <f>CONCATENATE("     ","Training                                          ")</f>
        <v xml:space="preserve">     Training                                          </v>
      </c>
      <c r="C95" s="13"/>
      <c r="D95" s="1">
        <f>SUM(OSRRefD22_13x_0)</f>
        <v>0</v>
      </c>
      <c r="E95" s="1"/>
      <c r="F95" s="5">
        <f t="shared" si="42"/>
        <v>0</v>
      </c>
      <c r="G95" s="1"/>
      <c r="H95" s="1">
        <f>SUM(OSRRefH22_13x_0)</f>
        <v>0</v>
      </c>
      <c r="I95" s="1"/>
      <c r="J95" s="5">
        <f t="shared" si="43"/>
        <v>0</v>
      </c>
      <c r="K95" s="1"/>
      <c r="L95" s="1">
        <f t="shared" si="44"/>
        <v>0</v>
      </c>
      <c r="M95" s="1"/>
      <c r="N95" s="5">
        <f t="shared" si="45"/>
        <v>0</v>
      </c>
      <c r="O95" s="13"/>
      <c r="P95" s="1">
        <f>SUM(OSRRefP22_13x_0)</f>
        <v>1163.6400000000001</v>
      </c>
      <c r="Q95" s="1"/>
      <c r="R95" s="5">
        <f t="shared" si="46"/>
        <v>7.3490804895971523E-4</v>
      </c>
      <c r="S95" s="1"/>
      <c r="T95" s="1">
        <f>SUM(OSRRefT22_13x_0)</f>
        <v>0</v>
      </c>
      <c r="U95" s="1"/>
      <c r="V95" s="5">
        <f t="shared" si="47"/>
        <v>0</v>
      </c>
      <c r="W95" s="1"/>
      <c r="X95" s="1">
        <f t="shared" si="48"/>
        <v>1163.6400000000001</v>
      </c>
      <c r="Y95" s="1"/>
      <c r="Z95" s="5">
        <f t="shared" si="49"/>
        <v>0</v>
      </c>
    </row>
    <row r="96" spans="1:26" s="24" customFormat="1" hidden="1" outlineLevel="2" x14ac:dyDescent="0.25">
      <c r="A96" s="26"/>
      <c r="B96" s="11" t="str">
        <f>CONCATENATE("          ", "6376", " - ", "TRAINING")</f>
        <v xml:space="preserve">          6376 - TRAINING</v>
      </c>
      <c r="C96" s="11"/>
      <c r="D96" s="6"/>
      <c r="E96" s="2"/>
      <c r="F96" s="7">
        <f t="shared" si="42"/>
        <v>0</v>
      </c>
      <c r="G96" s="2"/>
      <c r="H96" s="6"/>
      <c r="I96" s="2"/>
      <c r="J96" s="7">
        <f t="shared" si="43"/>
        <v>0</v>
      </c>
      <c r="K96" s="2"/>
      <c r="L96" s="6">
        <f t="shared" si="44"/>
        <v>0</v>
      </c>
      <c r="M96" s="2"/>
      <c r="N96" s="7">
        <f t="shared" si="45"/>
        <v>0</v>
      </c>
      <c r="O96" s="11"/>
      <c r="P96" s="6">
        <v>1163.6400000000001</v>
      </c>
      <c r="Q96" s="2"/>
      <c r="R96" s="7">
        <f t="shared" si="46"/>
        <v>7.3490804895971523E-4</v>
      </c>
      <c r="S96" s="2"/>
      <c r="T96" s="6"/>
      <c r="U96" s="2"/>
      <c r="V96" s="7">
        <f t="shared" si="47"/>
        <v>0</v>
      </c>
      <c r="W96" s="2"/>
      <c r="X96" s="6">
        <f t="shared" si="48"/>
        <v>1163.6400000000001</v>
      </c>
      <c r="Y96" s="2"/>
      <c r="Z96" s="7">
        <f t="shared" si="49"/>
        <v>0</v>
      </c>
    </row>
    <row r="97" spans="1:26" s="27" customFormat="1" outlineLevel="1" collapsed="1" x14ac:dyDescent="0.25">
      <c r="A97" s="25"/>
      <c r="B97" s="13" t="str">
        <f>CONCATENATE("     ","Travel                                            ")</f>
        <v xml:space="preserve">     Travel                                            </v>
      </c>
      <c r="C97" s="13"/>
      <c r="D97" s="1">
        <f>SUM(OSRRefD22_14x_0)</f>
        <v>0</v>
      </c>
      <c r="E97" s="1"/>
      <c r="F97" s="5">
        <f t="shared" si="42"/>
        <v>0</v>
      </c>
      <c r="G97" s="1"/>
      <c r="H97" s="1">
        <f>SUM(OSRRefH22_14x_0)</f>
        <v>0</v>
      </c>
      <c r="I97" s="1"/>
      <c r="J97" s="5">
        <f t="shared" si="43"/>
        <v>0</v>
      </c>
      <c r="K97" s="1"/>
      <c r="L97" s="1">
        <f t="shared" si="44"/>
        <v>0</v>
      </c>
      <c r="M97" s="1"/>
      <c r="N97" s="5">
        <f t="shared" si="45"/>
        <v>0</v>
      </c>
      <c r="O97" s="13"/>
      <c r="P97" s="1">
        <f>SUM(OSRRefP22_14x_0)</f>
        <v>-178.06</v>
      </c>
      <c r="Q97" s="1"/>
      <c r="R97" s="5">
        <f t="shared" si="46"/>
        <v>-1.1245550788711877E-4</v>
      </c>
      <c r="S97" s="1"/>
      <c r="T97" s="1">
        <f>SUM(OSRRefT22_14x_0)</f>
        <v>113.4</v>
      </c>
      <c r="U97" s="1"/>
      <c r="V97" s="5">
        <f t="shared" si="47"/>
        <v>7.3532980563073935E-5</v>
      </c>
      <c r="W97" s="1"/>
      <c r="X97" s="1">
        <f t="shared" si="48"/>
        <v>-291.46000000000004</v>
      </c>
      <c r="Y97" s="1"/>
      <c r="Z97" s="5">
        <f t="shared" si="49"/>
        <v>-2.570194003527337</v>
      </c>
    </row>
    <row r="98" spans="1:26" s="24" customFormat="1" hidden="1" outlineLevel="2" x14ac:dyDescent="0.25">
      <c r="A98" s="26"/>
      <c r="B98" s="11" t="str">
        <f>CONCATENATE("          ", "6292", " - ", "TRAVEL/CONFERENCE")</f>
        <v xml:space="preserve">          6292 - TRAVEL/CONFERENCE</v>
      </c>
      <c r="C98" s="11"/>
      <c r="D98" s="6"/>
      <c r="E98" s="2"/>
      <c r="F98" s="7">
        <f t="shared" si="42"/>
        <v>0</v>
      </c>
      <c r="G98" s="2"/>
      <c r="H98" s="6"/>
      <c r="I98" s="2"/>
      <c r="J98" s="7">
        <f t="shared" si="43"/>
        <v>0</v>
      </c>
      <c r="K98" s="2"/>
      <c r="L98" s="6">
        <f t="shared" si="44"/>
        <v>0</v>
      </c>
      <c r="M98" s="2"/>
      <c r="N98" s="7">
        <f t="shared" si="45"/>
        <v>0</v>
      </c>
      <c r="O98" s="11"/>
      <c r="P98" s="6">
        <v>-178.06</v>
      </c>
      <c r="Q98" s="2"/>
      <c r="R98" s="7">
        <f t="shared" si="46"/>
        <v>-1.1245550788711877E-4</v>
      </c>
      <c r="S98" s="2"/>
      <c r="T98" s="6">
        <v>113.4</v>
      </c>
      <c r="U98" s="2"/>
      <c r="V98" s="7">
        <f t="shared" si="47"/>
        <v>7.3532980563073935E-5</v>
      </c>
      <c r="W98" s="2"/>
      <c r="X98" s="6">
        <f t="shared" si="48"/>
        <v>-291.46000000000004</v>
      </c>
      <c r="Y98" s="2"/>
      <c r="Z98" s="7">
        <f t="shared" si="49"/>
        <v>-2.570194003527337</v>
      </c>
    </row>
    <row r="99" spans="1:26" s="61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8" t="s">
        <v>0</v>
      </c>
      <c r="C100" s="10"/>
      <c r="D100" s="4">
        <f>SUM(OSRRefD25x_0)</f>
        <v>4.9300000000000068</v>
      </c>
      <c r="E100" s="4"/>
      <c r="F100" s="12">
        <f t="shared" ref="F100:F104" si="50">IF(D$12=0,0,D100/D$12)</f>
        <v>5.8345522182364038E-5</v>
      </c>
      <c r="G100" s="4"/>
      <c r="H100" s="4">
        <f>SUM(OSRRefH25x_0)</f>
        <v>556.62</v>
      </c>
      <c r="I100" s="4"/>
      <c r="J100" s="12">
        <f t="shared" ref="J100:J104" si="51">IF(H$12=0,0,H100/H$12)</f>
        <v>3.1233073457986927E-3</v>
      </c>
      <c r="K100" s="4"/>
      <c r="L100" s="4">
        <f t="shared" ref="L100:L104" si="52">+D100-H100</f>
        <v>-551.69000000000005</v>
      </c>
      <c r="M100" s="4"/>
      <c r="N100" s="12">
        <f t="shared" ref="N100:N104" si="53">IF(H100=0,0,L100/H100)</f>
        <v>-0.99114297006934726</v>
      </c>
      <c r="O100" s="10"/>
      <c r="P100" s="4">
        <f>SUM(OSRRefP25x_0)</f>
        <v>7236.66</v>
      </c>
      <c r="Q100" s="4"/>
      <c r="R100" s="12">
        <f t="shared" ref="R100:R104" si="54">IF(P$12=0,0,P100/P$12)</f>
        <v>4.5703823189172012E-3</v>
      </c>
      <c r="S100" s="4"/>
      <c r="T100" s="4">
        <f>SUM(OSRRefT25x_0)</f>
        <v>6587.49</v>
      </c>
      <c r="U100" s="4"/>
      <c r="V100" s="12">
        <f t="shared" ref="V100:V104" si="55">IF(T$12=0,0,T100/T$12)</f>
        <v>4.2715853097834555E-3</v>
      </c>
      <c r="W100" s="4"/>
      <c r="X100" s="4">
        <f t="shared" ref="X100:X104" si="56">+P100-T100</f>
        <v>649.17000000000007</v>
      </c>
      <c r="Y100" s="4"/>
      <c r="Z100" s="12">
        <f t="shared" ref="Z100:Z104" si="57">IF(T100=0,0,X100/T100)</f>
        <v>9.8545880145548617E-2</v>
      </c>
    </row>
    <row r="101" spans="1:26" s="24" customFormat="1" hidden="1" outlineLevel="1" x14ac:dyDescent="0.25">
      <c r="A101" s="44"/>
      <c r="B101" s="11" t="str">
        <f>CONCATENATE("          ", "4187", " - ", "NON-TAXABLE SALES-COMPUTER REP")</f>
        <v xml:space="preserve">          4187 - NON-TAXABLE SALES-COMPUTER REP</v>
      </c>
      <c r="C101" s="11"/>
      <c r="D101" s="2">
        <f>--456.99</f>
        <v>456.99</v>
      </c>
      <c r="E101" s="2"/>
      <c r="F101" s="19">
        <f t="shared" si="50"/>
        <v>5.4083813756832669E-3</v>
      </c>
      <c r="G101" s="2"/>
      <c r="H101" s="2">
        <f>--348.37</f>
        <v>348.37</v>
      </c>
      <c r="I101" s="2"/>
      <c r="J101" s="19">
        <f t="shared" si="51"/>
        <v>1.9547744961659493E-3</v>
      </c>
      <c r="K101" s="2"/>
      <c r="L101" s="2">
        <f t="shared" si="52"/>
        <v>108.62</v>
      </c>
      <c r="M101" s="2"/>
      <c r="N101" s="19">
        <f t="shared" si="53"/>
        <v>0.31179493067715364</v>
      </c>
      <c r="O101" s="11"/>
      <c r="P101" s="2">
        <f>--13188.92</f>
        <v>13188.92</v>
      </c>
      <c r="Q101" s="2"/>
      <c r="R101" s="19">
        <f t="shared" si="54"/>
        <v>8.329589447841056E-3</v>
      </c>
      <c r="S101" s="2"/>
      <c r="T101" s="2">
        <f>--5309.75</f>
        <v>5309.75</v>
      </c>
      <c r="U101" s="2"/>
      <c r="V101" s="19">
        <f t="shared" si="55"/>
        <v>3.4430488848746191E-3</v>
      </c>
      <c r="W101" s="2"/>
      <c r="X101" s="2">
        <f t="shared" si="56"/>
        <v>7879.17</v>
      </c>
      <c r="Y101" s="2"/>
      <c r="Z101" s="19">
        <f t="shared" si="57"/>
        <v>1.4839060219407694</v>
      </c>
    </row>
    <row r="102" spans="1:26" s="24" customFormat="1" hidden="1" outlineLevel="1" x14ac:dyDescent="0.25">
      <c r="A102" s="44"/>
      <c r="B102" s="11" t="str">
        <f>CONCATENATE("          ", "4387", " - ", "SALES RETURN NON TAXABLE-COMPU")</f>
        <v xml:space="preserve">          4387 - SALES RETURN NON TAXABLE-COMPU</v>
      </c>
      <c r="C102" s="11"/>
      <c r="D102" s="2">
        <f>0</f>
        <v>0</v>
      </c>
      <c r="E102" s="2"/>
      <c r="F102" s="19">
        <f t="shared" si="50"/>
        <v>0</v>
      </c>
      <c r="G102" s="2"/>
      <c r="H102" s="2">
        <f t="shared" ref="H102:H103" si="58">0</f>
        <v>0</v>
      </c>
      <c r="I102" s="2"/>
      <c r="J102" s="19">
        <f t="shared" si="51"/>
        <v>0</v>
      </c>
      <c r="K102" s="2"/>
      <c r="L102" s="2">
        <f t="shared" si="52"/>
        <v>0</v>
      </c>
      <c r="M102" s="2"/>
      <c r="N102" s="19">
        <f t="shared" si="53"/>
        <v>0</v>
      </c>
      <c r="O102" s="11"/>
      <c r="P102" s="2">
        <f>-7889</f>
        <v>-7889</v>
      </c>
      <c r="Q102" s="2"/>
      <c r="R102" s="19">
        <f t="shared" si="54"/>
        <v>-4.9823739285717169E-3</v>
      </c>
      <c r="S102" s="2"/>
      <c r="T102" s="2">
        <f t="shared" ref="T102:T103" si="59">0</f>
        <v>0</v>
      </c>
      <c r="U102" s="2"/>
      <c r="V102" s="19">
        <f t="shared" si="55"/>
        <v>0</v>
      </c>
      <c r="W102" s="2"/>
      <c r="X102" s="2">
        <f t="shared" si="56"/>
        <v>-7889</v>
      </c>
      <c r="Y102" s="2"/>
      <c r="Z102" s="19">
        <f t="shared" si="57"/>
        <v>0</v>
      </c>
    </row>
    <row r="103" spans="1:26" s="24" customFormat="1" hidden="1" outlineLevel="1" x14ac:dyDescent="0.25">
      <c r="A103" s="44"/>
      <c r="B103" s="11" t="str">
        <f>CONCATENATE("          ", "5087", " - ", "PURCHASES @ COST-COMPUTER REPA")</f>
        <v xml:space="preserve">          5087 - PURCHASES @ COST-COMPUTER REPA</v>
      </c>
      <c r="C103" s="11"/>
      <c r="D103" s="2">
        <f>-56.72</f>
        <v>-56.72</v>
      </c>
      <c r="E103" s="2"/>
      <c r="F103" s="19">
        <f t="shared" si="50"/>
        <v>-6.7126937488512853E-4</v>
      </c>
      <c r="G103" s="2"/>
      <c r="H103" s="2">
        <f t="shared" si="58"/>
        <v>0</v>
      </c>
      <c r="I103" s="2"/>
      <c r="J103" s="19">
        <f t="shared" si="51"/>
        <v>0</v>
      </c>
      <c r="K103" s="2"/>
      <c r="L103" s="2">
        <f t="shared" si="52"/>
        <v>-56.72</v>
      </c>
      <c r="M103" s="2"/>
      <c r="N103" s="19">
        <f t="shared" si="53"/>
        <v>0</v>
      </c>
      <c r="O103" s="11"/>
      <c r="P103" s="2">
        <f>-56.72</f>
        <v>-56.72</v>
      </c>
      <c r="Q103" s="2"/>
      <c r="R103" s="19">
        <f t="shared" si="54"/>
        <v>-3.5822062267535532E-5</v>
      </c>
      <c r="S103" s="2"/>
      <c r="T103" s="2">
        <f t="shared" si="59"/>
        <v>0</v>
      </c>
      <c r="U103" s="2"/>
      <c r="V103" s="19">
        <f t="shared" si="55"/>
        <v>0</v>
      </c>
      <c r="W103" s="2"/>
      <c r="X103" s="2">
        <f t="shared" si="56"/>
        <v>-56.72</v>
      </c>
      <c r="Y103" s="2"/>
      <c r="Z103" s="19">
        <f t="shared" si="57"/>
        <v>0</v>
      </c>
    </row>
    <row r="104" spans="1:26" s="24" customFormat="1" hidden="1" outlineLevel="1" x14ac:dyDescent="0.25">
      <c r="A104" s="44"/>
      <c r="B104" s="11" t="str">
        <f>CONCATENATE("          ", "9150", " - ", "MISC. INCOME")</f>
        <v xml:space="preserve">          9150 - MISC. INCOME</v>
      </c>
      <c r="C104" s="11"/>
      <c r="D104" s="2">
        <f>-395.34</f>
        <v>-395.34</v>
      </c>
      <c r="E104" s="2"/>
      <c r="F104" s="19">
        <f t="shared" si="50"/>
        <v>-4.6787664786157738E-3</v>
      </c>
      <c r="G104" s="2"/>
      <c r="H104" s="2">
        <f>--208.25</f>
        <v>208.25</v>
      </c>
      <c r="I104" s="2"/>
      <c r="J104" s="19">
        <f t="shared" si="51"/>
        <v>1.1685328496327436E-3</v>
      </c>
      <c r="K104" s="2"/>
      <c r="L104" s="2">
        <f t="shared" si="52"/>
        <v>-603.58999999999992</v>
      </c>
      <c r="M104" s="2"/>
      <c r="N104" s="19">
        <f t="shared" si="53"/>
        <v>-2.8983913565426165</v>
      </c>
      <c r="O104" s="11"/>
      <c r="P104" s="2">
        <f>--1993.46</f>
        <v>1993.46</v>
      </c>
      <c r="Q104" s="2"/>
      <c r="R104" s="19">
        <f t="shared" si="54"/>
        <v>1.2589888619153982E-3</v>
      </c>
      <c r="S104" s="2"/>
      <c r="T104" s="2">
        <f>--1277.74</f>
        <v>1277.74</v>
      </c>
      <c r="U104" s="2"/>
      <c r="V104" s="19">
        <f t="shared" si="55"/>
        <v>8.2853642490883668E-4</v>
      </c>
      <c r="W104" s="2"/>
      <c r="X104" s="2">
        <f t="shared" si="56"/>
        <v>715.72</v>
      </c>
      <c r="Y104" s="2"/>
      <c r="Z104" s="19">
        <f t="shared" si="57"/>
        <v>0.56014525646845215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9" t="s">
        <v>3</v>
      </c>
      <c r="C106" s="29"/>
      <c r="D106" s="20">
        <f>+D54-D56+D100</f>
        <v>647.42000000000894</v>
      </c>
      <c r="E106" s="14"/>
      <c r="F106" s="21">
        <f>IF(D$12=0,0,D106/D$12)</f>
        <v>7.6620807244029603E-3</v>
      </c>
      <c r="G106" s="14"/>
      <c r="H106" s="20">
        <f>+H54-H56+H100</f>
        <v>23815.570000000058</v>
      </c>
      <c r="I106" s="14"/>
      <c r="J106" s="21">
        <f>IF(H$12=0,0,H106/H$12)</f>
        <v>0.13363397780421679</v>
      </c>
      <c r="K106" s="15"/>
      <c r="L106" s="20">
        <f>+D106-H106</f>
        <v>-23168.150000000049</v>
      </c>
      <c r="M106" s="15"/>
      <c r="N106" s="21">
        <f>IF(H106=0,0,L106/H106)</f>
        <v>-0.97281526329203927</v>
      </c>
      <c r="O106" s="28"/>
      <c r="P106" s="20">
        <f>+P54-P56+P100</f>
        <v>55137.630000000179</v>
      </c>
      <c r="Q106" s="14"/>
      <c r="R106" s="21">
        <f>IF(P$12=0,0,P106/P$12)</f>
        <v>3.4822701254307857E-2</v>
      </c>
      <c r="S106" s="14"/>
      <c r="T106" s="20">
        <f>+T54-T56+T100</f>
        <v>71946.200000000026</v>
      </c>
      <c r="U106" s="14"/>
      <c r="V106" s="21">
        <f>IF(T$12=0,0,T106/T$12)</f>
        <v>4.6652720689479996E-2</v>
      </c>
      <c r="W106" s="15"/>
      <c r="X106" s="20">
        <f>+P106-T106</f>
        <v>-16808.569999999847</v>
      </c>
      <c r="Y106" s="15"/>
      <c r="Z106" s="21">
        <f>IF(T106=0,0,X106/T106)</f>
        <v>-0.23362693234666793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1"/>
      <c r="B108" s="10" t="s">
        <v>13</v>
      </c>
      <c r="C108" s="10"/>
      <c r="D108" s="4">
        <v>12295.62</v>
      </c>
      <c r="E108" s="4"/>
      <c r="F108" s="12">
        <f>IF(D$12=0,0,D108/D$12)</f>
        <v>0.14551609928111925</v>
      </c>
      <c r="G108" s="4"/>
      <c r="H108" s="4">
        <v>22904.870000000003</v>
      </c>
      <c r="I108" s="4"/>
      <c r="J108" s="12">
        <f>IF(H$12=0,0,H108/H$12)</f>
        <v>0.12852385599792338</v>
      </c>
      <c r="K108" s="4"/>
      <c r="L108" s="4">
        <f>+D108-H108</f>
        <v>-10609.250000000002</v>
      </c>
      <c r="M108" s="4"/>
      <c r="N108" s="12">
        <f>IF(H108=0,0,L108/H108)</f>
        <v>-0.46318752300275012</v>
      </c>
      <c r="O108" s="10"/>
      <c r="P108" s="4">
        <v>171017.42</v>
      </c>
      <c r="Q108" s="4"/>
      <c r="R108" s="12">
        <f>IF(P$12=0,0,P108/P$12)</f>
        <v>0.10800769866137652</v>
      </c>
      <c r="S108" s="4"/>
      <c r="T108" s="4">
        <v>166422.97</v>
      </c>
      <c r="U108" s="4"/>
      <c r="V108" s="12">
        <f>IF(T$12=0,0,T108/T$12)</f>
        <v>0.10791514125448885</v>
      </c>
      <c r="W108" s="4"/>
      <c r="X108" s="4">
        <f>+P108-T108</f>
        <v>4594.4500000000116</v>
      </c>
      <c r="Y108" s="4"/>
      <c r="Z108" s="12">
        <f>IF(T108=0,0,X108/T108)</f>
        <v>2.7607066500495766E-2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4</v>
      </c>
      <c r="C110" s="29"/>
      <c r="D110" s="32">
        <f>+D106-D108</f>
        <v>-11648.199999999992</v>
      </c>
      <c r="E110" s="14"/>
      <c r="F110" s="30">
        <f>IF(D$12=0,0,D110/D$12)</f>
        <v>-0.13785401855671631</v>
      </c>
      <c r="G110" s="14"/>
      <c r="H110" s="32">
        <f>+H106-H108</f>
        <v>910.7000000000553</v>
      </c>
      <c r="I110" s="14"/>
      <c r="J110" s="30">
        <f>IF(H$12=0,0,H110/H$12)</f>
        <v>5.1101218062934179E-3</v>
      </c>
      <c r="K110" s="15"/>
      <c r="L110" s="32">
        <f>D110-H110</f>
        <v>-12558.900000000047</v>
      </c>
      <c r="M110" s="15"/>
      <c r="N110" s="30">
        <f>IF(H110=0,0,L110/H110)</f>
        <v>-13.79038102558393</v>
      </c>
      <c r="O110" s="28"/>
      <c r="P110" s="32">
        <f>+P106-P108</f>
        <v>-115879.78999999983</v>
      </c>
      <c r="Q110" s="14"/>
      <c r="R110" s="30">
        <f>IF(P$12=0,0,P110/P$12)</f>
        <v>-7.3184997407068672E-2</v>
      </c>
      <c r="S110" s="14"/>
      <c r="T110" s="32">
        <f>+T106-T108</f>
        <v>-94476.769999999975</v>
      </c>
      <c r="U110" s="14"/>
      <c r="V110" s="30">
        <f>IF(T$12=0,0,T110/T$12)</f>
        <v>-6.1262420565008857E-2</v>
      </c>
      <c r="W110" s="15"/>
      <c r="X110" s="32">
        <f>P110-T110</f>
        <v>-21403.019999999859</v>
      </c>
      <c r="Y110" s="15"/>
      <c r="Z110" s="30">
        <f>IF(T110=0,0,X110/T110)</f>
        <v>0.22654267287080057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5</v>
      </c>
      <c r="C113" s="29"/>
      <c r="D113" s="36">
        <f>SUM(D110:D112)</f>
        <v>-11648.199999999992</v>
      </c>
      <c r="E113" s="14"/>
      <c r="F113" s="31">
        <f>IF(D$12=0,0,D113/D$12)</f>
        <v>-0.13785401855671631</v>
      </c>
      <c r="G113" s="14"/>
      <c r="H113" s="36">
        <f>SUM(H110:H112)</f>
        <v>910.7000000000553</v>
      </c>
      <c r="I113" s="14"/>
      <c r="J113" s="31">
        <f>IF(H$12=0,0,H113/H$12)</f>
        <v>5.1101218062934179E-3</v>
      </c>
      <c r="K113" s="15"/>
      <c r="L113" s="36">
        <f>+D113-H113</f>
        <v>-12558.900000000047</v>
      </c>
      <c r="M113" s="15"/>
      <c r="N113" s="31">
        <f>IF(H113=0,0,L113/H113)</f>
        <v>-13.79038102558393</v>
      </c>
      <c r="O113" s="28"/>
      <c r="P113" s="36">
        <f>SUM(P110:P112)</f>
        <v>-115879.78999999983</v>
      </c>
      <c r="Q113" s="14"/>
      <c r="R113" s="31">
        <f>IF(P$12=0,0,P113/P$12)</f>
        <v>-7.3184997407068672E-2</v>
      </c>
      <c r="S113" s="14"/>
      <c r="T113" s="36">
        <f>SUM(T110:T112)</f>
        <v>-94476.769999999975</v>
      </c>
      <c r="U113" s="14"/>
      <c r="V113" s="31">
        <f>IF(T$12=0,0,T113/T$12)</f>
        <v>-6.1262420565008857E-2</v>
      </c>
      <c r="W113" s="15"/>
      <c r="X113" s="36">
        <f>+P113-T113</f>
        <v>-21403.019999999859</v>
      </c>
      <c r="Y113" s="15"/>
      <c r="Z113" s="31">
        <f>IF(T113=0,0,X113/T113)</f>
        <v>0.22654267287080057</v>
      </c>
    </row>
    <row r="114" spans="1:26" ht="15.75" thickTop="1" x14ac:dyDescent="0.25">
      <c r="A114" s="9"/>
      <c r="C114" s="9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6" x14ac:dyDescent="0.25">
      <c r="A115" s="9"/>
      <c r="B115" s="62">
        <v>43847.453419131947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56" t="s">
        <v>313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4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","317", " - ", "Computer Store")</f>
        <v>Department 317 - Computer 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84496.63</v>
      </c>
      <c r="E12" s="4"/>
      <c r="F12" s="12"/>
      <c r="G12" s="4"/>
      <c r="H12" s="4">
        <f>SUM(OSRRefH13x_0)</f>
        <v>178214.93000000005</v>
      </c>
      <c r="I12" s="4"/>
      <c r="J12" s="12"/>
      <c r="K12" s="4"/>
      <c r="L12" s="4">
        <f t="shared" ref="L12:L36" si="0">+D12-H12</f>
        <v>-93718.300000000047</v>
      </c>
      <c r="M12" s="4"/>
      <c r="N12" s="12">
        <f t="shared" ref="N12:N36" si="1">IF(H12=0,0,L12/H12)</f>
        <v>-0.52587232730725775</v>
      </c>
      <c r="O12" s="10"/>
      <c r="P12" s="4">
        <f>SUM(OSRRefP13x_0)</f>
        <v>1583381.76</v>
      </c>
      <c r="Q12" s="4"/>
      <c r="R12" s="12"/>
      <c r="S12" s="4"/>
      <c r="T12" s="4">
        <f>SUM(OSRRefT13x_0)</f>
        <v>1542165.1500000001</v>
      </c>
      <c r="U12" s="4"/>
      <c r="V12" s="12"/>
      <c r="W12" s="4"/>
      <c r="X12" s="4">
        <f t="shared" ref="X12:X36" si="2">+P12-T12</f>
        <v>41216.60999999987</v>
      </c>
      <c r="Y12" s="4"/>
      <c r="Z12" s="12">
        <f t="shared" ref="Z12:Z36" si="3">IF(T12=0,0,X12/T12)</f>
        <v>2.6726456631444347E-2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--14554.47</f>
        <v>14554.47</v>
      </c>
      <c r="E13" s="2"/>
      <c r="F13" s="19"/>
      <c r="G13" s="2"/>
      <c r="H13" s="2">
        <f>--5777.96</f>
        <v>5777.96</v>
      </c>
      <c r="I13" s="2"/>
      <c r="J13" s="19"/>
      <c r="K13" s="2"/>
      <c r="L13" s="2">
        <f t="shared" si="0"/>
        <v>8776.5099999999984</v>
      </c>
      <c r="M13" s="2"/>
      <c r="N13" s="19">
        <f t="shared" si="1"/>
        <v>1.518963440383803</v>
      </c>
      <c r="O13" s="11"/>
      <c r="P13" s="2">
        <f>--244135.05</f>
        <v>244135.05</v>
      </c>
      <c r="Q13" s="2"/>
      <c r="R13" s="19"/>
      <c r="S13" s="2"/>
      <c r="T13" s="2">
        <f>--180634.91</f>
        <v>180634.91</v>
      </c>
      <c r="U13" s="2"/>
      <c r="V13" s="19"/>
      <c r="W13" s="2"/>
      <c r="X13" s="2">
        <f t="shared" si="2"/>
        <v>63500.139999999985</v>
      </c>
      <c r="Y13" s="2"/>
      <c r="Z13" s="19">
        <f t="shared" si="3"/>
        <v>0.35153858132960003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--59566.42</f>
        <v>59566.42</v>
      </c>
      <c r="E14" s="2"/>
      <c r="F14" s="19"/>
      <c r="G14" s="2"/>
      <c r="H14" s="2">
        <f>--141717</f>
        <v>141717</v>
      </c>
      <c r="I14" s="2"/>
      <c r="J14" s="19"/>
      <c r="K14" s="2"/>
      <c r="L14" s="2">
        <f t="shared" si="0"/>
        <v>-82150.58</v>
      </c>
      <c r="M14" s="2"/>
      <c r="N14" s="19">
        <f t="shared" si="1"/>
        <v>-0.57968048999061517</v>
      </c>
      <c r="O14" s="11"/>
      <c r="P14" s="2">
        <f>--1342335.26</f>
        <v>1342335.26</v>
      </c>
      <c r="Q14" s="2"/>
      <c r="R14" s="19"/>
      <c r="S14" s="2"/>
      <c r="T14" s="2">
        <f>--1101796.91</f>
        <v>1101796.9099999999</v>
      </c>
      <c r="U14" s="2"/>
      <c r="V14" s="19"/>
      <c r="W14" s="2"/>
      <c r="X14" s="2">
        <f t="shared" si="2"/>
        <v>240538.35000000009</v>
      </c>
      <c r="Y14" s="2"/>
      <c r="Z14" s="19">
        <f t="shared" si="3"/>
        <v>0.21831459846806078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--6927.18</f>
        <v>6927.18</v>
      </c>
      <c r="E15" s="2"/>
      <c r="F15" s="19"/>
      <c r="G15" s="2"/>
      <c r="H15" s="2">
        <f>--8130.2</f>
        <v>8130.2</v>
      </c>
      <c r="I15" s="2"/>
      <c r="J15" s="19"/>
      <c r="K15" s="2"/>
      <c r="L15" s="2">
        <f t="shared" si="0"/>
        <v>-1203.0199999999995</v>
      </c>
      <c r="M15" s="2"/>
      <c r="N15" s="19">
        <f t="shared" si="1"/>
        <v>-0.14796929964822508</v>
      </c>
      <c r="O15" s="11"/>
      <c r="P15" s="2">
        <f>--70431.2</f>
        <v>70431.199999999997</v>
      </c>
      <c r="Q15" s="2"/>
      <c r="R15" s="19"/>
      <c r="S15" s="2"/>
      <c r="T15" s="2">
        <f>--77160.09</f>
        <v>77160.09</v>
      </c>
      <c r="U15" s="2"/>
      <c r="V15" s="19"/>
      <c r="W15" s="2"/>
      <c r="X15" s="2">
        <f t="shared" si="2"/>
        <v>-6728.8899999999994</v>
      </c>
      <c r="Y15" s="2"/>
      <c r="Z15" s="19">
        <f t="shared" si="3"/>
        <v>-8.720687080587905E-2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--1077</f>
        <v>1077</v>
      </c>
      <c r="I16" s="2"/>
      <c r="J16" s="19"/>
      <c r="K16" s="2"/>
      <c r="L16" s="2">
        <f t="shared" si="0"/>
        <v>-1077</v>
      </c>
      <c r="M16" s="2"/>
      <c r="N16" s="19">
        <f t="shared" si="1"/>
        <v>-1</v>
      </c>
      <c r="O16" s="11"/>
      <c r="P16" s="2">
        <f>--129</f>
        <v>129</v>
      </c>
      <c r="Q16" s="2"/>
      <c r="R16" s="19"/>
      <c r="S16" s="2"/>
      <c r="T16" s="2">
        <f>--1484.99</f>
        <v>1484.99</v>
      </c>
      <c r="U16" s="2"/>
      <c r="V16" s="19"/>
      <c r="W16" s="2"/>
      <c r="X16" s="2">
        <f t="shared" si="2"/>
        <v>-1355.99</v>
      </c>
      <c r="Y16" s="2"/>
      <c r="Z16" s="19">
        <f t="shared" si="3"/>
        <v>-0.91313072815305152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--389.97</f>
        <v>389.97</v>
      </c>
      <c r="I17" s="2"/>
      <c r="J17" s="19"/>
      <c r="K17" s="2"/>
      <c r="L17" s="2">
        <f t="shared" si="0"/>
        <v>-389.97</v>
      </c>
      <c r="M17" s="2"/>
      <c r="N17" s="19">
        <f t="shared" si="1"/>
        <v>-1</v>
      </c>
      <c r="O17" s="11"/>
      <c r="P17" s="2">
        <f>--4407.94</f>
        <v>4407.9399999999996</v>
      </c>
      <c r="Q17" s="2"/>
      <c r="R17" s="19"/>
      <c r="S17" s="2"/>
      <c r="T17" s="2">
        <f>--9828.81</f>
        <v>9828.81</v>
      </c>
      <c r="U17" s="2"/>
      <c r="V17" s="19"/>
      <c r="W17" s="2"/>
      <c r="X17" s="2">
        <f t="shared" si="2"/>
        <v>-5420.87</v>
      </c>
      <c r="Y17" s="2"/>
      <c r="Z17" s="19">
        <f t="shared" si="3"/>
        <v>-0.55152861841870993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--2710.56</f>
        <v>2710.56</v>
      </c>
      <c r="E18" s="2"/>
      <c r="F18" s="19"/>
      <c r="G18" s="2"/>
      <c r="H18" s="2">
        <f>--6902.57</f>
        <v>6902.57</v>
      </c>
      <c r="I18" s="2"/>
      <c r="J18" s="19"/>
      <c r="K18" s="2"/>
      <c r="L18" s="2">
        <f t="shared" si="0"/>
        <v>-4192.01</v>
      </c>
      <c r="M18" s="2"/>
      <c r="N18" s="19">
        <f t="shared" si="1"/>
        <v>-0.60731147963729459</v>
      </c>
      <c r="O18" s="11"/>
      <c r="P18" s="2">
        <f>--33078.47</f>
        <v>33078.47</v>
      </c>
      <c r="Q18" s="2"/>
      <c r="R18" s="19"/>
      <c r="S18" s="2"/>
      <c r="T18" s="2">
        <f>--42646.83</f>
        <v>42646.83</v>
      </c>
      <c r="U18" s="2"/>
      <c r="V18" s="19"/>
      <c r="W18" s="2"/>
      <c r="X18" s="2">
        <f t="shared" si="2"/>
        <v>-9568.36</v>
      </c>
      <c r="Y18" s="2"/>
      <c r="Z18" s="19">
        <f t="shared" si="3"/>
        <v>-0.22436274864978242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 t="shared" ref="D19:D20" si="5">0</f>
        <v>0</v>
      </c>
      <c r="E19" s="2"/>
      <c r="F19" s="19"/>
      <c r="G19" s="2"/>
      <c r="H19" s="2">
        <f>--4.99</f>
        <v>4.99</v>
      </c>
      <c r="I19" s="2"/>
      <c r="J19" s="19"/>
      <c r="K19" s="2"/>
      <c r="L19" s="2">
        <f t="shared" si="0"/>
        <v>-4.99</v>
      </c>
      <c r="M19" s="2"/>
      <c r="N19" s="19">
        <f t="shared" si="1"/>
        <v>-1</v>
      </c>
      <c r="O19" s="11"/>
      <c r="P19" s="2">
        <f>--936.91</f>
        <v>936.91</v>
      </c>
      <c r="Q19" s="2"/>
      <c r="R19" s="19"/>
      <c r="S19" s="2"/>
      <c r="T19" s="2">
        <f>--1284.85</f>
        <v>1284.8499999999999</v>
      </c>
      <c r="U19" s="2"/>
      <c r="V19" s="19"/>
      <c r="W19" s="2"/>
      <c r="X19" s="2">
        <f t="shared" si="2"/>
        <v>-347.93999999999994</v>
      </c>
      <c r="Y19" s="2"/>
      <c r="Z19" s="19">
        <f t="shared" si="3"/>
        <v>-0.27080203914853873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si="5"/>
        <v>0</v>
      </c>
      <c r="E20" s="2"/>
      <c r="F20" s="19"/>
      <c r="G20" s="2"/>
      <c r="H20" s="2">
        <f>--4487.6</f>
        <v>4487.6000000000004</v>
      </c>
      <c r="I20" s="2"/>
      <c r="J20" s="19"/>
      <c r="K20" s="2"/>
      <c r="L20" s="2">
        <f t="shared" si="0"/>
        <v>-4487.6000000000004</v>
      </c>
      <c r="M20" s="2"/>
      <c r="N20" s="19">
        <f t="shared" si="1"/>
        <v>-1</v>
      </c>
      <c r="O20" s="11"/>
      <c r="P20" s="2">
        <f>--1462.51</f>
        <v>1462.51</v>
      </c>
      <c r="Q20" s="2"/>
      <c r="R20" s="19"/>
      <c r="S20" s="2"/>
      <c r="T20" s="2">
        <f>--6266.46</f>
        <v>6266.46</v>
      </c>
      <c r="U20" s="2"/>
      <c r="V20" s="19"/>
      <c r="W20" s="2"/>
      <c r="X20" s="2">
        <f t="shared" si="2"/>
        <v>-4803.95</v>
      </c>
      <c r="Y20" s="2"/>
      <c r="Z20" s="19">
        <f t="shared" si="3"/>
        <v>-0.76661304787711082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--8486</f>
        <v>8486</v>
      </c>
      <c r="E21" s="2"/>
      <c r="F21" s="19"/>
      <c r="G21" s="2"/>
      <c r="H21" s="2">
        <f>--17809</f>
        <v>17809</v>
      </c>
      <c r="I21" s="2"/>
      <c r="J21" s="19"/>
      <c r="K21" s="2"/>
      <c r="L21" s="2">
        <f t="shared" si="0"/>
        <v>-9323</v>
      </c>
      <c r="M21" s="2"/>
      <c r="N21" s="19">
        <f t="shared" si="1"/>
        <v>-0.52349935425908245</v>
      </c>
      <c r="O21" s="11"/>
      <c r="P21" s="2">
        <f>--70795</f>
        <v>70795</v>
      </c>
      <c r="Q21" s="2"/>
      <c r="R21" s="19"/>
      <c r="S21" s="2"/>
      <c r="T21" s="2">
        <f>--166621.85</f>
        <v>166621.85</v>
      </c>
      <c r="U21" s="2"/>
      <c r="V21" s="19"/>
      <c r="W21" s="2"/>
      <c r="X21" s="2">
        <f t="shared" si="2"/>
        <v>-95826.85</v>
      </c>
      <c r="Y21" s="2"/>
      <c r="Z21" s="19">
        <f t="shared" si="3"/>
        <v>-0.57511574862480519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--266.75</f>
        <v>266.75</v>
      </c>
      <c r="E22" s="2"/>
      <c r="F22" s="19"/>
      <c r="G22" s="2"/>
      <c r="H22" s="2">
        <f>--829.73</f>
        <v>829.73</v>
      </c>
      <c r="I22" s="2"/>
      <c r="J22" s="19"/>
      <c r="K22" s="2"/>
      <c r="L22" s="2">
        <f t="shared" si="0"/>
        <v>-562.98</v>
      </c>
      <c r="M22" s="2"/>
      <c r="N22" s="19">
        <f t="shared" si="1"/>
        <v>-0.67850987670688057</v>
      </c>
      <c r="O22" s="11"/>
      <c r="P22" s="2">
        <f>--3571.63</f>
        <v>3571.63</v>
      </c>
      <c r="Q22" s="2"/>
      <c r="R22" s="19"/>
      <c r="S22" s="2"/>
      <c r="T22" s="2">
        <f>--5430.48</f>
        <v>5430.48</v>
      </c>
      <c r="U22" s="2"/>
      <c r="V22" s="19"/>
      <c r="W22" s="2"/>
      <c r="X22" s="2">
        <f t="shared" si="2"/>
        <v>-1858.8499999999995</v>
      </c>
      <c r="Y22" s="2"/>
      <c r="Z22" s="19">
        <f t="shared" si="3"/>
        <v>-0.34229939158232781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--129</f>
        <v>129</v>
      </c>
      <c r="I23" s="2"/>
      <c r="J23" s="19"/>
      <c r="K23" s="2"/>
      <c r="L23" s="2">
        <f t="shared" si="0"/>
        <v>-129</v>
      </c>
      <c r="M23" s="2"/>
      <c r="N23" s="19">
        <f t="shared" si="1"/>
        <v>-1</v>
      </c>
      <c r="O23" s="11"/>
      <c r="P23" s="2">
        <f>--2728</f>
        <v>2728</v>
      </c>
      <c r="Q23" s="2"/>
      <c r="R23" s="19"/>
      <c r="S23" s="2"/>
      <c r="T23" s="2">
        <f>--486</f>
        <v>486</v>
      </c>
      <c r="U23" s="2"/>
      <c r="V23" s="19"/>
      <c r="W23" s="2"/>
      <c r="X23" s="2">
        <f t="shared" si="2"/>
        <v>2242</v>
      </c>
      <c r="Y23" s="2"/>
      <c r="Z23" s="19">
        <f t="shared" si="3"/>
        <v>4.6131687242798352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--437.97</f>
        <v>437.97</v>
      </c>
      <c r="E24" s="2"/>
      <c r="F24" s="19"/>
      <c r="G24" s="2"/>
      <c r="H24" s="2">
        <f>--275</f>
        <v>275</v>
      </c>
      <c r="I24" s="2"/>
      <c r="J24" s="19"/>
      <c r="K24" s="2"/>
      <c r="L24" s="2">
        <f t="shared" si="0"/>
        <v>162.97000000000003</v>
      </c>
      <c r="M24" s="2"/>
      <c r="N24" s="19">
        <f t="shared" si="1"/>
        <v>0.59261818181818193</v>
      </c>
      <c r="O24" s="11"/>
      <c r="P24" s="2">
        <f>--9401.84</f>
        <v>9401.84</v>
      </c>
      <c r="Q24" s="2"/>
      <c r="R24" s="19"/>
      <c r="S24" s="2"/>
      <c r="T24" s="2">
        <f>--2924.91</f>
        <v>2924.91</v>
      </c>
      <c r="U24" s="2"/>
      <c r="V24" s="19"/>
      <c r="W24" s="2"/>
      <c r="X24" s="2">
        <f t="shared" si="2"/>
        <v>6476.93</v>
      </c>
      <c r="Y24" s="2"/>
      <c r="Z24" s="19">
        <f t="shared" si="3"/>
        <v>2.2144031782174496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--49.99</f>
        <v>49.99</v>
      </c>
      <c r="E25" s="2"/>
      <c r="F25" s="19"/>
      <c r="G25" s="2"/>
      <c r="H25" s="2">
        <f>--90.98</f>
        <v>90.98</v>
      </c>
      <c r="I25" s="2"/>
      <c r="J25" s="19"/>
      <c r="K25" s="2"/>
      <c r="L25" s="2">
        <f t="shared" si="0"/>
        <v>-40.99</v>
      </c>
      <c r="M25" s="2"/>
      <c r="N25" s="19">
        <f t="shared" si="1"/>
        <v>-0.45053857990767204</v>
      </c>
      <c r="O25" s="11"/>
      <c r="P25" s="2">
        <f>--1653.36</f>
        <v>1653.36</v>
      </c>
      <c r="Q25" s="2"/>
      <c r="R25" s="19"/>
      <c r="S25" s="2"/>
      <c r="T25" s="2">
        <f>--3004.99</f>
        <v>3004.99</v>
      </c>
      <c r="U25" s="2"/>
      <c r="V25" s="19"/>
      <c r="W25" s="2"/>
      <c r="X25" s="2">
        <f t="shared" si="2"/>
        <v>-1351.6299999999999</v>
      </c>
      <c r="Y25" s="2"/>
      <c r="Z25" s="19">
        <f t="shared" si="3"/>
        <v>-0.44979517402720143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-804.91</f>
        <v>-804.91</v>
      </c>
      <c r="E27" s="2"/>
      <c r="F27" s="19"/>
      <c r="G27" s="2"/>
      <c r="H27" s="2">
        <f>-1014.74</f>
        <v>-1014.74</v>
      </c>
      <c r="I27" s="2"/>
      <c r="J27" s="19"/>
      <c r="K27" s="2"/>
      <c r="L27" s="2">
        <f t="shared" si="0"/>
        <v>209.83000000000004</v>
      </c>
      <c r="M27" s="2"/>
      <c r="N27" s="19">
        <f t="shared" si="1"/>
        <v>-0.20678203283599744</v>
      </c>
      <c r="O27" s="11"/>
      <c r="P27" s="2">
        <f>-5806.99</f>
        <v>-5806.99</v>
      </c>
      <c r="Q27" s="2"/>
      <c r="R27" s="19"/>
      <c r="S27" s="2"/>
      <c r="T27" s="2">
        <f>-5502.77</f>
        <v>-5502.77</v>
      </c>
      <c r="U27" s="2"/>
      <c r="V27" s="19"/>
      <c r="W27" s="2"/>
      <c r="X27" s="2">
        <f t="shared" si="2"/>
        <v>-304.21999999999935</v>
      </c>
      <c r="Y27" s="2"/>
      <c r="Z27" s="19">
        <f t="shared" si="3"/>
        <v>5.5284883794888634E-2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-7175.99</f>
        <v>-7175.99</v>
      </c>
      <c r="E28" s="2"/>
      <c r="F28" s="19"/>
      <c r="G28" s="2"/>
      <c r="H28" s="2">
        <f>-7470.3</f>
        <v>-7470.3</v>
      </c>
      <c r="I28" s="2"/>
      <c r="J28" s="19"/>
      <c r="K28" s="2"/>
      <c r="L28" s="2">
        <f t="shared" si="0"/>
        <v>294.3100000000004</v>
      </c>
      <c r="M28" s="2"/>
      <c r="N28" s="19">
        <f t="shared" si="1"/>
        <v>-3.9397346826767383E-2</v>
      </c>
      <c r="O28" s="11"/>
      <c r="P28" s="2">
        <f>-187653.58</f>
        <v>-187653.58</v>
      </c>
      <c r="Q28" s="2"/>
      <c r="R28" s="19"/>
      <c r="S28" s="2"/>
      <c r="T28" s="2">
        <f>-45046.97</f>
        <v>-45046.97</v>
      </c>
      <c r="U28" s="2"/>
      <c r="V28" s="19"/>
      <c r="W28" s="2"/>
      <c r="X28" s="2">
        <f t="shared" si="2"/>
        <v>-142606.60999999999</v>
      </c>
      <c r="Y28" s="2"/>
      <c r="Z28" s="19">
        <f t="shared" si="3"/>
        <v>3.1657314576318893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-325.91</f>
        <v>-325.91000000000003</v>
      </c>
      <c r="E29" s="2"/>
      <c r="F29" s="19"/>
      <c r="G29" s="2"/>
      <c r="H29" s="2">
        <f>-396.94</f>
        <v>-396.94</v>
      </c>
      <c r="I29" s="2"/>
      <c r="J29" s="19"/>
      <c r="K29" s="2"/>
      <c r="L29" s="2">
        <f t="shared" si="0"/>
        <v>71.029999999999973</v>
      </c>
      <c r="M29" s="2"/>
      <c r="N29" s="19">
        <f t="shared" si="1"/>
        <v>-0.1789439209956164</v>
      </c>
      <c r="O29" s="11"/>
      <c r="P29" s="2">
        <f>-3282.15</f>
        <v>-3282.15</v>
      </c>
      <c r="Q29" s="2"/>
      <c r="R29" s="19"/>
      <c r="S29" s="2"/>
      <c r="T29" s="2">
        <f>-4005.47</f>
        <v>-4005.47</v>
      </c>
      <c r="U29" s="2"/>
      <c r="V29" s="19"/>
      <c r="W29" s="2"/>
      <c r="X29" s="2">
        <f t="shared" si="2"/>
        <v>723.31999999999971</v>
      </c>
      <c r="Y29" s="2"/>
      <c r="Z29" s="19">
        <f t="shared" si="3"/>
        <v>-0.18058305267546623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6">0</f>
        <v>0</v>
      </c>
      <c r="E30" s="2"/>
      <c r="F30" s="19"/>
      <c r="G30" s="2"/>
      <c r="H30" s="2">
        <f t="shared" ref="H30:H31" si="7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8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6"/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-655.98</f>
        <v>-655.98</v>
      </c>
      <c r="Q31" s="2"/>
      <c r="R31" s="19"/>
      <c r="S31" s="2"/>
      <c r="T31" s="2">
        <f t="shared" si="8"/>
        <v>0</v>
      </c>
      <c r="U31" s="2"/>
      <c r="V31" s="19"/>
      <c r="W31" s="2"/>
      <c r="X31" s="2">
        <f t="shared" si="2"/>
        <v>-655.98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-195.9</f>
        <v>-195.9</v>
      </c>
      <c r="E32" s="2"/>
      <c r="F32" s="19"/>
      <c r="G32" s="2"/>
      <c r="H32" s="2">
        <f>-424.13</f>
        <v>-424.13</v>
      </c>
      <c r="I32" s="2"/>
      <c r="J32" s="19"/>
      <c r="K32" s="2"/>
      <c r="L32" s="2">
        <f t="shared" si="0"/>
        <v>228.23</v>
      </c>
      <c r="M32" s="2"/>
      <c r="N32" s="19">
        <f t="shared" si="1"/>
        <v>-0.53811331431400744</v>
      </c>
      <c r="O32" s="11"/>
      <c r="P32" s="2">
        <f>-2987.89</f>
        <v>-2987.89</v>
      </c>
      <c r="Q32" s="2"/>
      <c r="R32" s="19"/>
      <c r="S32" s="2"/>
      <c r="T32" s="2">
        <f>-2937.75</f>
        <v>-2937.75</v>
      </c>
      <c r="U32" s="2"/>
      <c r="V32" s="19"/>
      <c r="W32" s="2"/>
      <c r="X32" s="2">
        <f t="shared" si="2"/>
        <v>-50.139999999999873</v>
      </c>
      <c r="Y32" s="2"/>
      <c r="Z32" s="19">
        <f t="shared" si="3"/>
        <v>1.7067483618415411E-2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6" si="9"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-3.99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9"/>
        <v>0</v>
      </c>
      <c r="E34" s="2"/>
      <c r="F34" s="19"/>
      <c r="G34" s="2"/>
      <c r="H34" s="2">
        <f>-9.99</f>
        <v>-9.99</v>
      </c>
      <c r="I34" s="2"/>
      <c r="J34" s="19"/>
      <c r="K34" s="2"/>
      <c r="L34" s="2">
        <f t="shared" si="0"/>
        <v>9.99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-9.99</f>
        <v>-9.99</v>
      </c>
      <c r="U34" s="2"/>
      <c r="V34" s="19"/>
      <c r="W34" s="2"/>
      <c r="X34" s="2">
        <f t="shared" si="2"/>
        <v>-1269.8499999999999</v>
      </c>
      <c r="Y34" s="2"/>
      <c r="Z34" s="19">
        <f t="shared" si="3"/>
        <v>127.1121121121121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9"/>
        <v>0</v>
      </c>
      <c r="E35" s="2"/>
      <c r="F35" s="19"/>
      <c r="G35" s="2"/>
      <c r="H35" s="2">
        <f>-39.98</f>
        <v>-39.979999999999997</v>
      </c>
      <c r="I35" s="2"/>
      <c r="J35" s="19"/>
      <c r="K35" s="2"/>
      <c r="L35" s="2">
        <f t="shared" si="0"/>
        <v>39.979999999999997</v>
      </c>
      <c r="M35" s="2"/>
      <c r="N35" s="19">
        <f t="shared" si="1"/>
        <v>-1</v>
      </c>
      <c r="O35" s="11"/>
      <c r="P35" s="2">
        <f>-49.98</f>
        <v>-49.98</v>
      </c>
      <c r="Q35" s="2"/>
      <c r="R35" s="19"/>
      <c r="S35" s="2"/>
      <c r="T35" s="2">
        <f>-53.97</f>
        <v>-53.97</v>
      </c>
      <c r="U35" s="2"/>
      <c r="V35" s="19"/>
      <c r="W35" s="2"/>
      <c r="X35" s="2">
        <f t="shared" si="2"/>
        <v>3.990000000000002</v>
      </c>
      <c r="Y35" s="2"/>
      <c r="Z35" s="19">
        <f t="shared" si="3"/>
        <v>-7.3929961089494206E-2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9"/>
        <v>0</v>
      </c>
      <c r="E36" s="2"/>
      <c r="F36" s="19"/>
      <c r="G36" s="2"/>
      <c r="H36" s="2">
        <f>-49.99</f>
        <v>-49.99</v>
      </c>
      <c r="I36" s="2"/>
      <c r="J36" s="19"/>
      <c r="K36" s="2"/>
      <c r="L36" s="2">
        <f t="shared" si="0"/>
        <v>49.99</v>
      </c>
      <c r="M36" s="2"/>
      <c r="N36" s="19">
        <f t="shared" si="1"/>
        <v>-1</v>
      </c>
      <c r="O36" s="11"/>
      <c r="P36" s="2">
        <f>-54.97</f>
        <v>-54.97</v>
      </c>
      <c r="Q36" s="2"/>
      <c r="R36" s="19"/>
      <c r="S36" s="2"/>
      <c r="T36" s="2">
        <f>-49.99</f>
        <v>-49.99</v>
      </c>
      <c r="U36" s="2"/>
      <c r="V36" s="19"/>
      <c r="W36" s="2"/>
      <c r="X36" s="2">
        <f t="shared" si="2"/>
        <v>-4.9799999999999969</v>
      </c>
      <c r="Y36" s="2"/>
      <c r="Z36" s="19">
        <f t="shared" si="3"/>
        <v>9.9619923984796896E-2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70545.789999999994</v>
      </c>
      <c r="E38" s="4"/>
      <c r="F38" s="12">
        <f t="shared" ref="F38:F52" si="10">IF(D$12=0,0,D38/D$12)</f>
        <v>0.83489471710291863</v>
      </c>
      <c r="G38" s="4"/>
      <c r="H38" s="4">
        <f>SUM(OSRRefH16x_0)</f>
        <v>143256.71</v>
      </c>
      <c r="I38" s="4"/>
      <c r="J38" s="12">
        <f t="shared" ref="J38:J52" si="11">IF(H$12=0,0,H38/H$12)</f>
        <v>0.80384236045767854</v>
      </c>
      <c r="K38" s="4"/>
      <c r="L38" s="4">
        <f t="shared" ref="L38:L52" si="12">+D38-H38</f>
        <v>-72710.92</v>
      </c>
      <c r="M38" s="4"/>
      <c r="N38" s="12">
        <f t="shared" ref="N38:N52" si="13">IF(H38=0,0,L38/H38)</f>
        <v>-0.50755681880450843</v>
      </c>
      <c r="O38" s="10"/>
      <c r="P38" s="4">
        <f>SUM(OSRRefP16x_0)</f>
        <v>1407046.8499999999</v>
      </c>
      <c r="Q38" s="4"/>
      <c r="R38" s="12">
        <f t="shared" ref="R38:R52" si="14">IF(P$12=0,0,P38/P$12)</f>
        <v>0.88863398931663828</v>
      </c>
      <c r="S38" s="4"/>
      <c r="T38" s="4">
        <f>SUM(OSRRefT16x_0)</f>
        <v>1306430.8500000001</v>
      </c>
      <c r="U38" s="4"/>
      <c r="V38" s="12">
        <f t="shared" ref="V38:V52" si="15">IF(T$12=0,0,T38/T$12)</f>
        <v>0.84714069047663276</v>
      </c>
      <c r="W38" s="4"/>
      <c r="X38" s="4">
        <f t="shared" ref="X38:X52" si="16">+P38-T38</f>
        <v>100615.99999999977</v>
      </c>
      <c r="Y38" s="4"/>
      <c r="Z38" s="12">
        <f t="shared" ref="Z38:Z52" si="17">IF(T38=0,0,X38/T38)</f>
        <v>7.7015940032340607E-2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2601.6999999999998</v>
      </c>
      <c r="E39" s="2"/>
      <c r="F39" s="19">
        <f t="shared" si="10"/>
        <v>3.079057709165442E-2</v>
      </c>
      <c r="G39" s="2"/>
      <c r="H39" s="2">
        <v>2241.6999999999998</v>
      </c>
      <c r="I39" s="2"/>
      <c r="J39" s="19">
        <f t="shared" si="11"/>
        <v>1.2578631880056285E-2</v>
      </c>
      <c r="K39" s="2"/>
      <c r="L39" s="2">
        <f t="shared" si="12"/>
        <v>360</v>
      </c>
      <c r="M39" s="2"/>
      <c r="N39" s="19">
        <f t="shared" si="13"/>
        <v>0.16059240754784318</v>
      </c>
      <c r="O39" s="11"/>
      <c r="P39" s="2">
        <v>187409.43</v>
      </c>
      <c r="Q39" s="2"/>
      <c r="R39" s="19">
        <f t="shared" si="14"/>
        <v>0.11836023044752012</v>
      </c>
      <c r="S39" s="2"/>
      <c r="T39" s="2">
        <v>161283.47</v>
      </c>
      <c r="U39" s="2"/>
      <c r="V39" s="19">
        <f t="shared" si="15"/>
        <v>0.10458248910630615</v>
      </c>
      <c r="W39" s="2"/>
      <c r="X39" s="2">
        <f t="shared" si="16"/>
        <v>26125.959999999992</v>
      </c>
      <c r="Y39" s="2"/>
      <c r="Z39" s="19">
        <f t="shared" si="17"/>
        <v>0.16198783421512442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49827.72</v>
      </c>
      <c r="E40" s="2"/>
      <c r="F40" s="19">
        <f t="shared" si="10"/>
        <v>0.58970067800337123</v>
      </c>
      <c r="G40" s="2"/>
      <c r="H40" s="2">
        <v>86098.75</v>
      </c>
      <c r="I40" s="2"/>
      <c r="J40" s="19">
        <f t="shared" si="11"/>
        <v>0.48311749189588088</v>
      </c>
      <c r="K40" s="2"/>
      <c r="L40" s="2">
        <f t="shared" si="12"/>
        <v>-36271.03</v>
      </c>
      <c r="M40" s="2"/>
      <c r="N40" s="19">
        <f t="shared" si="13"/>
        <v>-0.42127243426879019</v>
      </c>
      <c r="O40" s="11"/>
      <c r="P40" s="2">
        <v>1008177.98</v>
      </c>
      <c r="Q40" s="2"/>
      <c r="R40" s="19">
        <f t="shared" si="14"/>
        <v>0.63672451298163246</v>
      </c>
      <c r="S40" s="2"/>
      <c r="T40" s="2">
        <v>945263.31</v>
      </c>
      <c r="U40" s="2"/>
      <c r="V40" s="19">
        <f t="shared" si="15"/>
        <v>0.61294557849397646</v>
      </c>
      <c r="W40" s="2"/>
      <c r="X40" s="2">
        <f t="shared" si="16"/>
        <v>62914.669999999925</v>
      </c>
      <c r="Y40" s="2"/>
      <c r="Z40" s="19">
        <f t="shared" si="17"/>
        <v>6.6557825036073728E-2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5515.26</v>
      </c>
      <c r="E41" s="2"/>
      <c r="F41" s="19">
        <f t="shared" si="10"/>
        <v>6.5271952266025279E-2</v>
      </c>
      <c r="G41" s="2"/>
      <c r="H41" s="2">
        <v>4549.84</v>
      </c>
      <c r="I41" s="2"/>
      <c r="J41" s="19">
        <f t="shared" si="11"/>
        <v>2.5530072031563229E-2</v>
      </c>
      <c r="K41" s="2"/>
      <c r="L41" s="2">
        <f t="shared" si="12"/>
        <v>965.42000000000007</v>
      </c>
      <c r="M41" s="2"/>
      <c r="N41" s="19">
        <f t="shared" si="13"/>
        <v>0.21218768132505758</v>
      </c>
      <c r="O41" s="11"/>
      <c r="P41" s="2">
        <v>54451.43</v>
      </c>
      <c r="Q41" s="2"/>
      <c r="R41" s="19">
        <f t="shared" si="14"/>
        <v>3.4389325035549229E-2</v>
      </c>
      <c r="S41" s="2"/>
      <c r="T41" s="2">
        <v>61516.49</v>
      </c>
      <c r="U41" s="2"/>
      <c r="V41" s="19">
        <f t="shared" si="15"/>
        <v>3.9889690154131671E-2</v>
      </c>
      <c r="W41" s="2"/>
      <c r="X41" s="2">
        <f t="shared" si="16"/>
        <v>-7065.0599999999977</v>
      </c>
      <c r="Y41" s="2"/>
      <c r="Z41" s="19">
        <f t="shared" si="17"/>
        <v>-0.1148482301249632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10"/>
        <v>0</v>
      </c>
      <c r="G42" s="2"/>
      <c r="H42" s="2">
        <v>1077</v>
      </c>
      <c r="I42" s="2"/>
      <c r="J42" s="19">
        <f t="shared" si="11"/>
        <v>6.0432647253515727E-3</v>
      </c>
      <c r="K42" s="2"/>
      <c r="L42" s="2">
        <f t="shared" si="12"/>
        <v>-1077</v>
      </c>
      <c r="M42" s="2"/>
      <c r="N42" s="19">
        <f t="shared" si="13"/>
        <v>-1</v>
      </c>
      <c r="O42" s="11"/>
      <c r="P42" s="2">
        <v>2728</v>
      </c>
      <c r="Q42" s="2"/>
      <c r="R42" s="19">
        <f t="shared" si="14"/>
        <v>1.7228946732340785E-3</v>
      </c>
      <c r="S42" s="2"/>
      <c r="T42" s="2">
        <v>1750</v>
      </c>
      <c r="U42" s="2"/>
      <c r="V42" s="19">
        <f t="shared" si="15"/>
        <v>1.1347682185659557E-3</v>
      </c>
      <c r="W42" s="2"/>
      <c r="X42" s="2">
        <f t="shared" si="16"/>
        <v>978</v>
      </c>
      <c r="Y42" s="2"/>
      <c r="Z42" s="19">
        <f t="shared" si="17"/>
        <v>0.55885714285714283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780.26</v>
      </c>
      <c r="E43" s="2"/>
      <c r="F43" s="19">
        <f t="shared" si="10"/>
        <v>9.2342144296168969E-3</v>
      </c>
      <c r="G43" s="2"/>
      <c r="H43" s="2"/>
      <c r="I43" s="2"/>
      <c r="J43" s="19">
        <f t="shared" si="11"/>
        <v>0</v>
      </c>
      <c r="K43" s="2"/>
      <c r="L43" s="2">
        <f t="shared" si="12"/>
        <v>780.26</v>
      </c>
      <c r="M43" s="2"/>
      <c r="N43" s="19">
        <f t="shared" si="13"/>
        <v>0</v>
      </c>
      <c r="O43" s="11"/>
      <c r="P43" s="2">
        <v>7860.66</v>
      </c>
      <c r="Q43" s="2"/>
      <c r="R43" s="19">
        <f t="shared" si="14"/>
        <v>4.9644755286305685E-3</v>
      </c>
      <c r="S43" s="2"/>
      <c r="T43" s="2">
        <v>6563.47</v>
      </c>
      <c r="U43" s="2"/>
      <c r="V43" s="19">
        <f t="shared" si="15"/>
        <v>4.2560098054349104E-3</v>
      </c>
      <c r="W43" s="2"/>
      <c r="X43" s="2">
        <f t="shared" si="16"/>
        <v>1297.1899999999996</v>
      </c>
      <c r="Y43" s="2"/>
      <c r="Z43" s="19">
        <f t="shared" si="17"/>
        <v>0.19763783486478945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1409.73</v>
      </c>
      <c r="E44" s="2"/>
      <c r="F44" s="19">
        <f t="shared" si="10"/>
        <v>1.6683860646276662E-2</v>
      </c>
      <c r="G44" s="2"/>
      <c r="H44" s="2">
        <v>5391.42</v>
      </c>
      <c r="I44" s="2"/>
      <c r="J44" s="19">
        <f t="shared" si="11"/>
        <v>3.025234754461929E-2</v>
      </c>
      <c r="K44" s="2"/>
      <c r="L44" s="2">
        <f t="shared" si="12"/>
        <v>-3981.69</v>
      </c>
      <c r="M44" s="2"/>
      <c r="N44" s="19">
        <f t="shared" si="13"/>
        <v>-0.73852343167477219</v>
      </c>
      <c r="O44" s="11"/>
      <c r="P44" s="2">
        <v>20604.38</v>
      </c>
      <c r="Q44" s="2"/>
      <c r="R44" s="19">
        <f t="shared" si="14"/>
        <v>1.3012894628772281E-2</v>
      </c>
      <c r="S44" s="2"/>
      <c r="T44" s="2">
        <v>23929.56</v>
      </c>
      <c r="U44" s="2"/>
      <c r="V44" s="19">
        <f t="shared" si="15"/>
        <v>1.5516859527009801E-2</v>
      </c>
      <c r="W44" s="2"/>
      <c r="X44" s="2">
        <f t="shared" si="16"/>
        <v>-3325.1800000000003</v>
      </c>
      <c r="Y44" s="2"/>
      <c r="Z44" s="19">
        <f t="shared" si="17"/>
        <v>-0.13895700547774384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10"/>
        <v>0</v>
      </c>
      <c r="G45" s="2"/>
      <c r="H45" s="2"/>
      <c r="I45" s="2"/>
      <c r="J45" s="19">
        <f t="shared" si="11"/>
        <v>0</v>
      </c>
      <c r="K45" s="2"/>
      <c r="L45" s="2">
        <f t="shared" si="12"/>
        <v>0</v>
      </c>
      <c r="M45" s="2"/>
      <c r="N45" s="19">
        <f t="shared" si="13"/>
        <v>0</v>
      </c>
      <c r="O45" s="11"/>
      <c r="P45" s="2">
        <v>88.75</v>
      </c>
      <c r="Q45" s="2"/>
      <c r="R45" s="19">
        <f t="shared" si="14"/>
        <v>5.6050917246893132E-5</v>
      </c>
      <c r="S45" s="2"/>
      <c r="T45" s="2">
        <v>0</v>
      </c>
      <c r="U45" s="2"/>
      <c r="V45" s="19">
        <f t="shared" si="15"/>
        <v>0</v>
      </c>
      <c r="W45" s="2"/>
      <c r="X45" s="2">
        <f t="shared" si="16"/>
        <v>88.75</v>
      </c>
      <c r="Y45" s="2"/>
      <c r="Z45" s="19">
        <f t="shared" si="17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-60143.000000000007</v>
      </c>
      <c r="E46" s="2"/>
      <c r="F46" s="19">
        <f t="shared" si="10"/>
        <v>-0.71177986625028722</v>
      </c>
      <c r="G46" s="2"/>
      <c r="H46" s="2">
        <v>-99371</v>
      </c>
      <c r="I46" s="2"/>
      <c r="J46" s="19">
        <f t="shared" si="11"/>
        <v>-0.55759076975200661</v>
      </c>
      <c r="K46" s="2"/>
      <c r="L46" s="2">
        <f t="shared" si="12"/>
        <v>39227.999999999993</v>
      </c>
      <c r="M46" s="2"/>
      <c r="N46" s="19">
        <f t="shared" si="13"/>
        <v>-0.39476305964516806</v>
      </c>
      <c r="O46" s="11"/>
      <c r="P46" s="2">
        <v>-1281641</v>
      </c>
      <c r="Q46" s="2"/>
      <c r="R46" s="19">
        <f t="shared" si="14"/>
        <v>-0.80943271697155339</v>
      </c>
      <c r="S46" s="2"/>
      <c r="T46" s="2">
        <v>-1200488</v>
      </c>
      <c r="U46" s="2"/>
      <c r="V46" s="19">
        <f t="shared" si="15"/>
        <v>-0.77844321666846117</v>
      </c>
      <c r="W46" s="2"/>
      <c r="X46" s="2">
        <f t="shared" si="16"/>
        <v>-81153</v>
      </c>
      <c r="Y46" s="2"/>
      <c r="Z46" s="19">
        <f t="shared" si="17"/>
        <v>6.7600009329539315E-2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70546</v>
      </c>
      <c r="E47" s="2"/>
      <c r="F47" s="19">
        <f t="shared" si="10"/>
        <v>0.83489720240913745</v>
      </c>
      <c r="G47" s="2"/>
      <c r="H47" s="2">
        <v>143257</v>
      </c>
      <c r="I47" s="2"/>
      <c r="J47" s="19">
        <f t="shared" si="11"/>
        <v>0.80384398770630472</v>
      </c>
      <c r="K47" s="2"/>
      <c r="L47" s="2">
        <f t="shared" si="12"/>
        <v>-72711</v>
      </c>
      <c r="M47" s="2"/>
      <c r="N47" s="19">
        <f t="shared" si="13"/>
        <v>-0.50755634977697428</v>
      </c>
      <c r="O47" s="11"/>
      <c r="P47" s="2">
        <v>1407045</v>
      </c>
      <c r="Q47" s="2"/>
      <c r="R47" s="19">
        <f t="shared" si="14"/>
        <v>0.88863282093132112</v>
      </c>
      <c r="S47" s="2"/>
      <c r="T47" s="2">
        <v>1306418</v>
      </c>
      <c r="U47" s="2"/>
      <c r="V47" s="19">
        <f t="shared" si="15"/>
        <v>0.84713235803571352</v>
      </c>
      <c r="W47" s="2"/>
      <c r="X47" s="2">
        <f t="shared" si="16"/>
        <v>100627</v>
      </c>
      <c r="Y47" s="2"/>
      <c r="Z47" s="19">
        <f t="shared" si="17"/>
        <v>7.7025117535122756E-2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10"/>
        <v>0</v>
      </c>
      <c r="G48" s="2"/>
      <c r="H48" s="2"/>
      <c r="I48" s="2"/>
      <c r="J48" s="19">
        <f t="shared" si="11"/>
        <v>0</v>
      </c>
      <c r="K48" s="2"/>
      <c r="L48" s="2">
        <f t="shared" si="12"/>
        <v>0</v>
      </c>
      <c r="M48" s="2"/>
      <c r="N48" s="19">
        <f t="shared" si="13"/>
        <v>0</v>
      </c>
      <c r="O48" s="11"/>
      <c r="P48" s="2"/>
      <c r="Q48" s="2"/>
      <c r="R48" s="19">
        <f t="shared" si="14"/>
        <v>0</v>
      </c>
      <c r="S48" s="2"/>
      <c r="T48" s="2">
        <v>14.08</v>
      </c>
      <c r="U48" s="2"/>
      <c r="V48" s="19">
        <f t="shared" si="15"/>
        <v>9.1300208670906607E-6</v>
      </c>
      <c r="W48" s="2"/>
      <c r="X48" s="2">
        <f t="shared" si="16"/>
        <v>-14.08</v>
      </c>
      <c r="Y48" s="2"/>
      <c r="Z48" s="19">
        <f t="shared" si="17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>
        <v>105.75</v>
      </c>
      <c r="Q49" s="2"/>
      <c r="R49" s="19">
        <f t="shared" si="14"/>
        <v>6.6787430973058574E-5</v>
      </c>
      <c r="S49" s="2"/>
      <c r="T49" s="2"/>
      <c r="U49" s="2"/>
      <c r="V49" s="19">
        <f t="shared" si="15"/>
        <v>0</v>
      </c>
      <c r="W49" s="2"/>
      <c r="X49" s="2">
        <f t="shared" si="16"/>
        <v>105.75</v>
      </c>
      <c r="Y49" s="2"/>
      <c r="Z49" s="19">
        <f t="shared" si="17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0"/>
        <v>0</v>
      </c>
      <c r="G50" s="2"/>
      <c r="H50" s="2">
        <v>12</v>
      </c>
      <c r="I50" s="2"/>
      <c r="J50" s="19">
        <f t="shared" si="11"/>
        <v>6.7334425909209718E-5</v>
      </c>
      <c r="K50" s="2"/>
      <c r="L50" s="2">
        <f t="shared" si="12"/>
        <v>-12</v>
      </c>
      <c r="M50" s="2"/>
      <c r="N50" s="19">
        <f t="shared" si="13"/>
        <v>-1</v>
      </c>
      <c r="O50" s="11"/>
      <c r="P50" s="2">
        <v>4.84</v>
      </c>
      <c r="Q50" s="2"/>
      <c r="R50" s="19">
        <f t="shared" si="14"/>
        <v>3.0567486138023972E-6</v>
      </c>
      <c r="S50" s="2"/>
      <c r="T50" s="2">
        <v>12</v>
      </c>
      <c r="U50" s="2"/>
      <c r="V50" s="19">
        <f t="shared" si="15"/>
        <v>7.7812677844522669E-6</v>
      </c>
      <c r="W50" s="2"/>
      <c r="X50" s="2">
        <f t="shared" si="16"/>
        <v>-7.16</v>
      </c>
      <c r="Y50" s="2"/>
      <c r="Z50" s="19">
        <f t="shared" si="17"/>
        <v>-0.59666666666666668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8.1199999999999992</v>
      </c>
      <c r="E51" s="2"/>
      <c r="F51" s="19">
        <f t="shared" si="10"/>
        <v>9.6098507123893565E-5</v>
      </c>
      <c r="G51" s="2"/>
      <c r="H51" s="2"/>
      <c r="I51" s="2"/>
      <c r="J51" s="19">
        <f t="shared" si="11"/>
        <v>0</v>
      </c>
      <c r="K51" s="2"/>
      <c r="L51" s="2">
        <f t="shared" si="12"/>
        <v>8.1199999999999992</v>
      </c>
      <c r="M51" s="2"/>
      <c r="N51" s="19">
        <f t="shared" si="13"/>
        <v>0</v>
      </c>
      <c r="O51" s="11"/>
      <c r="P51" s="2">
        <v>49.12</v>
      </c>
      <c r="Q51" s="2"/>
      <c r="R51" s="19">
        <f t="shared" si="14"/>
        <v>3.1022209072308621E-5</v>
      </c>
      <c r="S51" s="2"/>
      <c r="T51" s="2">
        <v>22.9</v>
      </c>
      <c r="U51" s="2"/>
      <c r="V51" s="19">
        <f t="shared" si="15"/>
        <v>1.4849252688663076E-5</v>
      </c>
      <c r="W51" s="2"/>
      <c r="X51" s="2">
        <f t="shared" si="16"/>
        <v>26.22</v>
      </c>
      <c r="Y51" s="2"/>
      <c r="Z51" s="19">
        <f t="shared" si="17"/>
        <v>1.1449781659388647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0"/>
        <v>0</v>
      </c>
      <c r="G52" s="2"/>
      <c r="H52" s="2"/>
      <c r="I52" s="2"/>
      <c r="J52" s="19">
        <f t="shared" si="11"/>
        <v>0</v>
      </c>
      <c r="K52" s="2"/>
      <c r="L52" s="2">
        <f t="shared" si="12"/>
        <v>0</v>
      </c>
      <c r="M52" s="2"/>
      <c r="N52" s="19">
        <f t="shared" si="13"/>
        <v>0</v>
      </c>
      <c r="O52" s="11"/>
      <c r="P52" s="2">
        <v>162.51</v>
      </c>
      <c r="Q52" s="2"/>
      <c r="R52" s="19">
        <f t="shared" si="14"/>
        <v>1.0263475562583214E-4</v>
      </c>
      <c r="S52" s="2"/>
      <c r="T52" s="2">
        <v>145.57</v>
      </c>
      <c r="U52" s="2"/>
      <c r="V52" s="19">
        <f t="shared" si="15"/>
        <v>9.4393262615226375E-5</v>
      </c>
      <c r="W52" s="2"/>
      <c r="X52" s="2">
        <f t="shared" si="16"/>
        <v>16.939999999999998</v>
      </c>
      <c r="Y52" s="2"/>
      <c r="Z52" s="19">
        <f t="shared" si="17"/>
        <v>0.11637013120835336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0">
        <f>D12-D38</f>
        <v>13950.840000000011</v>
      </c>
      <c r="E54" s="14"/>
      <c r="F54" s="21">
        <f>IF(D$12=0,0,D54/D$12)</f>
        <v>0.16510528289708135</v>
      </c>
      <c r="G54" s="14"/>
      <c r="H54" s="20">
        <f>H12-H38</f>
        <v>34958.220000000059</v>
      </c>
      <c r="I54" s="14"/>
      <c r="J54" s="21">
        <f>IF(H$12=0,0,H54/H$12)</f>
        <v>0.19615763954232146</v>
      </c>
      <c r="K54" s="15"/>
      <c r="L54" s="20">
        <f>+D54-H54</f>
        <v>-21007.380000000048</v>
      </c>
      <c r="M54" s="15"/>
      <c r="N54" s="21">
        <f>IF(H54=0,0,L54/H54)</f>
        <v>-0.60092819371238049</v>
      </c>
      <c r="O54" s="28"/>
      <c r="P54" s="20">
        <f>P12-P38</f>
        <v>176334.91000000015</v>
      </c>
      <c r="Q54" s="14"/>
      <c r="R54" s="21">
        <f>IF(P$12=0,0,P54/P$12)</f>
        <v>0.11136601068336176</v>
      </c>
      <c r="S54" s="14"/>
      <c r="T54" s="20">
        <f>T12-T38</f>
        <v>235734.30000000005</v>
      </c>
      <c r="U54" s="14"/>
      <c r="V54" s="21">
        <f>IF(T$12=0,0,T54/T$12)</f>
        <v>0.15285930952336721</v>
      </c>
      <c r="W54" s="15"/>
      <c r="X54" s="20">
        <f>+P54-T54</f>
        <v>-59399.389999999898</v>
      </c>
      <c r="Y54" s="15"/>
      <c r="Z54" s="21">
        <f>IF(T54=0,0,X54/T54)</f>
        <v>-0.25197601706667161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2">
        <f>SUM(OSRRefD22x_0)</f>
        <v>13308.350000000002</v>
      </c>
      <c r="E56" s="22"/>
      <c r="F56" s="33">
        <f t="shared" ref="F56:F66" si="18">IF(D$12=0,0,D56/D$12)</f>
        <v>0.15750154769486074</v>
      </c>
      <c r="G56" s="22"/>
      <c r="H56" s="22">
        <f>SUM(OSRRefH22x_0)</f>
        <v>11699.27</v>
      </c>
      <c r="I56" s="22"/>
      <c r="J56" s="33">
        <f t="shared" ref="J56:J66" si="19">IF(H$12=0,0,H56/H$12)</f>
        <v>6.5646969083903342E-2</v>
      </c>
      <c r="K56" s="4"/>
      <c r="L56" s="22">
        <f t="shared" ref="L56:L66" si="20">+D56-H56</f>
        <v>1609.0800000000017</v>
      </c>
      <c r="M56" s="4"/>
      <c r="N56" s="33">
        <f t="shared" ref="N56:N66" si="21">IF(H56=0,0,L56/H56)</f>
        <v>0.13753678648325934</v>
      </c>
      <c r="O56" s="10"/>
      <c r="P56" s="22">
        <f>SUM(OSRRefP22x_0)</f>
        <v>128433.93999999997</v>
      </c>
      <c r="Q56" s="22"/>
      <c r="R56" s="33">
        <f t="shared" ref="R56:R66" si="22">IF(P$12=0,0,P56/P$12)</f>
        <v>8.1113691747971103E-2</v>
      </c>
      <c r="S56" s="22"/>
      <c r="T56" s="22">
        <f>SUM(OSRRefT22x_0)</f>
        <v>170375.59000000003</v>
      </c>
      <c r="U56" s="22"/>
      <c r="V56" s="33">
        <f t="shared" ref="V56:V66" si="23">IF(T$12=0,0,T56/T$12)</f>
        <v>0.11047817414367067</v>
      </c>
      <c r="W56" s="4"/>
      <c r="X56" s="22">
        <f t="shared" ref="X56:X66" si="24">+P56-T56</f>
        <v>-41941.650000000052</v>
      </c>
      <c r="Y56" s="4"/>
      <c r="Z56" s="33">
        <f t="shared" ref="Z56:Z66" si="25">IF(T56=0,0,X56/T56)</f>
        <v>-0.24617170804808391</v>
      </c>
    </row>
    <row r="57" spans="1:26" s="27" customFormat="1" outlineLevel="1" collapsed="1" x14ac:dyDescent="0.25">
      <c r="A57" s="25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2991.2100000000005</v>
      </c>
      <c r="E57" s="1"/>
      <c r="F57" s="5">
        <f t="shared" si="18"/>
        <v>3.5400346735721892E-2</v>
      </c>
      <c r="G57" s="1"/>
      <c r="H57" s="1">
        <f>SUM(OSRRefH22_0x_0)</f>
        <v>1987.9</v>
      </c>
      <c r="I57" s="1"/>
      <c r="J57" s="5">
        <f t="shared" si="19"/>
        <v>1.11545087720765E-2</v>
      </c>
      <c r="K57" s="1"/>
      <c r="L57" s="1">
        <f t="shared" si="20"/>
        <v>1003.3100000000004</v>
      </c>
      <c r="M57" s="1"/>
      <c r="N57" s="5">
        <f t="shared" si="21"/>
        <v>0.50470848634237153</v>
      </c>
      <c r="O57" s="13"/>
      <c r="P57" s="1">
        <f>SUM(OSRRefP22_0x_0)</f>
        <v>18221.209999999995</v>
      </c>
      <c r="Q57" s="1"/>
      <c r="R57" s="5">
        <f t="shared" si="22"/>
        <v>1.1507780663079E-2</v>
      </c>
      <c r="S57" s="1"/>
      <c r="T57" s="1">
        <f>SUM(OSRRefT22_0x_0)</f>
        <v>14538.510000000002</v>
      </c>
      <c r="U57" s="1"/>
      <c r="V57" s="5">
        <f t="shared" si="23"/>
        <v>9.4273366247447626E-3</v>
      </c>
      <c r="W57" s="1"/>
      <c r="X57" s="1">
        <f t="shared" si="24"/>
        <v>3682.6999999999935</v>
      </c>
      <c r="Y57" s="1"/>
      <c r="Z57" s="5">
        <f t="shared" si="25"/>
        <v>0.25330656305219673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6">
        <v>526</v>
      </c>
      <c r="E58" s="2"/>
      <c r="F58" s="7">
        <f t="shared" si="18"/>
        <v>6.2251003383211852E-3</v>
      </c>
      <c r="G58" s="2"/>
      <c r="H58" s="6">
        <v>245.32</v>
      </c>
      <c r="I58" s="2"/>
      <c r="J58" s="7">
        <f t="shared" si="19"/>
        <v>1.3765401136706106E-3</v>
      </c>
      <c r="K58" s="2"/>
      <c r="L58" s="6">
        <f t="shared" si="20"/>
        <v>280.68</v>
      </c>
      <c r="M58" s="2"/>
      <c r="N58" s="7">
        <f t="shared" si="21"/>
        <v>1.1441382683841514</v>
      </c>
      <c r="O58" s="11"/>
      <c r="P58" s="6">
        <v>4227.74</v>
      </c>
      <c r="Q58" s="2"/>
      <c r="R58" s="7">
        <f t="shared" si="22"/>
        <v>2.670069914156394E-3</v>
      </c>
      <c r="S58" s="2"/>
      <c r="T58" s="6">
        <v>3273.85</v>
      </c>
      <c r="U58" s="2"/>
      <c r="V58" s="7">
        <f t="shared" si="23"/>
        <v>2.1228919613440881E-3</v>
      </c>
      <c r="W58" s="2"/>
      <c r="X58" s="6">
        <f t="shared" si="24"/>
        <v>953.88999999999987</v>
      </c>
      <c r="Y58" s="2"/>
      <c r="Z58" s="7">
        <f t="shared" si="25"/>
        <v>0.29136643401499762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6">
        <v>254.69</v>
      </c>
      <c r="E59" s="2"/>
      <c r="F59" s="7">
        <f t="shared" si="18"/>
        <v>3.0142030516483319E-3</v>
      </c>
      <c r="G59" s="2"/>
      <c r="H59" s="6">
        <v>105.43</v>
      </c>
      <c r="I59" s="2"/>
      <c r="J59" s="7">
        <f t="shared" si="19"/>
        <v>5.9158904363399844E-4</v>
      </c>
      <c r="K59" s="2"/>
      <c r="L59" s="6">
        <f t="shared" si="20"/>
        <v>149.26</v>
      </c>
      <c r="M59" s="2"/>
      <c r="N59" s="7">
        <f t="shared" si="21"/>
        <v>1.4157260741724365</v>
      </c>
      <c r="O59" s="11"/>
      <c r="P59" s="6">
        <v>960.61</v>
      </c>
      <c r="Q59" s="2"/>
      <c r="R59" s="7">
        <f t="shared" si="22"/>
        <v>6.0668249708775224E-4</v>
      </c>
      <c r="S59" s="2"/>
      <c r="T59" s="6">
        <v>732.83</v>
      </c>
      <c r="U59" s="2"/>
      <c r="V59" s="7">
        <f t="shared" si="23"/>
        <v>4.7519553920667961E-4</v>
      </c>
      <c r="W59" s="2"/>
      <c r="X59" s="6">
        <f t="shared" si="24"/>
        <v>227.77999999999997</v>
      </c>
      <c r="Y59" s="2"/>
      <c r="Z59" s="7">
        <f t="shared" si="25"/>
        <v>0.31082242812111943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6">
        <v>1287.6500000000001</v>
      </c>
      <c r="E60" s="2"/>
      <c r="F60" s="7">
        <f t="shared" si="18"/>
        <v>1.5239069297793296E-2</v>
      </c>
      <c r="G60" s="2"/>
      <c r="H60" s="6">
        <v>1029.08</v>
      </c>
      <c r="I60" s="2"/>
      <c r="J60" s="7">
        <f t="shared" si="19"/>
        <v>5.7743759178874613E-3</v>
      </c>
      <c r="K60" s="2"/>
      <c r="L60" s="6">
        <f t="shared" si="20"/>
        <v>258.57000000000016</v>
      </c>
      <c r="M60" s="2"/>
      <c r="N60" s="7">
        <f t="shared" si="21"/>
        <v>0.25126326427488649</v>
      </c>
      <c r="O60" s="11"/>
      <c r="P60" s="6">
        <v>6434.82</v>
      </c>
      <c r="Q60" s="2"/>
      <c r="R60" s="7">
        <f t="shared" si="22"/>
        <v>4.0639725444355252E-3</v>
      </c>
      <c r="S60" s="2"/>
      <c r="T60" s="6">
        <v>5538.66</v>
      </c>
      <c r="U60" s="2"/>
      <c r="V60" s="7">
        <f t="shared" si="23"/>
        <v>3.5914830522528664E-3</v>
      </c>
      <c r="W60" s="2"/>
      <c r="X60" s="6">
        <f t="shared" si="24"/>
        <v>896.15999999999985</v>
      </c>
      <c r="Y60" s="2"/>
      <c r="Z60" s="7">
        <f t="shared" si="25"/>
        <v>0.16180086880220124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6">
        <v>34.85</v>
      </c>
      <c r="E61" s="2"/>
      <c r="F61" s="7">
        <f t="shared" si="18"/>
        <v>4.1244248439257283E-4</v>
      </c>
      <c r="G61" s="2"/>
      <c r="H61" s="6">
        <v>23.03</v>
      </c>
      <c r="I61" s="2"/>
      <c r="J61" s="7">
        <f t="shared" si="19"/>
        <v>1.2922598572409166E-4</v>
      </c>
      <c r="K61" s="2"/>
      <c r="L61" s="6">
        <f t="shared" si="20"/>
        <v>11.82</v>
      </c>
      <c r="M61" s="2"/>
      <c r="N61" s="7">
        <f t="shared" si="21"/>
        <v>0.5132435953104646</v>
      </c>
      <c r="O61" s="11"/>
      <c r="P61" s="6">
        <v>159.9</v>
      </c>
      <c r="Q61" s="2"/>
      <c r="R61" s="7">
        <f t="shared" si="22"/>
        <v>1.0098638498905028E-4</v>
      </c>
      <c r="S61" s="2"/>
      <c r="T61" s="6">
        <v>160.12</v>
      </c>
      <c r="U61" s="2"/>
      <c r="V61" s="7">
        <f t="shared" si="23"/>
        <v>1.0382804980387477E-4</v>
      </c>
      <c r="W61" s="2"/>
      <c r="X61" s="6">
        <f t="shared" si="24"/>
        <v>-0.21999999999999886</v>
      </c>
      <c r="Y61" s="2"/>
      <c r="Z61" s="7">
        <f t="shared" si="25"/>
        <v>-1.3739695228578495E-3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6">
        <v>263.31</v>
      </c>
      <c r="E62" s="2"/>
      <c r="F62" s="7">
        <f t="shared" si="18"/>
        <v>3.1162189545310857E-3</v>
      </c>
      <c r="G62" s="2"/>
      <c r="H62" s="6">
        <v>174.42</v>
      </c>
      <c r="I62" s="2"/>
      <c r="J62" s="7">
        <f t="shared" si="19"/>
        <v>9.7870588059036328E-4</v>
      </c>
      <c r="K62" s="2"/>
      <c r="L62" s="6">
        <f t="shared" si="20"/>
        <v>88.890000000000015</v>
      </c>
      <c r="M62" s="2"/>
      <c r="N62" s="7">
        <f t="shared" si="21"/>
        <v>0.50963192294461657</v>
      </c>
      <c r="O62" s="11"/>
      <c r="P62" s="6">
        <v>1285.92</v>
      </c>
      <c r="Q62" s="2"/>
      <c r="R62" s="7">
        <f t="shared" si="22"/>
        <v>8.1213516063239233E-4</v>
      </c>
      <c r="S62" s="2"/>
      <c r="T62" s="6">
        <v>1131.19</v>
      </c>
      <c r="U62" s="2"/>
      <c r="V62" s="7">
        <f t="shared" si="23"/>
        <v>7.3350769209121344E-4</v>
      </c>
      <c r="W62" s="2"/>
      <c r="X62" s="6">
        <f t="shared" si="24"/>
        <v>154.73000000000002</v>
      </c>
      <c r="Y62" s="2"/>
      <c r="Z62" s="7">
        <f t="shared" si="25"/>
        <v>0.13678515545575898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6">
        <v>159.55000000000001</v>
      </c>
      <c r="E63" s="2"/>
      <c r="F63" s="7">
        <f t="shared" si="18"/>
        <v>1.888240986652367E-3</v>
      </c>
      <c r="G63" s="2"/>
      <c r="H63" s="6">
        <v>32.700000000000003</v>
      </c>
      <c r="I63" s="2"/>
      <c r="J63" s="7">
        <f t="shared" si="19"/>
        <v>1.834863106025965E-4</v>
      </c>
      <c r="K63" s="2"/>
      <c r="L63" s="6">
        <f t="shared" si="20"/>
        <v>126.85000000000001</v>
      </c>
      <c r="M63" s="2"/>
      <c r="N63" s="7">
        <f t="shared" si="21"/>
        <v>3.879204892966361</v>
      </c>
      <c r="O63" s="11"/>
      <c r="P63" s="6">
        <v>1032.23</v>
      </c>
      <c r="Q63" s="2"/>
      <c r="R63" s="7">
        <f t="shared" si="22"/>
        <v>6.5191479785645632E-4</v>
      </c>
      <c r="S63" s="2"/>
      <c r="T63" s="6">
        <v>812.26</v>
      </c>
      <c r="U63" s="2"/>
      <c r="V63" s="7">
        <f t="shared" si="23"/>
        <v>5.2670104754993325E-4</v>
      </c>
      <c r="W63" s="2"/>
      <c r="X63" s="6">
        <f t="shared" si="24"/>
        <v>219.97000000000003</v>
      </c>
      <c r="Y63" s="2"/>
      <c r="Z63" s="7">
        <f t="shared" si="25"/>
        <v>0.27081230147982177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6">
        <v>125.52</v>
      </c>
      <c r="E64" s="2"/>
      <c r="F64" s="7">
        <f t="shared" si="18"/>
        <v>1.4855030313043252E-3</v>
      </c>
      <c r="G64" s="2"/>
      <c r="H64" s="6">
        <v>146.9</v>
      </c>
      <c r="I64" s="2"/>
      <c r="J64" s="7">
        <f t="shared" si="19"/>
        <v>8.2428559717190905E-4</v>
      </c>
      <c r="K64" s="2"/>
      <c r="L64" s="6">
        <f t="shared" si="20"/>
        <v>-21.38000000000001</v>
      </c>
      <c r="M64" s="2"/>
      <c r="N64" s="7">
        <f t="shared" si="21"/>
        <v>-0.14554118447923764</v>
      </c>
      <c r="O64" s="11"/>
      <c r="P64" s="6">
        <v>1531.09</v>
      </c>
      <c r="Q64" s="2"/>
      <c r="R64" s="7">
        <f t="shared" si="22"/>
        <v>9.6697463535262641E-4</v>
      </c>
      <c r="S64" s="2"/>
      <c r="T64" s="6">
        <v>1104.77</v>
      </c>
      <c r="U64" s="2"/>
      <c r="V64" s="7">
        <f t="shared" si="23"/>
        <v>7.1637593418577767E-4</v>
      </c>
      <c r="W64" s="2"/>
      <c r="X64" s="6">
        <f t="shared" si="24"/>
        <v>426.31999999999994</v>
      </c>
      <c r="Y64" s="2"/>
      <c r="Z64" s="7">
        <f t="shared" si="25"/>
        <v>0.38589027580401347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6">
        <v>173.86</v>
      </c>
      <c r="E65" s="2"/>
      <c r="F65" s="7">
        <f t="shared" si="18"/>
        <v>2.0575968532709531E-3</v>
      </c>
      <c r="G65" s="2"/>
      <c r="H65" s="6">
        <v>117.58</v>
      </c>
      <c r="I65" s="2"/>
      <c r="J65" s="7">
        <f t="shared" si="19"/>
        <v>6.5976514986707327E-4</v>
      </c>
      <c r="K65" s="2"/>
      <c r="L65" s="6">
        <f t="shared" si="20"/>
        <v>56.280000000000015</v>
      </c>
      <c r="M65" s="2"/>
      <c r="N65" s="7">
        <f t="shared" si="21"/>
        <v>0.47865283211430532</v>
      </c>
      <c r="O65" s="11"/>
      <c r="P65" s="6">
        <v>1628.12</v>
      </c>
      <c r="Q65" s="2"/>
      <c r="R65" s="7">
        <f t="shared" si="22"/>
        <v>1.0282548663437931E-3</v>
      </c>
      <c r="S65" s="2"/>
      <c r="T65" s="6">
        <v>932.34</v>
      </c>
      <c r="U65" s="2"/>
      <c r="V65" s="7">
        <f t="shared" si="23"/>
        <v>6.0456560051301892E-4</v>
      </c>
      <c r="W65" s="2"/>
      <c r="X65" s="6">
        <f t="shared" si="24"/>
        <v>695.77999999999986</v>
      </c>
      <c r="Y65" s="2"/>
      <c r="Z65" s="7">
        <f t="shared" si="25"/>
        <v>0.74627281892871677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6">
        <v>165.78</v>
      </c>
      <c r="E66" s="2"/>
      <c r="F66" s="7">
        <f t="shared" si="18"/>
        <v>1.9619717378077683E-3</v>
      </c>
      <c r="G66" s="2"/>
      <c r="H66" s="6">
        <v>113.44</v>
      </c>
      <c r="I66" s="2"/>
      <c r="J66" s="7">
        <f t="shared" si="19"/>
        <v>6.3653477292839589E-4</v>
      </c>
      <c r="K66" s="2"/>
      <c r="L66" s="6">
        <f t="shared" si="20"/>
        <v>52.34</v>
      </c>
      <c r="M66" s="2"/>
      <c r="N66" s="7">
        <f t="shared" si="21"/>
        <v>0.46138928067700991</v>
      </c>
      <c r="O66" s="11"/>
      <c r="P66" s="6">
        <v>960.78</v>
      </c>
      <c r="Q66" s="2"/>
      <c r="R66" s="7">
        <f t="shared" si="22"/>
        <v>6.0678986222501387E-4</v>
      </c>
      <c r="S66" s="2"/>
      <c r="T66" s="6">
        <v>852.49</v>
      </c>
      <c r="U66" s="2"/>
      <c r="V66" s="7">
        <f t="shared" si="23"/>
        <v>5.5278774779730943E-4</v>
      </c>
      <c r="W66" s="2"/>
      <c r="X66" s="6">
        <f t="shared" si="24"/>
        <v>108.28999999999996</v>
      </c>
      <c r="Y66" s="2"/>
      <c r="Z66" s="7">
        <f t="shared" si="25"/>
        <v>0.12702788302502077</v>
      </c>
    </row>
    <row r="67" spans="1:26" s="27" customFormat="1" outlineLevel="1" collapsed="1" x14ac:dyDescent="0.25">
      <c r="A67" s="25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8569.36</v>
      </c>
      <c r="E67" s="1"/>
      <c r="F67" s="5">
        <f t="shared" ref="F67:F71" si="26">IF(D$12=0,0,D67/D$12)</f>
        <v>0.10141658904029664</v>
      </c>
      <c r="G67" s="1"/>
      <c r="H67" s="1">
        <f>SUM(OSRRefH22_1x_0)</f>
        <v>5855.67</v>
      </c>
      <c r="I67" s="1"/>
      <c r="J67" s="5">
        <f t="shared" ref="J67:J71" si="27">IF(H$12=0,0,H67/H$12)</f>
        <v>3.2857348146981838E-2</v>
      </c>
      <c r="K67" s="1"/>
      <c r="L67" s="1">
        <f t="shared" ref="L67:L71" si="28">+D67-H67</f>
        <v>2713.6900000000005</v>
      </c>
      <c r="M67" s="1"/>
      <c r="N67" s="5">
        <f t="shared" ref="N67:N71" si="29">IF(H67=0,0,L67/H67)</f>
        <v>0.46342946238432159</v>
      </c>
      <c r="O67" s="13"/>
      <c r="P67" s="1">
        <f>SUM(OSRRefP22_1x_0)</f>
        <v>57288.5</v>
      </c>
      <c r="Q67" s="1"/>
      <c r="R67" s="5">
        <f t="shared" ref="R67:R71" si="30">IF(P$12=0,0,P67/P$12)</f>
        <v>3.6181103917731119E-2</v>
      </c>
      <c r="S67" s="1"/>
      <c r="T67" s="1">
        <f>SUM(OSRRefT22_1x_0)</f>
        <v>53918.81</v>
      </c>
      <c r="U67" s="1"/>
      <c r="V67" s="5">
        <f t="shared" ref="V67:V71" si="31">IF(T$12=0,0,T67/T$12)</f>
        <v>3.4963058269083559E-2</v>
      </c>
      <c r="W67" s="1"/>
      <c r="X67" s="1">
        <f t="shared" ref="X67:X71" si="32">+P67-T67</f>
        <v>3369.6900000000023</v>
      </c>
      <c r="Y67" s="1"/>
      <c r="Z67" s="5">
        <f t="shared" ref="Z67:Z71" si="33">IF(T67=0,0,X67/T67)</f>
        <v>6.2495630003703763E-2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6">
        <v>3721.56</v>
      </c>
      <c r="E68" s="2"/>
      <c r="F68" s="7">
        <f t="shared" si="26"/>
        <v>4.4043886720689332E-2</v>
      </c>
      <c r="G68" s="2"/>
      <c r="H68" s="6">
        <v>2421.7399999999998</v>
      </c>
      <c r="I68" s="2"/>
      <c r="J68" s="7">
        <f t="shared" si="27"/>
        <v>1.3588872716780795E-2</v>
      </c>
      <c r="K68" s="2"/>
      <c r="L68" s="6">
        <f t="shared" si="28"/>
        <v>1299.8200000000002</v>
      </c>
      <c r="M68" s="2"/>
      <c r="N68" s="7">
        <f t="shared" si="29"/>
        <v>0.5367297893250309</v>
      </c>
      <c r="O68" s="11"/>
      <c r="P68" s="6">
        <v>18778.14</v>
      </c>
      <c r="Q68" s="2"/>
      <c r="R68" s="7">
        <f t="shared" si="30"/>
        <v>1.1859515168344492E-2</v>
      </c>
      <c r="S68" s="2"/>
      <c r="T68" s="6">
        <v>15550.12</v>
      </c>
      <c r="U68" s="2"/>
      <c r="V68" s="7">
        <f t="shared" si="31"/>
        <v>1.0083303983363908E-2</v>
      </c>
      <c r="W68" s="2"/>
      <c r="X68" s="6">
        <f t="shared" si="32"/>
        <v>3228.0199999999986</v>
      </c>
      <c r="Y68" s="2"/>
      <c r="Z68" s="7">
        <f t="shared" si="33"/>
        <v>0.20758810864482063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6">
        <v>2457.04</v>
      </c>
      <c r="E69" s="2"/>
      <c r="F69" s="7">
        <f t="shared" si="26"/>
        <v>2.9078556150700919E-2</v>
      </c>
      <c r="G69" s="2"/>
      <c r="H69" s="6">
        <v>721</v>
      </c>
      <c r="I69" s="2"/>
      <c r="J69" s="7">
        <f t="shared" si="27"/>
        <v>4.0456767567116844E-3</v>
      </c>
      <c r="K69" s="2"/>
      <c r="L69" s="6">
        <f t="shared" si="28"/>
        <v>1736.04</v>
      </c>
      <c r="M69" s="2"/>
      <c r="N69" s="7">
        <f t="shared" si="29"/>
        <v>2.4078224687933427</v>
      </c>
      <c r="O69" s="11"/>
      <c r="P69" s="6">
        <v>19659.289999999997</v>
      </c>
      <c r="Q69" s="2"/>
      <c r="R69" s="7">
        <f t="shared" si="30"/>
        <v>1.2416013937156885E-2</v>
      </c>
      <c r="S69" s="2"/>
      <c r="T69" s="6">
        <v>15082.32</v>
      </c>
      <c r="U69" s="2"/>
      <c r="V69" s="7">
        <f t="shared" si="31"/>
        <v>9.7799642275666777E-3</v>
      </c>
      <c r="W69" s="2"/>
      <c r="X69" s="6">
        <f t="shared" si="32"/>
        <v>4576.9699999999975</v>
      </c>
      <c r="Y69" s="2"/>
      <c r="Z69" s="7">
        <f t="shared" si="33"/>
        <v>0.30346591240604875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6">
        <v>641</v>
      </c>
      <c r="E70" s="2"/>
      <c r="F70" s="7">
        <f t="shared" si="26"/>
        <v>7.5861013628590861E-3</v>
      </c>
      <c r="G70" s="2"/>
      <c r="H70" s="6"/>
      <c r="I70" s="2"/>
      <c r="J70" s="7">
        <f t="shared" si="27"/>
        <v>0</v>
      </c>
      <c r="K70" s="2"/>
      <c r="L70" s="6">
        <f t="shared" si="28"/>
        <v>641</v>
      </c>
      <c r="M70" s="2"/>
      <c r="N70" s="7">
        <f t="shared" si="29"/>
        <v>0</v>
      </c>
      <c r="O70" s="11"/>
      <c r="P70" s="6">
        <v>8242.16</v>
      </c>
      <c r="Q70" s="2"/>
      <c r="R70" s="7">
        <f t="shared" si="30"/>
        <v>5.2054155278383404E-3</v>
      </c>
      <c r="S70" s="2"/>
      <c r="T70" s="6"/>
      <c r="U70" s="2"/>
      <c r="V70" s="7">
        <f t="shared" si="31"/>
        <v>0</v>
      </c>
      <c r="W70" s="2"/>
      <c r="X70" s="6">
        <f t="shared" si="32"/>
        <v>8242.16</v>
      </c>
      <c r="Y70" s="2"/>
      <c r="Z70" s="7">
        <f t="shared" si="33"/>
        <v>0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6">
        <v>1749.76</v>
      </c>
      <c r="E71" s="2"/>
      <c r="F71" s="7">
        <f t="shared" si="26"/>
        <v>2.0708044806047293E-2</v>
      </c>
      <c r="G71" s="2"/>
      <c r="H71" s="6">
        <v>2712.93</v>
      </c>
      <c r="I71" s="2"/>
      <c r="J71" s="7">
        <f t="shared" si="27"/>
        <v>1.5222798673489359E-2</v>
      </c>
      <c r="K71" s="2"/>
      <c r="L71" s="6">
        <f t="shared" si="28"/>
        <v>-963.16999999999985</v>
      </c>
      <c r="M71" s="2"/>
      <c r="N71" s="7">
        <f t="shared" si="29"/>
        <v>-0.35502943312212254</v>
      </c>
      <c r="O71" s="11"/>
      <c r="P71" s="6">
        <v>10608.91</v>
      </c>
      <c r="Q71" s="2"/>
      <c r="R71" s="7">
        <f t="shared" si="30"/>
        <v>6.7001592843914026E-3</v>
      </c>
      <c r="S71" s="2"/>
      <c r="T71" s="6">
        <v>23286.37</v>
      </c>
      <c r="U71" s="2"/>
      <c r="V71" s="7">
        <f t="shared" si="31"/>
        <v>1.5099790058152979E-2</v>
      </c>
      <c r="W71" s="2"/>
      <c r="X71" s="6">
        <f t="shared" si="32"/>
        <v>-12677.46</v>
      </c>
      <c r="Y71" s="2"/>
      <c r="Z71" s="7">
        <f t="shared" si="33"/>
        <v>-0.54441546707365729</v>
      </c>
    </row>
    <row r="72" spans="1:26" s="27" customFormat="1" outlineLevel="1" collapsed="1" x14ac:dyDescent="0.25">
      <c r="A72" s="25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79.67</v>
      </c>
      <c r="E72" s="1"/>
      <c r="F72" s="5">
        <f t="shared" ref="F72:F92" si="34">IF(D$12=0,0,D72/D$12)</f>
        <v>9.4287784021682283E-4</v>
      </c>
      <c r="G72" s="1"/>
      <c r="H72" s="1">
        <f>SUM(OSRRefH22_2x_0)</f>
        <v>-375</v>
      </c>
      <c r="I72" s="1"/>
      <c r="J72" s="5">
        <f t="shared" ref="J72:J92" si="35">IF(H$12=0,0,H72/H$12)</f>
        <v>-2.1042008096628039E-3</v>
      </c>
      <c r="K72" s="1"/>
      <c r="L72" s="1">
        <f t="shared" ref="L72:L92" si="36">+D72-H72</f>
        <v>454.67</v>
      </c>
      <c r="M72" s="1"/>
      <c r="N72" s="5">
        <f t="shared" ref="N72:N92" si="37">IF(H72=0,0,L72/H72)</f>
        <v>-1.2124533333333334</v>
      </c>
      <c r="O72" s="13"/>
      <c r="P72" s="1">
        <f>SUM(OSRRefP22_2x_0)</f>
        <v>1508.38</v>
      </c>
      <c r="Q72" s="1"/>
      <c r="R72" s="5">
        <f t="shared" ref="R72:R92" si="38">IF(P$12=0,0,P72/P$12)</f>
        <v>9.5263191613373149E-4</v>
      </c>
      <c r="S72" s="1"/>
      <c r="T72" s="1">
        <f>SUM(OSRRefT22_2x_0)</f>
        <v>1346.89</v>
      </c>
      <c r="U72" s="1"/>
      <c r="V72" s="5">
        <f t="shared" ref="V72:V92" si="39">IF(T$12=0,0,T72/T$12)</f>
        <v>8.7337598051674291E-4</v>
      </c>
      <c r="W72" s="1"/>
      <c r="X72" s="1">
        <f t="shared" ref="X72:X92" si="40">+P72-T72</f>
        <v>161.49</v>
      </c>
      <c r="Y72" s="1"/>
      <c r="Z72" s="5">
        <f t="shared" ref="Z72:Z92" si="41">IF(T72=0,0,X72/T72)</f>
        <v>0.11989843268566847</v>
      </c>
    </row>
    <row r="73" spans="1:26" s="24" customFormat="1" hidden="1" outlineLevel="2" x14ac:dyDescent="0.25">
      <c r="A73" s="26"/>
      <c r="B73" s="11" t="str">
        <f>CONCATENATE("          ", "6362", " - ", "ADVERTISING EXPENSE")</f>
        <v xml:space="preserve">          6362 - ADVERTISING EXPENSE</v>
      </c>
      <c r="C73" s="11"/>
      <c r="D73" s="6">
        <v>79.67</v>
      </c>
      <c r="E73" s="2"/>
      <c r="F73" s="7">
        <f t="shared" si="34"/>
        <v>9.4287784021682283E-4</v>
      </c>
      <c r="G73" s="2"/>
      <c r="H73" s="6">
        <v>-375</v>
      </c>
      <c r="I73" s="2"/>
      <c r="J73" s="7">
        <f t="shared" si="35"/>
        <v>-2.1042008096628039E-3</v>
      </c>
      <c r="K73" s="2"/>
      <c r="L73" s="6">
        <f t="shared" si="36"/>
        <v>454.67</v>
      </c>
      <c r="M73" s="2"/>
      <c r="N73" s="7">
        <f t="shared" si="37"/>
        <v>-1.2124533333333334</v>
      </c>
      <c r="O73" s="11"/>
      <c r="P73" s="6">
        <v>1508.38</v>
      </c>
      <c r="Q73" s="2"/>
      <c r="R73" s="7">
        <f t="shared" si="38"/>
        <v>9.5263191613373149E-4</v>
      </c>
      <c r="S73" s="2"/>
      <c r="T73" s="6">
        <v>1346.89</v>
      </c>
      <c r="U73" s="2"/>
      <c r="V73" s="7">
        <f t="shared" si="39"/>
        <v>8.7337598051674291E-4</v>
      </c>
      <c r="W73" s="2"/>
      <c r="X73" s="6">
        <f t="shared" si="40"/>
        <v>161.49</v>
      </c>
      <c r="Y73" s="2"/>
      <c r="Z73" s="7">
        <f t="shared" si="41"/>
        <v>0.11989843268566847</v>
      </c>
    </row>
    <row r="74" spans="1:26" s="27" customFormat="1" outlineLevel="1" collapsed="1" x14ac:dyDescent="0.25">
      <c r="A74" s="25"/>
      <c r="B74" s="13" t="str">
        <f>CONCATENATE("     ","Depreciation                                      ")</f>
        <v xml:space="preserve">     Depreciation                                      </v>
      </c>
      <c r="C74" s="13"/>
      <c r="D74" s="1">
        <f>SUM(OSRRefD22_3x_0)</f>
        <v>280.44</v>
      </c>
      <c r="E74" s="1"/>
      <c r="F74" s="5">
        <f t="shared" si="34"/>
        <v>3.3189489332296446E-3</v>
      </c>
      <c r="G74" s="1"/>
      <c r="H74" s="1">
        <f>SUM(OSRRefH22_3x_0)</f>
        <v>280.44</v>
      </c>
      <c r="I74" s="1"/>
      <c r="J74" s="5">
        <f t="shared" si="35"/>
        <v>1.5736055334982311E-3</v>
      </c>
      <c r="K74" s="1"/>
      <c r="L74" s="1">
        <f t="shared" si="36"/>
        <v>0</v>
      </c>
      <c r="M74" s="1"/>
      <c r="N74" s="5">
        <f t="shared" si="37"/>
        <v>0</v>
      </c>
      <c r="O74" s="13"/>
      <c r="P74" s="1">
        <f>SUM(OSRRefP22_3x_0)</f>
        <v>1682.64</v>
      </c>
      <c r="Q74" s="1"/>
      <c r="R74" s="5">
        <f t="shared" si="38"/>
        <v>1.0626874974232368E-3</v>
      </c>
      <c r="S74" s="1"/>
      <c r="T74" s="1">
        <f>SUM(OSRRefT22_3x_0)</f>
        <v>1682.64</v>
      </c>
      <c r="U74" s="1"/>
      <c r="V74" s="5">
        <f t="shared" si="39"/>
        <v>1.091089368735897E-3</v>
      </c>
      <c r="W74" s="1"/>
      <c r="X74" s="1">
        <f t="shared" si="40"/>
        <v>0</v>
      </c>
      <c r="Y74" s="1"/>
      <c r="Z74" s="5">
        <f t="shared" si="41"/>
        <v>0</v>
      </c>
    </row>
    <row r="75" spans="1:26" s="24" customFormat="1" hidden="1" outlineLevel="2" x14ac:dyDescent="0.25">
      <c r="A75" s="26"/>
      <c r="B75" s="11" t="str">
        <f>CONCATENATE("          ", "6322", " - ", "EQUIPMENT DEPRECIATION EXPENSE")</f>
        <v xml:space="preserve">          6322 - EQUIPMENT DEPRECIATION EXPENSE</v>
      </c>
      <c r="C75" s="11"/>
      <c r="D75" s="6">
        <v>280.44</v>
      </c>
      <c r="E75" s="2"/>
      <c r="F75" s="7">
        <f t="shared" si="34"/>
        <v>3.3189489332296446E-3</v>
      </c>
      <c r="G75" s="2"/>
      <c r="H75" s="6">
        <v>280.44</v>
      </c>
      <c r="I75" s="2"/>
      <c r="J75" s="7">
        <f t="shared" si="35"/>
        <v>1.5736055334982311E-3</v>
      </c>
      <c r="K75" s="2"/>
      <c r="L75" s="6">
        <f t="shared" si="36"/>
        <v>0</v>
      </c>
      <c r="M75" s="2"/>
      <c r="N75" s="7">
        <f t="shared" si="37"/>
        <v>0</v>
      </c>
      <c r="O75" s="11"/>
      <c r="P75" s="6">
        <v>1682.64</v>
      </c>
      <c r="Q75" s="2"/>
      <c r="R75" s="7">
        <f t="shared" si="38"/>
        <v>1.0626874974232368E-3</v>
      </c>
      <c r="S75" s="2"/>
      <c r="T75" s="6">
        <v>1682.64</v>
      </c>
      <c r="U75" s="2"/>
      <c r="V75" s="7">
        <f t="shared" si="39"/>
        <v>1.091089368735897E-3</v>
      </c>
      <c r="W75" s="2"/>
      <c r="X75" s="6">
        <f t="shared" si="40"/>
        <v>0</v>
      </c>
      <c r="Y75" s="2"/>
      <c r="Z75" s="7">
        <f t="shared" si="41"/>
        <v>0</v>
      </c>
    </row>
    <row r="76" spans="1:26" s="27" customFormat="1" outlineLevel="1" collapsed="1" x14ac:dyDescent="0.25">
      <c r="A76" s="25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SUM(OSRRefD22_4x_0)</f>
        <v>933.49</v>
      </c>
      <c r="E76" s="1"/>
      <c r="F76" s="5">
        <f t="shared" si="34"/>
        <v>1.1047659533877268E-2</v>
      </c>
      <c r="G76" s="1"/>
      <c r="H76" s="1">
        <f>SUM(OSRRefH22_4x_0)</f>
        <v>2068.17</v>
      </c>
      <c r="I76" s="1"/>
      <c r="J76" s="5">
        <f t="shared" si="35"/>
        <v>1.1604919969387523E-2</v>
      </c>
      <c r="K76" s="1"/>
      <c r="L76" s="1">
        <f t="shared" si="36"/>
        <v>-1134.68</v>
      </c>
      <c r="M76" s="1"/>
      <c r="N76" s="5">
        <f t="shared" si="37"/>
        <v>-0.54863961860001842</v>
      </c>
      <c r="O76" s="13"/>
      <c r="P76" s="1">
        <f>SUM(OSRRefP22_4x_0)</f>
        <v>49270.659999999996</v>
      </c>
      <c r="Q76" s="1"/>
      <c r="R76" s="5">
        <f t="shared" si="38"/>
        <v>3.1117359846307688E-2</v>
      </c>
      <c r="S76" s="1"/>
      <c r="T76" s="1">
        <f>SUM(OSRRefT22_4x_0)</f>
        <v>87149.13</v>
      </c>
      <c r="U76" s="1"/>
      <c r="V76" s="5">
        <f t="shared" si="39"/>
        <v>5.6510893142670222E-2</v>
      </c>
      <c r="W76" s="1"/>
      <c r="X76" s="1">
        <f t="shared" si="40"/>
        <v>-37878.470000000008</v>
      </c>
      <c r="Y76" s="1"/>
      <c r="Z76" s="5">
        <f t="shared" si="41"/>
        <v>-0.43463968028137523</v>
      </c>
    </row>
    <row r="77" spans="1:26" s="24" customFormat="1" hidden="1" outlineLevel="2" x14ac:dyDescent="0.25">
      <c r="A77" s="26"/>
      <c r="B77" s="11" t="str">
        <f>CONCATENATE("          ", "6382", " - ", "DISCOUNTS/MARK DOWNS")</f>
        <v xml:space="preserve">          6382 - DISCOUNTS/MARK DOWNS</v>
      </c>
      <c r="C77" s="11"/>
      <c r="D77" s="6">
        <v>933.49</v>
      </c>
      <c r="E77" s="2"/>
      <c r="F77" s="7">
        <f t="shared" si="34"/>
        <v>1.1047659533877268E-2</v>
      </c>
      <c r="G77" s="2"/>
      <c r="H77" s="6">
        <v>2068.17</v>
      </c>
      <c r="I77" s="2"/>
      <c r="J77" s="7">
        <f t="shared" si="35"/>
        <v>1.1604919969387523E-2</v>
      </c>
      <c r="K77" s="2"/>
      <c r="L77" s="6">
        <f t="shared" si="36"/>
        <v>-1134.68</v>
      </c>
      <c r="M77" s="2"/>
      <c r="N77" s="7">
        <f t="shared" si="37"/>
        <v>-0.54863961860001842</v>
      </c>
      <c r="O77" s="11"/>
      <c r="P77" s="6">
        <v>49270.659999999996</v>
      </c>
      <c r="Q77" s="2"/>
      <c r="R77" s="7">
        <f t="shared" si="38"/>
        <v>3.1117359846307688E-2</v>
      </c>
      <c r="S77" s="2"/>
      <c r="T77" s="6">
        <v>87149.13</v>
      </c>
      <c r="U77" s="2"/>
      <c r="V77" s="7">
        <f t="shared" si="39"/>
        <v>5.6510893142670222E-2</v>
      </c>
      <c r="W77" s="2"/>
      <c r="X77" s="6">
        <f t="shared" si="40"/>
        <v>-37878.470000000008</v>
      </c>
      <c r="Y77" s="2"/>
      <c r="Z77" s="7">
        <f t="shared" si="41"/>
        <v>-0.43463968028137523</v>
      </c>
    </row>
    <row r="78" spans="1:26" s="27" customFormat="1" outlineLevel="1" collapsed="1" x14ac:dyDescent="0.25">
      <c r="A78" s="25"/>
      <c r="B78" s="13" t="str">
        <f>CONCATENATE("     ","Employees' Appreciation                           ")</f>
        <v xml:space="preserve">     Employees' Appreciation                           </v>
      </c>
      <c r="C78" s="13"/>
      <c r="D78" s="1">
        <f>SUM(OSRRefD22_5x_0)</f>
        <v>0</v>
      </c>
      <c r="E78" s="1"/>
      <c r="F78" s="5">
        <f t="shared" si="34"/>
        <v>0</v>
      </c>
      <c r="G78" s="1"/>
      <c r="H78" s="1">
        <f>SUM(OSRRefH22_5x_0)</f>
        <v>0</v>
      </c>
      <c r="I78" s="1"/>
      <c r="J78" s="5">
        <f t="shared" si="35"/>
        <v>0</v>
      </c>
      <c r="K78" s="1"/>
      <c r="L78" s="1">
        <f t="shared" si="36"/>
        <v>0</v>
      </c>
      <c r="M78" s="1"/>
      <c r="N78" s="5">
        <f t="shared" si="37"/>
        <v>0</v>
      </c>
      <c r="O78" s="13"/>
      <c r="P78" s="1">
        <f>SUM(OSRRefP22_5x_0)</f>
        <v>0</v>
      </c>
      <c r="Q78" s="1"/>
      <c r="R78" s="5">
        <f t="shared" si="38"/>
        <v>0</v>
      </c>
      <c r="S78" s="1"/>
      <c r="T78" s="1">
        <f>SUM(OSRRefT22_5x_0)</f>
        <v>181.84</v>
      </c>
      <c r="U78" s="1"/>
      <c r="V78" s="5">
        <f t="shared" si="39"/>
        <v>1.1791214449373336E-4</v>
      </c>
      <c r="W78" s="1"/>
      <c r="X78" s="1">
        <f t="shared" si="40"/>
        <v>-181.84</v>
      </c>
      <c r="Y78" s="1"/>
      <c r="Z78" s="5">
        <f t="shared" si="41"/>
        <v>-1</v>
      </c>
    </row>
    <row r="79" spans="1:26" s="24" customFormat="1" hidden="1" outlineLevel="2" x14ac:dyDescent="0.25">
      <c r="A79" s="26"/>
      <c r="B79" s="11" t="str">
        <f>CONCATENATE("          ", "6277", " - ", "EMPLOYEE APPRECIATION")</f>
        <v xml:space="preserve">          6277 - EMPLOYEE APPRECIATION</v>
      </c>
      <c r="C79" s="11"/>
      <c r="D79" s="6"/>
      <c r="E79" s="2"/>
      <c r="F79" s="7">
        <f t="shared" si="34"/>
        <v>0</v>
      </c>
      <c r="G79" s="2"/>
      <c r="H79" s="6"/>
      <c r="I79" s="2"/>
      <c r="J79" s="7">
        <f t="shared" si="35"/>
        <v>0</v>
      </c>
      <c r="K79" s="2"/>
      <c r="L79" s="6">
        <f t="shared" si="36"/>
        <v>0</v>
      </c>
      <c r="M79" s="2"/>
      <c r="N79" s="7">
        <f t="shared" si="37"/>
        <v>0</v>
      </c>
      <c r="O79" s="11"/>
      <c r="P79" s="6"/>
      <c r="Q79" s="2"/>
      <c r="R79" s="7">
        <f t="shared" si="38"/>
        <v>0</v>
      </c>
      <c r="S79" s="2"/>
      <c r="T79" s="6">
        <v>181.84</v>
      </c>
      <c r="U79" s="2"/>
      <c r="V79" s="7">
        <f t="shared" si="39"/>
        <v>1.1791214449373336E-4</v>
      </c>
      <c r="W79" s="2"/>
      <c r="X79" s="6">
        <f t="shared" si="40"/>
        <v>-181.84</v>
      </c>
      <c r="Y79" s="2"/>
      <c r="Z79" s="7">
        <f t="shared" si="41"/>
        <v>-1</v>
      </c>
    </row>
    <row r="80" spans="1:26" s="27" customFormat="1" outlineLevel="1" collapsed="1" x14ac:dyDescent="0.25">
      <c r="A80" s="25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SUM(OSRRefD22_6x_0)</f>
        <v>0</v>
      </c>
      <c r="E80" s="1"/>
      <c r="F80" s="5">
        <f t="shared" si="34"/>
        <v>0</v>
      </c>
      <c r="G80" s="1"/>
      <c r="H80" s="1">
        <f>SUM(OSRRefH22_6x_0)</f>
        <v>0</v>
      </c>
      <c r="I80" s="1"/>
      <c r="J80" s="5">
        <f t="shared" si="35"/>
        <v>0</v>
      </c>
      <c r="K80" s="1"/>
      <c r="L80" s="1">
        <f t="shared" si="36"/>
        <v>0</v>
      </c>
      <c r="M80" s="1"/>
      <c r="N80" s="5">
        <f t="shared" si="37"/>
        <v>0</v>
      </c>
      <c r="O80" s="13"/>
      <c r="P80" s="1">
        <f>SUM(OSRRefP22_6x_0)</f>
        <v>41.61</v>
      </c>
      <c r="Q80" s="1"/>
      <c r="R80" s="5">
        <f t="shared" si="38"/>
        <v>2.6279196243867304E-5</v>
      </c>
      <c r="S80" s="1"/>
      <c r="T80" s="1">
        <f>SUM(OSRRefT22_6x_0)</f>
        <v>71.959999999999994</v>
      </c>
      <c r="U80" s="1"/>
      <c r="V80" s="5">
        <f t="shared" si="39"/>
        <v>4.6661669147432091E-5</v>
      </c>
      <c r="W80" s="1"/>
      <c r="X80" s="1">
        <f t="shared" si="40"/>
        <v>-30.349999999999994</v>
      </c>
      <c r="Y80" s="1"/>
      <c r="Z80" s="5">
        <f t="shared" si="41"/>
        <v>-0.42176209005002774</v>
      </c>
    </row>
    <row r="81" spans="1:26" s="24" customFormat="1" hidden="1" outlineLevel="2" x14ac:dyDescent="0.25">
      <c r="A81" s="26"/>
      <c r="B81" s="11" t="str">
        <f>CONCATENATE("          ", "6305", " - ", "FREIGHT OUT")</f>
        <v xml:space="preserve">          6305 - FREIGHT OUT</v>
      </c>
      <c r="C81" s="11"/>
      <c r="D81" s="6"/>
      <c r="E81" s="2"/>
      <c r="F81" s="7">
        <f t="shared" si="34"/>
        <v>0</v>
      </c>
      <c r="G81" s="2"/>
      <c r="H81" s="6"/>
      <c r="I81" s="2"/>
      <c r="J81" s="7">
        <f t="shared" si="35"/>
        <v>0</v>
      </c>
      <c r="K81" s="2"/>
      <c r="L81" s="6">
        <f t="shared" si="36"/>
        <v>0</v>
      </c>
      <c r="M81" s="2"/>
      <c r="N81" s="7">
        <f t="shared" si="37"/>
        <v>0</v>
      </c>
      <c r="O81" s="11"/>
      <c r="P81" s="6">
        <v>41.61</v>
      </c>
      <c r="Q81" s="2"/>
      <c r="R81" s="7">
        <f t="shared" si="38"/>
        <v>2.6279196243867304E-5</v>
      </c>
      <c r="S81" s="2"/>
      <c r="T81" s="6">
        <v>71.959999999999994</v>
      </c>
      <c r="U81" s="2"/>
      <c r="V81" s="7">
        <f t="shared" si="39"/>
        <v>4.6661669147432091E-5</v>
      </c>
      <c r="W81" s="2"/>
      <c r="X81" s="6">
        <f t="shared" si="40"/>
        <v>-30.349999999999994</v>
      </c>
      <c r="Y81" s="2"/>
      <c r="Z81" s="7">
        <f t="shared" si="41"/>
        <v>-0.42176209005002774</v>
      </c>
    </row>
    <row r="82" spans="1:26" s="27" customFormat="1" outlineLevel="1" collapsed="1" x14ac:dyDescent="0.25">
      <c r="A82" s="25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SUM(OSRRefD22_7x_0)</f>
        <v>0</v>
      </c>
      <c r="E82" s="1"/>
      <c r="F82" s="5">
        <f t="shared" si="34"/>
        <v>0</v>
      </c>
      <c r="G82" s="1"/>
      <c r="H82" s="1">
        <f>SUM(OSRRefH22_7x_0)</f>
        <v>312.39</v>
      </c>
      <c r="I82" s="1"/>
      <c r="J82" s="5">
        <f t="shared" si="35"/>
        <v>1.752883442481502E-3</v>
      </c>
      <c r="K82" s="1"/>
      <c r="L82" s="1">
        <f t="shared" si="36"/>
        <v>-312.39</v>
      </c>
      <c r="M82" s="1"/>
      <c r="N82" s="5">
        <f t="shared" si="37"/>
        <v>-1</v>
      </c>
      <c r="O82" s="13"/>
      <c r="P82" s="1">
        <f>SUM(OSRRefP22_7x_0)</f>
        <v>0</v>
      </c>
      <c r="Q82" s="1"/>
      <c r="R82" s="5">
        <f t="shared" si="38"/>
        <v>0</v>
      </c>
      <c r="S82" s="1"/>
      <c r="T82" s="1">
        <f>SUM(OSRRefT22_7x_0)</f>
        <v>312.39</v>
      </c>
      <c r="U82" s="1"/>
      <c r="V82" s="5">
        <f t="shared" si="39"/>
        <v>2.0256585359875365E-4</v>
      </c>
      <c r="W82" s="1"/>
      <c r="X82" s="1">
        <f t="shared" si="40"/>
        <v>-312.39</v>
      </c>
      <c r="Y82" s="1"/>
      <c r="Z82" s="5">
        <f t="shared" si="41"/>
        <v>-1</v>
      </c>
    </row>
    <row r="83" spans="1:26" s="24" customFormat="1" hidden="1" outlineLevel="2" x14ac:dyDescent="0.25">
      <c r="A83" s="26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34"/>
        <v>0</v>
      </c>
      <c r="G83" s="2"/>
      <c r="H83" s="6">
        <v>312.39</v>
      </c>
      <c r="I83" s="2"/>
      <c r="J83" s="7">
        <f t="shared" si="35"/>
        <v>1.752883442481502E-3</v>
      </c>
      <c r="K83" s="2"/>
      <c r="L83" s="6">
        <f t="shared" si="36"/>
        <v>-312.39</v>
      </c>
      <c r="M83" s="2"/>
      <c r="N83" s="7">
        <f t="shared" si="37"/>
        <v>-1</v>
      </c>
      <c r="O83" s="11"/>
      <c r="P83" s="6"/>
      <c r="Q83" s="2"/>
      <c r="R83" s="7">
        <f t="shared" si="38"/>
        <v>0</v>
      </c>
      <c r="S83" s="2"/>
      <c r="T83" s="6">
        <v>312.39</v>
      </c>
      <c r="U83" s="2"/>
      <c r="V83" s="7">
        <f t="shared" si="39"/>
        <v>2.0256585359875365E-4</v>
      </c>
      <c r="W83" s="2"/>
      <c r="X83" s="6">
        <f t="shared" si="40"/>
        <v>-312.39</v>
      </c>
      <c r="Y83" s="2"/>
      <c r="Z83" s="7">
        <f t="shared" si="41"/>
        <v>-1</v>
      </c>
    </row>
    <row r="84" spans="1:26" s="27" customFormat="1" outlineLevel="1" collapsed="1" x14ac:dyDescent="0.25">
      <c r="A84" s="25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SUM(OSRRefD22_8x_0)</f>
        <v>0</v>
      </c>
      <c r="E84" s="1"/>
      <c r="F84" s="5">
        <f t="shared" si="34"/>
        <v>0</v>
      </c>
      <c r="G84" s="1"/>
      <c r="H84" s="1">
        <f>SUM(OSRRefH22_8x_0)</f>
        <v>1250</v>
      </c>
      <c r="I84" s="1"/>
      <c r="J84" s="5">
        <f t="shared" si="35"/>
        <v>7.0140026988760127E-3</v>
      </c>
      <c r="K84" s="1"/>
      <c r="L84" s="1">
        <f t="shared" si="36"/>
        <v>-1250</v>
      </c>
      <c r="M84" s="1"/>
      <c r="N84" s="5">
        <f t="shared" si="37"/>
        <v>-1</v>
      </c>
      <c r="O84" s="13"/>
      <c r="P84" s="1">
        <f>SUM(OSRRefP22_8x_0)</f>
        <v>0</v>
      </c>
      <c r="Q84" s="1"/>
      <c r="R84" s="5">
        <f t="shared" si="38"/>
        <v>0</v>
      </c>
      <c r="S84" s="1"/>
      <c r="T84" s="1">
        <f>SUM(OSRRefT22_8x_0)</f>
        <v>7500</v>
      </c>
      <c r="U84" s="1"/>
      <c r="V84" s="5">
        <f t="shared" si="39"/>
        <v>4.8632923652826669E-3</v>
      </c>
      <c r="W84" s="1"/>
      <c r="X84" s="1">
        <f t="shared" si="40"/>
        <v>-7500</v>
      </c>
      <c r="Y84" s="1"/>
      <c r="Z84" s="5">
        <f t="shared" si="41"/>
        <v>-1</v>
      </c>
    </row>
    <row r="85" spans="1:26" s="24" customFormat="1" hidden="1" outlineLevel="2" x14ac:dyDescent="0.25">
      <c r="A85" s="26"/>
      <c r="B85" s="11" t="str">
        <f>CONCATENATE("          ", "6408", " - ", "INVENTORY ADJUSTMENT")</f>
        <v xml:space="preserve">          6408 - INVENTORY ADJUSTMENT</v>
      </c>
      <c r="C85" s="11"/>
      <c r="D85" s="6"/>
      <c r="E85" s="2"/>
      <c r="F85" s="7">
        <f t="shared" si="34"/>
        <v>0</v>
      </c>
      <c r="G85" s="2"/>
      <c r="H85" s="6">
        <v>1250</v>
      </c>
      <c r="I85" s="2"/>
      <c r="J85" s="7">
        <f t="shared" si="35"/>
        <v>7.0140026988760127E-3</v>
      </c>
      <c r="K85" s="2"/>
      <c r="L85" s="6">
        <f t="shared" si="36"/>
        <v>-1250</v>
      </c>
      <c r="M85" s="2"/>
      <c r="N85" s="7">
        <f t="shared" si="37"/>
        <v>-1</v>
      </c>
      <c r="O85" s="11"/>
      <c r="P85" s="6"/>
      <c r="Q85" s="2"/>
      <c r="R85" s="7">
        <f t="shared" si="38"/>
        <v>0</v>
      </c>
      <c r="S85" s="2"/>
      <c r="T85" s="6">
        <v>7500</v>
      </c>
      <c r="U85" s="2"/>
      <c r="V85" s="7">
        <f t="shared" si="39"/>
        <v>4.8632923652826669E-3</v>
      </c>
      <c r="W85" s="2"/>
      <c r="X85" s="6">
        <f t="shared" si="40"/>
        <v>-7500</v>
      </c>
      <c r="Y85" s="2"/>
      <c r="Z85" s="7">
        <f t="shared" si="41"/>
        <v>-1</v>
      </c>
    </row>
    <row r="86" spans="1:26" s="27" customFormat="1" outlineLevel="1" collapsed="1" x14ac:dyDescent="0.25">
      <c r="A86" s="25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SUM(OSRRefD22_9x_0)</f>
        <v>197.18</v>
      </c>
      <c r="E86" s="1"/>
      <c r="F86" s="5">
        <f t="shared" si="34"/>
        <v>2.333584191464204E-3</v>
      </c>
      <c r="G86" s="1"/>
      <c r="H86" s="1">
        <f>SUM(OSRRefH22_9x_0)</f>
        <v>0</v>
      </c>
      <c r="I86" s="1"/>
      <c r="J86" s="5">
        <f t="shared" si="35"/>
        <v>0</v>
      </c>
      <c r="K86" s="1"/>
      <c r="L86" s="1">
        <f t="shared" si="36"/>
        <v>197.18</v>
      </c>
      <c r="M86" s="1"/>
      <c r="N86" s="5">
        <f t="shared" si="37"/>
        <v>0</v>
      </c>
      <c r="O86" s="13"/>
      <c r="P86" s="1">
        <f>SUM(OSRRefP22_9x_0)</f>
        <v>197.18</v>
      </c>
      <c r="Q86" s="1"/>
      <c r="R86" s="5">
        <f t="shared" si="38"/>
        <v>1.2453092803090015E-4</v>
      </c>
      <c r="S86" s="1"/>
      <c r="T86" s="1">
        <f>SUM(OSRRefT22_9x_0)</f>
        <v>0</v>
      </c>
      <c r="U86" s="1"/>
      <c r="V86" s="5">
        <f t="shared" si="39"/>
        <v>0</v>
      </c>
      <c r="W86" s="1"/>
      <c r="X86" s="1">
        <f t="shared" si="40"/>
        <v>197.18</v>
      </c>
      <c r="Y86" s="1"/>
      <c r="Z86" s="5">
        <f t="shared" si="41"/>
        <v>0</v>
      </c>
    </row>
    <row r="87" spans="1:26" s="24" customFormat="1" hidden="1" outlineLevel="2" x14ac:dyDescent="0.25">
      <c r="A87" s="26"/>
      <c r="B87" s="11" t="str">
        <f>CONCATENATE("          ", "6375", " - ", "OUTSIDE REPAIRS &amp; MAINTENANCE")</f>
        <v xml:space="preserve">          6375 - OUTSIDE REPAIRS &amp; MAINTENANCE</v>
      </c>
      <c r="C87" s="11"/>
      <c r="D87" s="6">
        <v>197.18</v>
      </c>
      <c r="E87" s="2"/>
      <c r="F87" s="7">
        <f t="shared" si="34"/>
        <v>2.333584191464204E-3</v>
      </c>
      <c r="G87" s="2"/>
      <c r="H87" s="6"/>
      <c r="I87" s="2"/>
      <c r="J87" s="7">
        <f t="shared" si="35"/>
        <v>0</v>
      </c>
      <c r="K87" s="2"/>
      <c r="L87" s="6">
        <f t="shared" si="36"/>
        <v>197.18</v>
      </c>
      <c r="M87" s="2"/>
      <c r="N87" s="7">
        <f t="shared" si="37"/>
        <v>0</v>
      </c>
      <c r="O87" s="11"/>
      <c r="P87" s="6">
        <v>197.18</v>
      </c>
      <c r="Q87" s="2"/>
      <c r="R87" s="7">
        <f t="shared" si="38"/>
        <v>1.2453092803090015E-4</v>
      </c>
      <c r="S87" s="2"/>
      <c r="T87" s="6"/>
      <c r="U87" s="2"/>
      <c r="V87" s="7">
        <f t="shared" si="39"/>
        <v>0</v>
      </c>
      <c r="W87" s="2"/>
      <c r="X87" s="6">
        <f t="shared" si="40"/>
        <v>197.18</v>
      </c>
      <c r="Y87" s="2"/>
      <c r="Z87" s="7">
        <f t="shared" si="41"/>
        <v>0</v>
      </c>
    </row>
    <row r="88" spans="1:26" s="27" customFormat="1" outlineLevel="1" collapsed="1" x14ac:dyDescent="0.25">
      <c r="A88" s="25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SUM(OSRRefD22_10x_0)</f>
        <v>0</v>
      </c>
      <c r="E88" s="1"/>
      <c r="F88" s="5">
        <f t="shared" si="34"/>
        <v>0</v>
      </c>
      <c r="G88" s="1"/>
      <c r="H88" s="1">
        <f>SUM(OSRRefH22_10x_0)</f>
        <v>0</v>
      </c>
      <c r="I88" s="1"/>
      <c r="J88" s="5">
        <f t="shared" si="35"/>
        <v>0</v>
      </c>
      <c r="K88" s="1"/>
      <c r="L88" s="1">
        <f t="shared" si="36"/>
        <v>0</v>
      </c>
      <c r="M88" s="1"/>
      <c r="N88" s="5">
        <f t="shared" si="37"/>
        <v>0</v>
      </c>
      <c r="O88" s="13"/>
      <c r="P88" s="1">
        <f>SUM(OSRRefP22_10x_0)</f>
        <v>-5000</v>
      </c>
      <c r="Q88" s="1"/>
      <c r="R88" s="5">
        <f t="shared" si="38"/>
        <v>-3.1577981547545424E-3</v>
      </c>
      <c r="S88" s="1"/>
      <c r="T88" s="1">
        <f>SUM(OSRRefT22_10x_0)</f>
        <v>258.74</v>
      </c>
      <c r="U88" s="1"/>
      <c r="V88" s="5">
        <f t="shared" si="39"/>
        <v>1.6777710221243164E-4</v>
      </c>
      <c r="W88" s="1"/>
      <c r="X88" s="1">
        <f t="shared" si="40"/>
        <v>-5258.74</v>
      </c>
      <c r="Y88" s="1"/>
      <c r="Z88" s="5">
        <f t="shared" si="41"/>
        <v>-20.324418335008115</v>
      </c>
    </row>
    <row r="89" spans="1:26" s="24" customFormat="1" hidden="1" outlineLevel="2" x14ac:dyDescent="0.25">
      <c r="A89" s="26"/>
      <c r="B89" s="11" t="str">
        <f>CONCATENATE("          ", "6258", " - ", "MEMBERSHIP DUES")</f>
        <v xml:space="preserve">          6258 - MEMBERSHIP DUES</v>
      </c>
      <c r="C89" s="11"/>
      <c r="D89" s="6"/>
      <c r="E89" s="2"/>
      <c r="F89" s="7">
        <f t="shared" si="34"/>
        <v>0</v>
      </c>
      <c r="G89" s="2"/>
      <c r="H89" s="6"/>
      <c r="I89" s="2"/>
      <c r="J89" s="7">
        <f t="shared" si="35"/>
        <v>0</v>
      </c>
      <c r="K89" s="2"/>
      <c r="L89" s="6">
        <f t="shared" si="36"/>
        <v>0</v>
      </c>
      <c r="M89" s="2"/>
      <c r="N89" s="7">
        <f t="shared" si="37"/>
        <v>0</v>
      </c>
      <c r="O89" s="11"/>
      <c r="P89" s="6">
        <v>-5000</v>
      </c>
      <c r="Q89" s="2"/>
      <c r="R89" s="7">
        <f t="shared" si="38"/>
        <v>-3.1577981547545424E-3</v>
      </c>
      <c r="S89" s="2"/>
      <c r="T89" s="6">
        <v>258.74</v>
      </c>
      <c r="U89" s="2"/>
      <c r="V89" s="7">
        <f t="shared" si="39"/>
        <v>1.6777710221243164E-4</v>
      </c>
      <c r="W89" s="2"/>
      <c r="X89" s="6">
        <f t="shared" si="40"/>
        <v>-5258.74</v>
      </c>
      <c r="Y89" s="2"/>
      <c r="Z89" s="7">
        <f t="shared" si="41"/>
        <v>-20.324418335008115</v>
      </c>
    </row>
    <row r="90" spans="1:26" s="27" customFormat="1" outlineLevel="1" collapsed="1" x14ac:dyDescent="0.25">
      <c r="A90" s="25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SUM(OSRRefD22_11x_0)</f>
        <v>0</v>
      </c>
      <c r="E90" s="1"/>
      <c r="F90" s="5">
        <f t="shared" si="34"/>
        <v>0</v>
      </c>
      <c r="G90" s="1"/>
      <c r="H90" s="1">
        <f>SUM(OSRRefH22_11x_0)</f>
        <v>77.25</v>
      </c>
      <c r="I90" s="1"/>
      <c r="J90" s="5">
        <f t="shared" si="35"/>
        <v>4.3346536679053757E-4</v>
      </c>
      <c r="K90" s="1"/>
      <c r="L90" s="1">
        <f t="shared" si="36"/>
        <v>-77.25</v>
      </c>
      <c r="M90" s="1"/>
      <c r="N90" s="5">
        <f t="shared" si="37"/>
        <v>-1</v>
      </c>
      <c r="O90" s="13"/>
      <c r="P90" s="1">
        <f>SUM(OSRRefP22_11x_0)</f>
        <v>2702.03</v>
      </c>
      <c r="Q90" s="1"/>
      <c r="R90" s="5">
        <f t="shared" si="38"/>
        <v>1.7064930696182835E-3</v>
      </c>
      <c r="S90" s="1"/>
      <c r="T90" s="1">
        <f>SUM(OSRRefT22_11x_0)</f>
        <v>1283.43</v>
      </c>
      <c r="U90" s="1"/>
      <c r="V90" s="5">
        <f t="shared" si="39"/>
        <v>8.3222604271663116E-4</v>
      </c>
      <c r="W90" s="1"/>
      <c r="X90" s="1">
        <f t="shared" si="40"/>
        <v>1418.6000000000001</v>
      </c>
      <c r="Y90" s="1"/>
      <c r="Z90" s="5">
        <f t="shared" si="41"/>
        <v>1.1053193395822134</v>
      </c>
    </row>
    <row r="91" spans="1:26" s="24" customFormat="1" hidden="1" outlineLevel="2" x14ac:dyDescent="0.25">
      <c r="A91" s="26"/>
      <c r="B91" s="11" t="str">
        <f>CONCATENATE("          ", "6241", " - ", "OFFICE EXPENSE")</f>
        <v xml:space="preserve">          6241 - OFFICE EXPENSE</v>
      </c>
      <c r="C91" s="11"/>
      <c r="D91" s="6"/>
      <c r="E91" s="2"/>
      <c r="F91" s="7">
        <f t="shared" si="34"/>
        <v>0</v>
      </c>
      <c r="G91" s="2"/>
      <c r="H91" s="6">
        <v>77.25</v>
      </c>
      <c r="I91" s="2"/>
      <c r="J91" s="7">
        <f t="shared" si="35"/>
        <v>4.3346536679053757E-4</v>
      </c>
      <c r="K91" s="2"/>
      <c r="L91" s="6">
        <f t="shared" si="36"/>
        <v>-77.25</v>
      </c>
      <c r="M91" s="2"/>
      <c r="N91" s="7">
        <f t="shared" si="37"/>
        <v>-1</v>
      </c>
      <c r="O91" s="11"/>
      <c r="P91" s="6">
        <v>692.65</v>
      </c>
      <c r="Q91" s="2"/>
      <c r="R91" s="7">
        <f t="shared" si="38"/>
        <v>4.3744977837814679E-4</v>
      </c>
      <c r="S91" s="2"/>
      <c r="T91" s="6">
        <v>1054.67</v>
      </c>
      <c r="U91" s="2"/>
      <c r="V91" s="7">
        <f t="shared" si="39"/>
        <v>6.8388914118568947E-4</v>
      </c>
      <c r="W91" s="2"/>
      <c r="X91" s="6">
        <f t="shared" si="40"/>
        <v>-362.0200000000001</v>
      </c>
      <c r="Y91" s="2"/>
      <c r="Z91" s="7">
        <f t="shared" si="41"/>
        <v>-0.34325428807115027</v>
      </c>
    </row>
    <row r="92" spans="1:26" s="24" customFormat="1" hidden="1" outlineLevel="2" x14ac:dyDescent="0.25">
      <c r="A92" s="26"/>
      <c r="B92" s="11" t="str">
        <f>CONCATENATE("          ", "6247", " - ", "STORE SUPPLIES")</f>
        <v xml:space="preserve">          6247 - STORE SUPPLIES</v>
      </c>
      <c r="C92" s="11"/>
      <c r="D92" s="6"/>
      <c r="E92" s="2"/>
      <c r="F92" s="7">
        <f t="shared" si="34"/>
        <v>0</v>
      </c>
      <c r="G92" s="2"/>
      <c r="H92" s="6"/>
      <c r="I92" s="2"/>
      <c r="J92" s="7">
        <f t="shared" si="35"/>
        <v>0</v>
      </c>
      <c r="K92" s="2"/>
      <c r="L92" s="6">
        <f t="shared" si="36"/>
        <v>0</v>
      </c>
      <c r="M92" s="2"/>
      <c r="N92" s="7">
        <f t="shared" si="37"/>
        <v>0</v>
      </c>
      <c r="O92" s="11"/>
      <c r="P92" s="6">
        <v>2009.38</v>
      </c>
      <c r="Q92" s="2"/>
      <c r="R92" s="7">
        <f t="shared" si="38"/>
        <v>1.2690432912401367E-3</v>
      </c>
      <c r="S92" s="2"/>
      <c r="T92" s="6">
        <v>228.76</v>
      </c>
      <c r="U92" s="2"/>
      <c r="V92" s="7">
        <f t="shared" si="39"/>
        <v>1.4833690153094172E-4</v>
      </c>
      <c r="W92" s="2"/>
      <c r="X92" s="6">
        <f t="shared" si="40"/>
        <v>1780.6200000000001</v>
      </c>
      <c r="Y92" s="2"/>
      <c r="Z92" s="7">
        <f t="shared" si="41"/>
        <v>7.7837908725301634</v>
      </c>
    </row>
    <row r="93" spans="1:26" s="27" customFormat="1" outlineLevel="1" collapsed="1" x14ac:dyDescent="0.25">
      <c r="A93" s="25"/>
      <c r="B93" s="13" t="str">
        <f>CONCATENATE("     ","Telephone/Data Lines                              ")</f>
        <v xml:space="preserve">     Telephone/Data Lines                              </v>
      </c>
      <c r="C93" s="13"/>
      <c r="D93" s="1">
        <f>SUM(OSRRefD22_12x_0)</f>
        <v>257</v>
      </c>
      <c r="E93" s="1"/>
      <c r="F93" s="5">
        <f t="shared" ref="F93:F98" si="42">IF(D$12=0,0,D93/D$12)</f>
        <v>3.041541420054267E-3</v>
      </c>
      <c r="G93" s="1"/>
      <c r="H93" s="1">
        <f>SUM(OSRRefH22_12x_0)</f>
        <v>242.45</v>
      </c>
      <c r="I93" s="1"/>
      <c r="J93" s="5">
        <f t="shared" ref="J93:J98" si="43">IF(H$12=0,0,H93/H$12)</f>
        <v>1.3604359634739912E-3</v>
      </c>
      <c r="K93" s="1"/>
      <c r="L93" s="1">
        <f t="shared" ref="L93:L98" si="44">+D93-H93</f>
        <v>14.550000000000011</v>
      </c>
      <c r="M93" s="1"/>
      <c r="N93" s="5">
        <f t="shared" ref="N93:N98" si="45">IF(H93=0,0,L93/H93)</f>
        <v>6.0012373685295987E-2</v>
      </c>
      <c r="O93" s="13"/>
      <c r="P93" s="1">
        <f>SUM(OSRRefP22_12x_0)</f>
        <v>1536.15</v>
      </c>
      <c r="Q93" s="1"/>
      <c r="R93" s="5">
        <f t="shared" ref="R93:R98" si="46">IF(P$12=0,0,P93/P$12)</f>
        <v>9.7017032708523814E-4</v>
      </c>
      <c r="S93" s="1"/>
      <c r="T93" s="1">
        <f>SUM(OSRRefT22_12x_0)</f>
        <v>2017.85</v>
      </c>
      <c r="U93" s="1"/>
      <c r="V93" s="5">
        <f t="shared" ref="V93:V98" si="47">IF(T$12=0,0,T93/T$12)</f>
        <v>1.3084525999047505E-3</v>
      </c>
      <c r="W93" s="1"/>
      <c r="X93" s="1">
        <f t="shared" ref="X93:X98" si="48">+P93-T93</f>
        <v>-481.69999999999982</v>
      </c>
      <c r="Y93" s="1"/>
      <c r="Z93" s="5">
        <f t="shared" ref="Z93:Z98" si="49">IF(T93=0,0,X93/T93)</f>
        <v>-0.23871942909532415</v>
      </c>
    </row>
    <row r="94" spans="1:26" s="24" customFormat="1" hidden="1" outlineLevel="2" x14ac:dyDescent="0.25">
      <c r="A94" s="26"/>
      <c r="B94" s="11" t="str">
        <f>CONCATENATE("          ", "6309", " - ", "TELEPHONE")</f>
        <v xml:space="preserve">          6309 - TELEPHONE</v>
      </c>
      <c r="C94" s="11"/>
      <c r="D94" s="6">
        <v>257</v>
      </c>
      <c r="E94" s="2"/>
      <c r="F94" s="7">
        <f t="shared" si="42"/>
        <v>3.041541420054267E-3</v>
      </c>
      <c r="G94" s="2"/>
      <c r="H94" s="6">
        <v>242.45</v>
      </c>
      <c r="I94" s="2"/>
      <c r="J94" s="7">
        <f t="shared" si="43"/>
        <v>1.3604359634739912E-3</v>
      </c>
      <c r="K94" s="2"/>
      <c r="L94" s="6">
        <f t="shared" si="44"/>
        <v>14.550000000000011</v>
      </c>
      <c r="M94" s="2"/>
      <c r="N94" s="7">
        <f t="shared" si="45"/>
        <v>6.0012373685295987E-2</v>
      </c>
      <c r="O94" s="11"/>
      <c r="P94" s="6">
        <v>1536.15</v>
      </c>
      <c r="Q94" s="2"/>
      <c r="R94" s="7">
        <f t="shared" si="46"/>
        <v>9.7017032708523814E-4</v>
      </c>
      <c r="S94" s="2"/>
      <c r="T94" s="6">
        <v>2017.85</v>
      </c>
      <c r="U94" s="2"/>
      <c r="V94" s="7">
        <f t="shared" si="47"/>
        <v>1.3084525999047505E-3</v>
      </c>
      <c r="W94" s="2"/>
      <c r="X94" s="6">
        <f t="shared" si="48"/>
        <v>-481.69999999999982</v>
      </c>
      <c r="Y94" s="2"/>
      <c r="Z94" s="7">
        <f t="shared" si="49"/>
        <v>-0.23871942909532415</v>
      </c>
    </row>
    <row r="95" spans="1:26" s="27" customFormat="1" outlineLevel="1" collapsed="1" x14ac:dyDescent="0.25">
      <c r="A95" s="25"/>
      <c r="B95" s="13" t="str">
        <f>CONCATENATE("     ","Training                                          ")</f>
        <v xml:space="preserve">     Training                                          </v>
      </c>
      <c r="C95" s="13"/>
      <c r="D95" s="1">
        <f>SUM(OSRRefD22_13x_0)</f>
        <v>0</v>
      </c>
      <c r="E95" s="1"/>
      <c r="F95" s="5">
        <f t="shared" si="42"/>
        <v>0</v>
      </c>
      <c r="G95" s="1"/>
      <c r="H95" s="1">
        <f>SUM(OSRRefH22_13x_0)</f>
        <v>0</v>
      </c>
      <c r="I95" s="1"/>
      <c r="J95" s="5">
        <f t="shared" si="43"/>
        <v>0</v>
      </c>
      <c r="K95" s="1"/>
      <c r="L95" s="1">
        <f t="shared" si="44"/>
        <v>0</v>
      </c>
      <c r="M95" s="1"/>
      <c r="N95" s="5">
        <f t="shared" si="45"/>
        <v>0</v>
      </c>
      <c r="O95" s="13"/>
      <c r="P95" s="1">
        <f>SUM(OSRRefP22_13x_0)</f>
        <v>1163.6400000000001</v>
      </c>
      <c r="Q95" s="1"/>
      <c r="R95" s="5">
        <f t="shared" si="46"/>
        <v>7.3490804895971523E-4</v>
      </c>
      <c r="S95" s="1"/>
      <c r="T95" s="1">
        <f>SUM(OSRRefT22_13x_0)</f>
        <v>0</v>
      </c>
      <c r="U95" s="1"/>
      <c r="V95" s="5">
        <f t="shared" si="47"/>
        <v>0</v>
      </c>
      <c r="W95" s="1"/>
      <c r="X95" s="1">
        <f t="shared" si="48"/>
        <v>1163.6400000000001</v>
      </c>
      <c r="Y95" s="1"/>
      <c r="Z95" s="5">
        <f t="shared" si="49"/>
        <v>0</v>
      </c>
    </row>
    <row r="96" spans="1:26" s="24" customFormat="1" hidden="1" outlineLevel="2" x14ac:dyDescent="0.25">
      <c r="A96" s="26"/>
      <c r="B96" s="11" t="str">
        <f>CONCATENATE("          ", "6376", " - ", "TRAINING")</f>
        <v xml:space="preserve">          6376 - TRAINING</v>
      </c>
      <c r="C96" s="11"/>
      <c r="D96" s="6"/>
      <c r="E96" s="2"/>
      <c r="F96" s="7">
        <f t="shared" si="42"/>
        <v>0</v>
      </c>
      <c r="G96" s="2"/>
      <c r="H96" s="6"/>
      <c r="I96" s="2"/>
      <c r="J96" s="7">
        <f t="shared" si="43"/>
        <v>0</v>
      </c>
      <c r="K96" s="2"/>
      <c r="L96" s="6">
        <f t="shared" si="44"/>
        <v>0</v>
      </c>
      <c r="M96" s="2"/>
      <c r="N96" s="7">
        <f t="shared" si="45"/>
        <v>0</v>
      </c>
      <c r="O96" s="11"/>
      <c r="P96" s="6">
        <v>1163.6400000000001</v>
      </c>
      <c r="Q96" s="2"/>
      <c r="R96" s="7">
        <f t="shared" si="46"/>
        <v>7.3490804895971523E-4</v>
      </c>
      <c r="S96" s="2"/>
      <c r="T96" s="6"/>
      <c r="U96" s="2"/>
      <c r="V96" s="7">
        <f t="shared" si="47"/>
        <v>0</v>
      </c>
      <c r="W96" s="2"/>
      <c r="X96" s="6">
        <f t="shared" si="48"/>
        <v>1163.6400000000001</v>
      </c>
      <c r="Y96" s="2"/>
      <c r="Z96" s="7">
        <f t="shared" si="49"/>
        <v>0</v>
      </c>
    </row>
    <row r="97" spans="1:26" s="27" customFormat="1" outlineLevel="1" collapsed="1" x14ac:dyDescent="0.25">
      <c r="A97" s="25"/>
      <c r="B97" s="13" t="str">
        <f>CONCATENATE("     ","Travel                                            ")</f>
        <v xml:space="preserve">     Travel                                            </v>
      </c>
      <c r="C97" s="13"/>
      <c r="D97" s="1">
        <f>SUM(OSRRefD22_14x_0)</f>
        <v>0</v>
      </c>
      <c r="E97" s="1"/>
      <c r="F97" s="5">
        <f t="shared" si="42"/>
        <v>0</v>
      </c>
      <c r="G97" s="1"/>
      <c r="H97" s="1">
        <f>SUM(OSRRefH22_14x_0)</f>
        <v>0</v>
      </c>
      <c r="I97" s="1"/>
      <c r="J97" s="5">
        <f t="shared" si="43"/>
        <v>0</v>
      </c>
      <c r="K97" s="1"/>
      <c r="L97" s="1">
        <f t="shared" si="44"/>
        <v>0</v>
      </c>
      <c r="M97" s="1"/>
      <c r="N97" s="5">
        <f t="shared" si="45"/>
        <v>0</v>
      </c>
      <c r="O97" s="13"/>
      <c r="P97" s="1">
        <f>SUM(OSRRefP22_14x_0)</f>
        <v>-178.06</v>
      </c>
      <c r="Q97" s="1"/>
      <c r="R97" s="5">
        <f t="shared" si="46"/>
        <v>-1.1245550788711877E-4</v>
      </c>
      <c r="S97" s="1"/>
      <c r="T97" s="1">
        <f>SUM(OSRRefT22_14x_0)</f>
        <v>113.4</v>
      </c>
      <c r="U97" s="1"/>
      <c r="V97" s="5">
        <f t="shared" si="47"/>
        <v>7.3532980563073935E-5</v>
      </c>
      <c r="W97" s="1"/>
      <c r="X97" s="1">
        <f t="shared" si="48"/>
        <v>-291.46000000000004</v>
      </c>
      <c r="Y97" s="1"/>
      <c r="Z97" s="5">
        <f t="shared" si="49"/>
        <v>-2.570194003527337</v>
      </c>
    </row>
    <row r="98" spans="1:26" s="24" customFormat="1" hidden="1" outlineLevel="2" x14ac:dyDescent="0.25">
      <c r="A98" s="26"/>
      <c r="B98" s="11" t="str">
        <f>CONCATENATE("          ", "6292", " - ", "TRAVEL/CONFERENCE")</f>
        <v xml:space="preserve">          6292 - TRAVEL/CONFERENCE</v>
      </c>
      <c r="C98" s="11"/>
      <c r="D98" s="6"/>
      <c r="E98" s="2"/>
      <c r="F98" s="7">
        <f t="shared" si="42"/>
        <v>0</v>
      </c>
      <c r="G98" s="2"/>
      <c r="H98" s="6"/>
      <c r="I98" s="2"/>
      <c r="J98" s="7">
        <f t="shared" si="43"/>
        <v>0</v>
      </c>
      <c r="K98" s="2"/>
      <c r="L98" s="6">
        <f t="shared" si="44"/>
        <v>0</v>
      </c>
      <c r="M98" s="2"/>
      <c r="N98" s="7">
        <f t="shared" si="45"/>
        <v>0</v>
      </c>
      <c r="O98" s="11"/>
      <c r="P98" s="6">
        <v>-178.06</v>
      </c>
      <c r="Q98" s="2"/>
      <c r="R98" s="7">
        <f t="shared" si="46"/>
        <v>-1.1245550788711877E-4</v>
      </c>
      <c r="S98" s="2"/>
      <c r="T98" s="6">
        <v>113.4</v>
      </c>
      <c r="U98" s="2"/>
      <c r="V98" s="7">
        <f t="shared" si="47"/>
        <v>7.3532980563073935E-5</v>
      </c>
      <c r="W98" s="2"/>
      <c r="X98" s="6">
        <f t="shared" si="48"/>
        <v>-291.46000000000004</v>
      </c>
      <c r="Y98" s="2"/>
      <c r="Z98" s="7">
        <f t="shared" si="49"/>
        <v>-2.570194003527337</v>
      </c>
    </row>
    <row r="99" spans="1:26" s="61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8" t="s">
        <v>0</v>
      </c>
      <c r="C100" s="10"/>
      <c r="D100" s="4">
        <f>SUM(OSRRefD25x_0)</f>
        <v>4.9300000000000068</v>
      </c>
      <c r="E100" s="4"/>
      <c r="F100" s="12">
        <f t="shared" ref="F100:F104" si="50">IF(D$12=0,0,D100/D$12)</f>
        <v>5.8345522182364038E-5</v>
      </c>
      <c r="G100" s="4"/>
      <c r="H100" s="4">
        <f>SUM(OSRRefH25x_0)</f>
        <v>556.62</v>
      </c>
      <c r="I100" s="4"/>
      <c r="J100" s="12">
        <f t="shared" ref="J100:J104" si="51">IF(H$12=0,0,H100/H$12)</f>
        <v>3.1233073457986927E-3</v>
      </c>
      <c r="K100" s="4"/>
      <c r="L100" s="4">
        <f t="shared" ref="L100:L104" si="52">+D100-H100</f>
        <v>-551.69000000000005</v>
      </c>
      <c r="M100" s="4"/>
      <c r="N100" s="12">
        <f t="shared" ref="N100:N104" si="53">IF(H100=0,0,L100/H100)</f>
        <v>-0.99114297006934726</v>
      </c>
      <c r="O100" s="10"/>
      <c r="P100" s="4">
        <f>SUM(OSRRefP25x_0)</f>
        <v>7236.66</v>
      </c>
      <c r="Q100" s="4"/>
      <c r="R100" s="12">
        <f t="shared" ref="R100:R104" si="54">IF(P$12=0,0,P100/P$12)</f>
        <v>4.5703823189172012E-3</v>
      </c>
      <c r="S100" s="4"/>
      <c r="T100" s="4">
        <f>SUM(OSRRefT25x_0)</f>
        <v>6587.49</v>
      </c>
      <c r="U100" s="4"/>
      <c r="V100" s="12">
        <f t="shared" ref="V100:V104" si="55">IF(T$12=0,0,T100/T$12)</f>
        <v>4.2715853097834555E-3</v>
      </c>
      <c r="W100" s="4"/>
      <c r="X100" s="4">
        <f t="shared" ref="X100:X104" si="56">+P100-T100</f>
        <v>649.17000000000007</v>
      </c>
      <c r="Y100" s="4"/>
      <c r="Z100" s="12">
        <f t="shared" ref="Z100:Z104" si="57">IF(T100=0,0,X100/T100)</f>
        <v>9.8545880145548617E-2</v>
      </c>
    </row>
    <row r="101" spans="1:26" s="24" customFormat="1" hidden="1" outlineLevel="1" x14ac:dyDescent="0.25">
      <c r="A101" s="44"/>
      <c r="B101" s="11" t="str">
        <f>CONCATENATE("          ", "4187", " - ", "NON-TAXABLE SALES-COMPUTER REP")</f>
        <v xml:space="preserve">          4187 - NON-TAXABLE SALES-COMPUTER REP</v>
      </c>
      <c r="C101" s="11"/>
      <c r="D101" s="2">
        <f>--456.99</f>
        <v>456.99</v>
      </c>
      <c r="E101" s="2"/>
      <c r="F101" s="19">
        <f t="shared" si="50"/>
        <v>5.4083813756832669E-3</v>
      </c>
      <c r="G101" s="2"/>
      <c r="H101" s="2">
        <f>--348.37</f>
        <v>348.37</v>
      </c>
      <c r="I101" s="2"/>
      <c r="J101" s="19">
        <f t="shared" si="51"/>
        <v>1.9547744961659493E-3</v>
      </c>
      <c r="K101" s="2"/>
      <c r="L101" s="2">
        <f t="shared" si="52"/>
        <v>108.62</v>
      </c>
      <c r="M101" s="2"/>
      <c r="N101" s="19">
        <f t="shared" si="53"/>
        <v>0.31179493067715364</v>
      </c>
      <c r="O101" s="11"/>
      <c r="P101" s="2">
        <f>--13188.92</f>
        <v>13188.92</v>
      </c>
      <c r="Q101" s="2"/>
      <c r="R101" s="19">
        <f t="shared" si="54"/>
        <v>8.329589447841056E-3</v>
      </c>
      <c r="S101" s="2"/>
      <c r="T101" s="2">
        <f>--5309.75</f>
        <v>5309.75</v>
      </c>
      <c r="U101" s="2"/>
      <c r="V101" s="19">
        <f t="shared" si="55"/>
        <v>3.4430488848746191E-3</v>
      </c>
      <c r="W101" s="2"/>
      <c r="X101" s="2">
        <f t="shared" si="56"/>
        <v>7879.17</v>
      </c>
      <c r="Y101" s="2"/>
      <c r="Z101" s="19">
        <f t="shared" si="57"/>
        <v>1.4839060219407694</v>
      </c>
    </row>
    <row r="102" spans="1:26" s="24" customFormat="1" hidden="1" outlineLevel="1" x14ac:dyDescent="0.25">
      <c r="A102" s="44"/>
      <c r="B102" s="11" t="str">
        <f>CONCATENATE("          ", "4387", " - ", "SALES RETURN NON TAXABLE-COMPU")</f>
        <v xml:space="preserve">          4387 - SALES RETURN NON TAXABLE-COMPU</v>
      </c>
      <c r="C102" s="11"/>
      <c r="D102" s="2">
        <f>0</f>
        <v>0</v>
      </c>
      <c r="E102" s="2"/>
      <c r="F102" s="19">
        <f t="shared" si="50"/>
        <v>0</v>
      </c>
      <c r="G102" s="2"/>
      <c r="H102" s="2">
        <f t="shared" ref="H102:H103" si="58">0</f>
        <v>0</v>
      </c>
      <c r="I102" s="2"/>
      <c r="J102" s="19">
        <f t="shared" si="51"/>
        <v>0</v>
      </c>
      <c r="K102" s="2"/>
      <c r="L102" s="2">
        <f t="shared" si="52"/>
        <v>0</v>
      </c>
      <c r="M102" s="2"/>
      <c r="N102" s="19">
        <f t="shared" si="53"/>
        <v>0</v>
      </c>
      <c r="O102" s="11"/>
      <c r="P102" s="2">
        <f>-7889</f>
        <v>-7889</v>
      </c>
      <c r="Q102" s="2"/>
      <c r="R102" s="19">
        <f t="shared" si="54"/>
        <v>-4.9823739285717169E-3</v>
      </c>
      <c r="S102" s="2"/>
      <c r="T102" s="2">
        <f t="shared" ref="T102:T103" si="59">0</f>
        <v>0</v>
      </c>
      <c r="U102" s="2"/>
      <c r="V102" s="19">
        <f t="shared" si="55"/>
        <v>0</v>
      </c>
      <c r="W102" s="2"/>
      <c r="X102" s="2">
        <f t="shared" si="56"/>
        <v>-7889</v>
      </c>
      <c r="Y102" s="2"/>
      <c r="Z102" s="19">
        <f t="shared" si="57"/>
        <v>0</v>
      </c>
    </row>
    <row r="103" spans="1:26" s="24" customFormat="1" hidden="1" outlineLevel="1" x14ac:dyDescent="0.25">
      <c r="A103" s="44"/>
      <c r="B103" s="11" t="str">
        <f>CONCATENATE("          ", "5087", " - ", "PURCHASES @ COST-COMPUTER REPA")</f>
        <v xml:space="preserve">          5087 - PURCHASES @ COST-COMPUTER REPA</v>
      </c>
      <c r="C103" s="11"/>
      <c r="D103" s="2">
        <f>-56.72</f>
        <v>-56.72</v>
      </c>
      <c r="E103" s="2"/>
      <c r="F103" s="19">
        <f t="shared" si="50"/>
        <v>-6.7126937488512853E-4</v>
      </c>
      <c r="G103" s="2"/>
      <c r="H103" s="2">
        <f t="shared" si="58"/>
        <v>0</v>
      </c>
      <c r="I103" s="2"/>
      <c r="J103" s="19">
        <f t="shared" si="51"/>
        <v>0</v>
      </c>
      <c r="K103" s="2"/>
      <c r="L103" s="2">
        <f t="shared" si="52"/>
        <v>-56.72</v>
      </c>
      <c r="M103" s="2"/>
      <c r="N103" s="19">
        <f t="shared" si="53"/>
        <v>0</v>
      </c>
      <c r="O103" s="11"/>
      <c r="P103" s="2">
        <f>-56.72</f>
        <v>-56.72</v>
      </c>
      <c r="Q103" s="2"/>
      <c r="R103" s="19">
        <f t="shared" si="54"/>
        <v>-3.5822062267535532E-5</v>
      </c>
      <c r="S103" s="2"/>
      <c r="T103" s="2">
        <f t="shared" si="59"/>
        <v>0</v>
      </c>
      <c r="U103" s="2"/>
      <c r="V103" s="19">
        <f t="shared" si="55"/>
        <v>0</v>
      </c>
      <c r="W103" s="2"/>
      <c r="X103" s="2">
        <f t="shared" si="56"/>
        <v>-56.72</v>
      </c>
      <c r="Y103" s="2"/>
      <c r="Z103" s="19">
        <f t="shared" si="57"/>
        <v>0</v>
      </c>
    </row>
    <row r="104" spans="1:26" s="24" customFormat="1" hidden="1" outlineLevel="1" x14ac:dyDescent="0.25">
      <c r="A104" s="44"/>
      <c r="B104" s="11" t="str">
        <f>CONCATENATE("          ", "9150", " - ", "MISC. INCOME")</f>
        <v xml:space="preserve">          9150 - MISC. INCOME</v>
      </c>
      <c r="C104" s="11"/>
      <c r="D104" s="2">
        <f>-395.34</f>
        <v>-395.34</v>
      </c>
      <c r="E104" s="2"/>
      <c r="F104" s="19">
        <f t="shared" si="50"/>
        <v>-4.6787664786157738E-3</v>
      </c>
      <c r="G104" s="2"/>
      <c r="H104" s="2">
        <f>--208.25</f>
        <v>208.25</v>
      </c>
      <c r="I104" s="2"/>
      <c r="J104" s="19">
        <f t="shared" si="51"/>
        <v>1.1685328496327436E-3</v>
      </c>
      <c r="K104" s="2"/>
      <c r="L104" s="2">
        <f t="shared" si="52"/>
        <v>-603.58999999999992</v>
      </c>
      <c r="M104" s="2"/>
      <c r="N104" s="19">
        <f t="shared" si="53"/>
        <v>-2.8983913565426165</v>
      </c>
      <c r="O104" s="11"/>
      <c r="P104" s="2">
        <f>--1993.46</f>
        <v>1993.46</v>
      </c>
      <c r="Q104" s="2"/>
      <c r="R104" s="19">
        <f t="shared" si="54"/>
        <v>1.2589888619153982E-3</v>
      </c>
      <c r="S104" s="2"/>
      <c r="T104" s="2">
        <f>--1277.74</f>
        <v>1277.74</v>
      </c>
      <c r="U104" s="2"/>
      <c r="V104" s="19">
        <f t="shared" si="55"/>
        <v>8.2853642490883668E-4</v>
      </c>
      <c r="W104" s="2"/>
      <c r="X104" s="2">
        <f t="shared" si="56"/>
        <v>715.72</v>
      </c>
      <c r="Y104" s="2"/>
      <c r="Z104" s="19">
        <f t="shared" si="57"/>
        <v>0.56014525646845215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9" t="s">
        <v>3</v>
      </c>
      <c r="C106" s="29"/>
      <c r="D106" s="20">
        <f>+D54-D56+D100</f>
        <v>647.42000000000894</v>
      </c>
      <c r="E106" s="14"/>
      <c r="F106" s="21">
        <f>IF(D$12=0,0,D106/D$12)</f>
        <v>7.6620807244029603E-3</v>
      </c>
      <c r="G106" s="14"/>
      <c r="H106" s="20">
        <f>+H54-H56+H100</f>
        <v>23815.570000000058</v>
      </c>
      <c r="I106" s="14"/>
      <c r="J106" s="21">
        <f>IF(H$12=0,0,H106/H$12)</f>
        <v>0.13363397780421679</v>
      </c>
      <c r="K106" s="15"/>
      <c r="L106" s="20">
        <f>+D106-H106</f>
        <v>-23168.150000000049</v>
      </c>
      <c r="M106" s="15"/>
      <c r="N106" s="21">
        <f>IF(H106=0,0,L106/H106)</f>
        <v>-0.97281526329203927</v>
      </c>
      <c r="O106" s="28"/>
      <c r="P106" s="20">
        <f>+P54-P56+P100</f>
        <v>55137.630000000179</v>
      </c>
      <c r="Q106" s="14"/>
      <c r="R106" s="21">
        <f>IF(P$12=0,0,P106/P$12)</f>
        <v>3.4822701254307857E-2</v>
      </c>
      <c r="S106" s="14"/>
      <c r="T106" s="20">
        <f>+T54-T56+T100</f>
        <v>71946.200000000026</v>
      </c>
      <c r="U106" s="14"/>
      <c r="V106" s="21">
        <f>IF(T$12=0,0,T106/T$12)</f>
        <v>4.6652720689479996E-2</v>
      </c>
      <c r="W106" s="15"/>
      <c r="X106" s="20">
        <f>+P106-T106</f>
        <v>-16808.569999999847</v>
      </c>
      <c r="Y106" s="15"/>
      <c r="Z106" s="21">
        <f>IF(T106=0,0,X106/T106)</f>
        <v>-0.23362693234666793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1"/>
      <c r="B108" s="10" t="s">
        <v>13</v>
      </c>
      <c r="C108" s="10"/>
      <c r="D108" s="4">
        <v>12295.62</v>
      </c>
      <c r="E108" s="4"/>
      <c r="F108" s="12">
        <f>IF(D$12=0,0,D108/D$12)</f>
        <v>0.14551609928111925</v>
      </c>
      <c r="G108" s="4"/>
      <c r="H108" s="4">
        <v>22904.870000000003</v>
      </c>
      <c r="I108" s="4"/>
      <c r="J108" s="12">
        <f>IF(H$12=0,0,H108/H$12)</f>
        <v>0.12852385599792338</v>
      </c>
      <c r="K108" s="4"/>
      <c r="L108" s="4">
        <f>+D108-H108</f>
        <v>-10609.250000000002</v>
      </c>
      <c r="M108" s="4"/>
      <c r="N108" s="12">
        <f>IF(H108=0,0,L108/H108)</f>
        <v>-0.46318752300275012</v>
      </c>
      <c r="O108" s="10"/>
      <c r="P108" s="4">
        <v>171017.42</v>
      </c>
      <c r="Q108" s="4"/>
      <c r="R108" s="12">
        <f>IF(P$12=0,0,P108/P$12)</f>
        <v>0.10800769866137652</v>
      </c>
      <c r="S108" s="4"/>
      <c r="T108" s="4">
        <v>166422.97</v>
      </c>
      <c r="U108" s="4"/>
      <c r="V108" s="12">
        <f>IF(T$12=0,0,T108/T$12)</f>
        <v>0.10791514125448885</v>
      </c>
      <c r="W108" s="4"/>
      <c r="X108" s="4">
        <f>+P108-T108</f>
        <v>4594.4500000000116</v>
      </c>
      <c r="Y108" s="4"/>
      <c r="Z108" s="12">
        <f>IF(T108=0,0,X108/T108)</f>
        <v>2.7607066500495766E-2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4</v>
      </c>
      <c r="C110" s="29"/>
      <c r="D110" s="32">
        <f>+D106-D108</f>
        <v>-11648.199999999992</v>
      </c>
      <c r="E110" s="14"/>
      <c r="F110" s="30">
        <f>IF(D$12=0,0,D110/D$12)</f>
        <v>-0.13785401855671631</v>
      </c>
      <c r="G110" s="14"/>
      <c r="H110" s="32">
        <f>+H106-H108</f>
        <v>910.7000000000553</v>
      </c>
      <c r="I110" s="14"/>
      <c r="J110" s="30">
        <f>IF(H$12=0,0,H110/H$12)</f>
        <v>5.1101218062934179E-3</v>
      </c>
      <c r="K110" s="15"/>
      <c r="L110" s="32">
        <f>D110-H110</f>
        <v>-12558.900000000047</v>
      </c>
      <c r="M110" s="15"/>
      <c r="N110" s="30">
        <f>IF(H110=0,0,L110/H110)</f>
        <v>-13.79038102558393</v>
      </c>
      <c r="O110" s="28"/>
      <c r="P110" s="32">
        <f>+P106-P108</f>
        <v>-115879.78999999983</v>
      </c>
      <c r="Q110" s="14"/>
      <c r="R110" s="30">
        <f>IF(P$12=0,0,P110/P$12)</f>
        <v>-7.3184997407068672E-2</v>
      </c>
      <c r="S110" s="14"/>
      <c r="T110" s="32">
        <f>+T106-T108</f>
        <v>-94476.769999999975</v>
      </c>
      <c r="U110" s="14"/>
      <c r="V110" s="30">
        <f>IF(T$12=0,0,T110/T$12)</f>
        <v>-6.1262420565008857E-2</v>
      </c>
      <c r="W110" s="15"/>
      <c r="X110" s="32">
        <f>P110-T110</f>
        <v>-21403.019999999859</v>
      </c>
      <c r="Y110" s="15"/>
      <c r="Z110" s="30">
        <f>IF(T110=0,0,X110/T110)</f>
        <v>0.22654267287080057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5</v>
      </c>
      <c r="C113" s="29"/>
      <c r="D113" s="36">
        <f>SUM(D110:D112)</f>
        <v>-11648.199999999992</v>
      </c>
      <c r="E113" s="14"/>
      <c r="F113" s="31">
        <f>IF(D$12=0,0,D113/D$12)</f>
        <v>-0.13785401855671631</v>
      </c>
      <c r="G113" s="14"/>
      <c r="H113" s="36">
        <f>SUM(H110:H112)</f>
        <v>910.7000000000553</v>
      </c>
      <c r="I113" s="14"/>
      <c r="J113" s="31">
        <f>IF(H$12=0,0,H113/H$12)</f>
        <v>5.1101218062934179E-3</v>
      </c>
      <c r="K113" s="15"/>
      <c r="L113" s="36">
        <f>+D113-H113</f>
        <v>-12558.900000000047</v>
      </c>
      <c r="M113" s="15"/>
      <c r="N113" s="31">
        <f>IF(H113=0,0,L113/H113)</f>
        <v>-13.79038102558393</v>
      </c>
      <c r="O113" s="28"/>
      <c r="P113" s="36">
        <f>SUM(P110:P112)</f>
        <v>-115879.78999999983</v>
      </c>
      <c r="Q113" s="14"/>
      <c r="R113" s="31">
        <f>IF(P$12=0,0,P113/P$12)</f>
        <v>-7.3184997407068672E-2</v>
      </c>
      <c r="S113" s="14"/>
      <c r="T113" s="36">
        <f>SUM(T110:T112)</f>
        <v>-94476.769999999975</v>
      </c>
      <c r="U113" s="14"/>
      <c r="V113" s="31">
        <f>IF(T$12=0,0,T113/T$12)</f>
        <v>-6.1262420565008857E-2</v>
      </c>
      <c r="W113" s="15"/>
      <c r="X113" s="36">
        <f>+P113-T113</f>
        <v>-21403.019999999859</v>
      </c>
      <c r="Y113" s="15"/>
      <c r="Z113" s="31">
        <f>IF(T113=0,0,X113/T113)</f>
        <v>0.22654267287080057</v>
      </c>
    </row>
    <row r="114" spans="1:26" ht="15.75" thickTop="1" x14ac:dyDescent="0.25">
      <c r="A114" s="9"/>
      <c r="C114" s="9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6" x14ac:dyDescent="0.25">
      <c r="A115" s="9"/>
      <c r="B115" s="62">
        <v>43847.453782638891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56" t="s">
        <v>313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4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207967.3</v>
      </c>
      <c r="E12" s="4"/>
      <c r="F12" s="12"/>
      <c r="G12" s="4"/>
      <c r="H12" s="4">
        <f>SUM(OSRRefH13x_0)</f>
        <v>232951.94999999998</v>
      </c>
      <c r="I12" s="4"/>
      <c r="J12" s="12"/>
      <c r="K12" s="4"/>
      <c r="L12" s="4">
        <f t="shared" ref="L12:L22" si="0">+D12-H12</f>
        <v>-24984.649999999994</v>
      </c>
      <c r="M12" s="4"/>
      <c r="N12" s="12">
        <f t="shared" ref="N12:N22" si="1">IF(H12=0,0,L12/H12)</f>
        <v>-0.10725237543622192</v>
      </c>
      <c r="O12" s="10"/>
      <c r="P12" s="4">
        <f>SUM(OSRRefP13x_0)</f>
        <v>1626792.8199999998</v>
      </c>
      <c r="Q12" s="4"/>
      <c r="R12" s="12"/>
      <c r="S12" s="4"/>
      <c r="T12" s="4">
        <f>SUM(OSRRefT13x_0)</f>
        <v>1554521.15</v>
      </c>
      <c r="U12" s="4"/>
      <c r="V12" s="12"/>
      <c r="W12" s="4"/>
      <c r="X12" s="4">
        <f t="shared" ref="X12:X22" si="2">+P12-T12</f>
        <v>72271.669999999925</v>
      </c>
      <c r="Y12" s="4"/>
      <c r="Z12" s="12">
        <f t="shared" ref="Z12:Z22" si="3">IF(T12=0,0,X12/T12)</f>
        <v>4.6491274821188464E-2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--28435.15</f>
        <v>28435.15</v>
      </c>
      <c r="E13" s="2"/>
      <c r="F13" s="19"/>
      <c r="G13" s="2"/>
      <c r="H13" s="2">
        <f>--33417.75</f>
        <v>33417.75</v>
      </c>
      <c r="I13" s="2"/>
      <c r="J13" s="19"/>
      <c r="K13" s="2"/>
      <c r="L13" s="2">
        <f t="shared" si="0"/>
        <v>-4982.5999999999985</v>
      </c>
      <c r="M13" s="2"/>
      <c r="N13" s="19">
        <f t="shared" si="1"/>
        <v>-0.14910040322882295</v>
      </c>
      <c r="O13" s="11"/>
      <c r="P13" s="2">
        <f>--189948.88</f>
        <v>189948.88</v>
      </c>
      <c r="Q13" s="2"/>
      <c r="R13" s="19"/>
      <c r="S13" s="2"/>
      <c r="T13" s="2">
        <f>--197471.77</f>
        <v>197471.77</v>
      </c>
      <c r="U13" s="2"/>
      <c r="V13" s="19"/>
      <c r="W13" s="2"/>
      <c r="X13" s="2">
        <f t="shared" si="2"/>
        <v>-7522.8899999999849</v>
      </c>
      <c r="Y13" s="2"/>
      <c r="Z13" s="19">
        <f t="shared" si="3"/>
        <v>-3.8096027599286646E-2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--282.75</f>
        <v>282.75</v>
      </c>
      <c r="E15" s="2"/>
      <c r="F15" s="19"/>
      <c r="G15" s="2"/>
      <c r="H15" s="2">
        <f>--189.88</f>
        <v>189.88</v>
      </c>
      <c r="I15" s="2"/>
      <c r="J15" s="19"/>
      <c r="K15" s="2"/>
      <c r="L15" s="2">
        <f t="shared" si="0"/>
        <v>92.87</v>
      </c>
      <c r="M15" s="2"/>
      <c r="N15" s="19">
        <f t="shared" si="1"/>
        <v>0.48909837792289873</v>
      </c>
      <c r="O15" s="11"/>
      <c r="P15" s="2">
        <f>--2201.92</f>
        <v>2201.92</v>
      </c>
      <c r="Q15" s="2"/>
      <c r="R15" s="19"/>
      <c r="S15" s="2"/>
      <c r="T15" s="2">
        <f>--1319.17</f>
        <v>1319.17</v>
      </c>
      <c r="U15" s="2"/>
      <c r="V15" s="19"/>
      <c r="W15" s="2"/>
      <c r="X15" s="2">
        <f t="shared" si="2"/>
        <v>882.75</v>
      </c>
      <c r="Y15" s="2"/>
      <c r="Z15" s="19">
        <f t="shared" si="3"/>
        <v>0.66917076646679352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--16373.97</f>
        <v>16373.97</v>
      </c>
      <c r="E16" s="2"/>
      <c r="F16" s="19"/>
      <c r="G16" s="2"/>
      <c r="H16" s="2">
        <f>--23123.91</f>
        <v>23123.91</v>
      </c>
      <c r="I16" s="2"/>
      <c r="J16" s="19"/>
      <c r="K16" s="2"/>
      <c r="L16" s="2">
        <f t="shared" si="0"/>
        <v>-6749.9400000000005</v>
      </c>
      <c r="M16" s="2"/>
      <c r="N16" s="19">
        <f t="shared" si="1"/>
        <v>-0.29190305618729706</v>
      </c>
      <c r="O16" s="11"/>
      <c r="P16" s="2">
        <f>--108371.16</f>
        <v>108371.16</v>
      </c>
      <c r="Q16" s="2"/>
      <c r="R16" s="19"/>
      <c r="S16" s="2"/>
      <c r="T16" s="2">
        <f>--128834.18</f>
        <v>128834.18</v>
      </c>
      <c r="U16" s="2"/>
      <c r="V16" s="19"/>
      <c r="W16" s="2"/>
      <c r="X16" s="2">
        <f t="shared" si="2"/>
        <v>-20463.01999999999</v>
      </c>
      <c r="Y16" s="2"/>
      <c r="Z16" s="19">
        <f t="shared" si="3"/>
        <v>-0.1588322291491279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>--84051.32</f>
        <v>84051.32</v>
      </c>
      <c r="E17" s="2"/>
      <c r="F17" s="19"/>
      <c r="G17" s="2"/>
      <c r="H17" s="2">
        <f>--84056.69</f>
        <v>84056.69</v>
      </c>
      <c r="I17" s="2"/>
      <c r="J17" s="19"/>
      <c r="K17" s="2"/>
      <c r="L17" s="2">
        <f t="shared" si="0"/>
        <v>-5.3699999999953434</v>
      </c>
      <c r="M17" s="2"/>
      <c r="N17" s="19">
        <f t="shared" si="1"/>
        <v>-6.3885456350890605E-5</v>
      </c>
      <c r="O17" s="11"/>
      <c r="P17" s="2">
        <f>--739121.72</f>
        <v>739121.72</v>
      </c>
      <c r="Q17" s="2"/>
      <c r="R17" s="19"/>
      <c r="S17" s="2"/>
      <c r="T17" s="2">
        <f>--669908.3</f>
        <v>669908.30000000005</v>
      </c>
      <c r="U17" s="2"/>
      <c r="V17" s="19"/>
      <c r="W17" s="2"/>
      <c r="X17" s="2">
        <f t="shared" si="2"/>
        <v>69213.419999999925</v>
      </c>
      <c r="Y17" s="2"/>
      <c r="Z17" s="19">
        <f t="shared" si="3"/>
        <v>0.10331775259389968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--0.39</f>
        <v>0.39</v>
      </c>
      <c r="Q18" s="2"/>
      <c r="R18" s="19"/>
      <c r="S18" s="2"/>
      <c r="T18" s="2">
        <f>--53.94</f>
        <v>53.94</v>
      </c>
      <c r="U18" s="2"/>
      <c r="V18" s="19"/>
      <c r="W18" s="2"/>
      <c r="X18" s="2">
        <f t="shared" si="2"/>
        <v>-53.55</v>
      </c>
      <c r="Y18" s="2"/>
      <c r="Z18" s="19">
        <f t="shared" si="3"/>
        <v>-0.99276974416017794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--125.56</f>
        <v>125.56</v>
      </c>
      <c r="E19" s="2"/>
      <c r="F19" s="19"/>
      <c r="G19" s="2"/>
      <c r="H19" s="2">
        <f>--139.28</f>
        <v>139.28</v>
      </c>
      <c r="I19" s="2"/>
      <c r="J19" s="19"/>
      <c r="K19" s="2"/>
      <c r="L19" s="2">
        <f t="shared" si="0"/>
        <v>-13.719999999999999</v>
      </c>
      <c r="M19" s="2"/>
      <c r="N19" s="19">
        <f t="shared" si="1"/>
        <v>-9.8506605399195854E-2</v>
      </c>
      <c r="O19" s="11"/>
      <c r="P19" s="2">
        <f>--1150.1</f>
        <v>1150.0999999999999</v>
      </c>
      <c r="Q19" s="2"/>
      <c r="R19" s="19"/>
      <c r="S19" s="2"/>
      <c r="T19" s="2">
        <f>--1401.49</f>
        <v>1401.49</v>
      </c>
      <c r="U19" s="2"/>
      <c r="V19" s="19"/>
      <c r="W19" s="2"/>
      <c r="X19" s="2">
        <f t="shared" si="2"/>
        <v>-251.3900000000001</v>
      </c>
      <c r="Y19" s="2"/>
      <c r="Z19" s="19">
        <f t="shared" si="3"/>
        <v>-0.17937338118716517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--75965.55</f>
        <v>75965.55</v>
      </c>
      <c r="E20" s="2"/>
      <c r="F20" s="19"/>
      <c r="G20" s="2"/>
      <c r="H20" s="2">
        <f>--90279.44</f>
        <v>90279.44</v>
      </c>
      <c r="I20" s="2"/>
      <c r="J20" s="19"/>
      <c r="K20" s="2"/>
      <c r="L20" s="2">
        <f t="shared" si="0"/>
        <v>-14313.89</v>
      </c>
      <c r="M20" s="2"/>
      <c r="N20" s="19">
        <f t="shared" si="1"/>
        <v>-0.1585509391728615</v>
      </c>
      <c r="O20" s="11"/>
      <c r="P20" s="2">
        <f>--576438.65</f>
        <v>576438.65</v>
      </c>
      <c r="Q20" s="2"/>
      <c r="R20" s="19"/>
      <c r="S20" s="2"/>
      <c r="T20" s="2">
        <f>--548326</f>
        <v>548326</v>
      </c>
      <c r="U20" s="2"/>
      <c r="V20" s="19"/>
      <c r="W20" s="2"/>
      <c r="X20" s="2">
        <f t="shared" si="2"/>
        <v>28112.650000000023</v>
      </c>
      <c r="Y20" s="2"/>
      <c r="Z20" s="19">
        <f t="shared" si="3"/>
        <v>5.1269956193943061E-2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--2733</f>
        <v>2733</v>
      </c>
      <c r="E21" s="2"/>
      <c r="F21" s="19"/>
      <c r="G21" s="2"/>
      <c r="H21" s="2">
        <f>--1745</f>
        <v>1745</v>
      </c>
      <c r="I21" s="2"/>
      <c r="J21" s="19"/>
      <c r="K21" s="2"/>
      <c r="L21" s="2">
        <f t="shared" si="0"/>
        <v>988</v>
      </c>
      <c r="M21" s="2"/>
      <c r="N21" s="19">
        <f t="shared" si="1"/>
        <v>0.56618911174785103</v>
      </c>
      <c r="O21" s="11"/>
      <c r="P21" s="2">
        <f>--9560</f>
        <v>9560</v>
      </c>
      <c r="Q21" s="2"/>
      <c r="R21" s="19"/>
      <c r="S21" s="2"/>
      <c r="T21" s="2">
        <f>--7188</f>
        <v>7188</v>
      </c>
      <c r="U21" s="2"/>
      <c r="V21" s="19"/>
      <c r="W21" s="2"/>
      <c r="X21" s="2">
        <f t="shared" si="2"/>
        <v>2372</v>
      </c>
      <c r="Y21" s="2"/>
      <c r="Z21" s="19">
        <f t="shared" si="3"/>
        <v>0.32999443516972732</v>
      </c>
    </row>
    <row r="22" spans="1:26" s="24" customFormat="1" hidden="1" outlineLevel="1" x14ac:dyDescent="0.25">
      <c r="A22" s="44"/>
      <c r="B22" s="11" t="str">
        <f>CONCATENATE("          ", "4233", " - ", "SALES RETURN TAXABLE-CANDY")</f>
        <v xml:space="preserve">          4233 - SALES RETURN TAXABLE-CANDY</v>
      </c>
      <c r="C22" s="11"/>
      <c r="D22" s="2">
        <f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0</f>
        <v>0</v>
      </c>
      <c r="Q22" s="2"/>
      <c r="R22" s="19"/>
      <c r="S22" s="2"/>
      <c r="T22" s="2">
        <f>-1.69</f>
        <v>-1.69</v>
      </c>
      <c r="U22" s="2"/>
      <c r="V22" s="19"/>
      <c r="W22" s="2"/>
      <c r="X22" s="2">
        <f t="shared" si="2"/>
        <v>1.69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8" t="s">
        <v>8</v>
      </c>
      <c r="C24" s="10"/>
      <c r="D24" s="4">
        <f>SUM(OSRRefD16x_0)</f>
        <v>95403.959999999992</v>
      </c>
      <c r="E24" s="4"/>
      <c r="F24" s="12">
        <f t="shared" ref="F24:F26" si="4">IF(D$12=0,0,D24/D$12)</f>
        <v>0.45874500462332296</v>
      </c>
      <c r="G24" s="4"/>
      <c r="H24" s="4">
        <f>SUM(OSRRefH16x_0)</f>
        <v>101911.60999999999</v>
      </c>
      <c r="I24" s="4"/>
      <c r="J24" s="12">
        <f t="shared" ref="J24:J26" si="5">IF(H$12=0,0,H24/H$12)</f>
        <v>0.43747910245009752</v>
      </c>
      <c r="K24" s="4"/>
      <c r="L24" s="4">
        <f t="shared" ref="L24:L26" si="6">+D24-H24</f>
        <v>-6507.6499999999942</v>
      </c>
      <c r="M24" s="4"/>
      <c r="N24" s="12">
        <f t="shared" ref="N24:N26" si="7">IF(H24=0,0,L24/H24)</f>
        <v>-6.3855825651267753E-2</v>
      </c>
      <c r="O24" s="10"/>
      <c r="P24" s="4">
        <f>SUM(OSRRefP16x_0)</f>
        <v>774258.54</v>
      </c>
      <c r="Q24" s="4"/>
      <c r="R24" s="12">
        <f t="shared" ref="R24:R26" si="8">IF(P$12=0,0,P24/P$12)</f>
        <v>0.4759416998164524</v>
      </c>
      <c r="S24" s="4"/>
      <c r="T24" s="4">
        <f>SUM(OSRRefT16x_0)</f>
        <v>727253.79</v>
      </c>
      <c r="U24" s="4"/>
      <c r="V24" s="12">
        <f t="shared" ref="V24:V26" si="9">IF(T$12=0,0,T24/T$12)</f>
        <v>0.46783138974982752</v>
      </c>
      <c r="W24" s="4"/>
      <c r="X24" s="4">
        <f t="shared" ref="X24:X26" si="10">+P24-T24</f>
        <v>47004.75</v>
      </c>
      <c r="Y24" s="4"/>
      <c r="Z24" s="12">
        <f t="shared" ref="Z24:Z26" si="11">IF(T24=0,0,X24/T24)</f>
        <v>6.4633214218106722E-2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70856.59</v>
      </c>
      <c r="E25" s="2"/>
      <c r="F25" s="19">
        <f t="shared" si="4"/>
        <v>0.34071024627429408</v>
      </c>
      <c r="G25" s="2"/>
      <c r="H25" s="2">
        <v>68729.549999999988</v>
      </c>
      <c r="I25" s="2"/>
      <c r="J25" s="19">
        <f t="shared" si="5"/>
        <v>0.29503745300264711</v>
      </c>
      <c r="K25" s="2"/>
      <c r="L25" s="2">
        <f t="shared" si="6"/>
        <v>2127.0400000000081</v>
      </c>
      <c r="M25" s="2"/>
      <c r="N25" s="19">
        <f t="shared" si="7"/>
        <v>3.0947969250489905E-2</v>
      </c>
      <c r="O25" s="11"/>
      <c r="P25" s="2">
        <v>783872.38</v>
      </c>
      <c r="Q25" s="2"/>
      <c r="R25" s="19">
        <f t="shared" si="8"/>
        <v>0.48185138904166058</v>
      </c>
      <c r="S25" s="2"/>
      <c r="T25" s="2">
        <v>704947.51</v>
      </c>
      <c r="U25" s="2"/>
      <c r="V25" s="19">
        <f t="shared" si="9"/>
        <v>0.45348209639991072</v>
      </c>
      <c r="W25" s="2"/>
      <c r="X25" s="2">
        <f t="shared" si="10"/>
        <v>78924.87</v>
      </c>
      <c r="Y25" s="2"/>
      <c r="Z25" s="19">
        <f t="shared" si="11"/>
        <v>0.11195850596025227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24547.37</v>
      </c>
      <c r="E26" s="2"/>
      <c r="F26" s="19">
        <f t="shared" si="4"/>
        <v>0.11803475834902891</v>
      </c>
      <c r="G26" s="2"/>
      <c r="H26" s="2">
        <v>33182.060000000005</v>
      </c>
      <c r="I26" s="2"/>
      <c r="J26" s="19">
        <f t="shared" si="5"/>
        <v>0.14244164944745047</v>
      </c>
      <c r="K26" s="2"/>
      <c r="L26" s="2">
        <f t="shared" si="6"/>
        <v>-8634.690000000006</v>
      </c>
      <c r="M26" s="2"/>
      <c r="N26" s="19">
        <f t="shared" si="7"/>
        <v>-0.26022163783683122</v>
      </c>
      <c r="O26" s="11"/>
      <c r="P26" s="2">
        <v>-9613.84</v>
      </c>
      <c r="Q26" s="2"/>
      <c r="R26" s="19">
        <f t="shared" si="8"/>
        <v>-5.9096892252081621E-3</v>
      </c>
      <c r="S26" s="2"/>
      <c r="T26" s="2">
        <v>22306.28</v>
      </c>
      <c r="U26" s="2"/>
      <c r="V26" s="19">
        <f t="shared" si="9"/>
        <v>1.4349293349916789E-2</v>
      </c>
      <c r="W26" s="2"/>
      <c r="X26" s="2">
        <f t="shared" si="10"/>
        <v>-31920.12</v>
      </c>
      <c r="Y26" s="2"/>
      <c r="Z26" s="19">
        <f t="shared" si="11"/>
        <v>-1.430992527664855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6</v>
      </c>
      <c r="C28" s="29"/>
      <c r="D28" s="20">
        <f>D12-D24</f>
        <v>112563.34</v>
      </c>
      <c r="E28" s="14"/>
      <c r="F28" s="21">
        <f>IF(D$12=0,0,D28/D$12)</f>
        <v>0.54125499537667698</v>
      </c>
      <c r="G28" s="14"/>
      <c r="H28" s="20">
        <f>H12-H24</f>
        <v>131040.34</v>
      </c>
      <c r="I28" s="14"/>
      <c r="J28" s="21">
        <f>IF(H$12=0,0,H28/H$12)</f>
        <v>0.56252089754990253</v>
      </c>
      <c r="K28" s="15"/>
      <c r="L28" s="20">
        <f>+D28-H28</f>
        <v>-18477</v>
      </c>
      <c r="M28" s="15"/>
      <c r="N28" s="21">
        <f>IF(H28=0,0,L28/H28)</f>
        <v>-0.14100238140407756</v>
      </c>
      <c r="O28" s="28"/>
      <c r="P28" s="20">
        <f>P12-P24</f>
        <v>852534.2799999998</v>
      </c>
      <c r="Q28" s="14"/>
      <c r="R28" s="21">
        <f>IF(P$12=0,0,P28/P$12)</f>
        <v>0.5240583001835476</v>
      </c>
      <c r="S28" s="14"/>
      <c r="T28" s="20">
        <f>T12-T24</f>
        <v>827267.35999999987</v>
      </c>
      <c r="U28" s="14"/>
      <c r="V28" s="21">
        <f>IF(T$12=0,0,T28/T$12)</f>
        <v>0.53216861025017248</v>
      </c>
      <c r="W28" s="15"/>
      <c r="X28" s="20">
        <f>+P28-T28</f>
        <v>25266.919999999925</v>
      </c>
      <c r="Y28" s="15"/>
      <c r="Z28" s="21">
        <f>IF(T28=0,0,X28/T28)</f>
        <v>3.0542628927122097E-2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9</v>
      </c>
      <c r="C30" s="10"/>
      <c r="D30" s="22">
        <f>SUM(OSRRefD22x_0)</f>
        <v>99742.12999999999</v>
      </c>
      <c r="E30" s="22"/>
      <c r="F30" s="33">
        <f t="shared" ref="F30:F39" si="12">IF(D$12=0,0,D30/D$12)</f>
        <v>0.47960487057340262</v>
      </c>
      <c r="G30" s="22"/>
      <c r="H30" s="22">
        <f>SUM(OSRRefH22x_0)</f>
        <v>98539.699999999968</v>
      </c>
      <c r="I30" s="22"/>
      <c r="J30" s="33">
        <f t="shared" ref="J30:J39" si="13">IF(H$12=0,0,H30/H$12)</f>
        <v>0.42300440069293249</v>
      </c>
      <c r="K30" s="4"/>
      <c r="L30" s="22">
        <f t="shared" ref="L30:L39" si="14">+D30-H30</f>
        <v>1202.4300000000221</v>
      </c>
      <c r="M30" s="4"/>
      <c r="N30" s="33">
        <f t="shared" ref="N30:N39" si="15">IF(H30=0,0,L30/H30)</f>
        <v>1.2202493005357459E-2</v>
      </c>
      <c r="O30" s="10"/>
      <c r="P30" s="22">
        <f>SUM(OSRRefP22x_0)</f>
        <v>638674.50999999989</v>
      </c>
      <c r="Q30" s="22"/>
      <c r="R30" s="33">
        <f t="shared" ref="R30:R39" si="16">IF(P$12=0,0,P30/P$12)</f>
        <v>0.39259732533119979</v>
      </c>
      <c r="S30" s="22"/>
      <c r="T30" s="22">
        <f>SUM(OSRRefT22x_0)</f>
        <v>603079.02999999991</v>
      </c>
      <c r="U30" s="22"/>
      <c r="V30" s="33">
        <f t="shared" ref="V30:V39" si="17">IF(T$12=0,0,T30/T$12)</f>
        <v>0.38795164028485551</v>
      </c>
      <c r="W30" s="4"/>
      <c r="X30" s="22">
        <f t="shared" ref="X30:X39" si="18">+P30-T30</f>
        <v>35595.479999999981</v>
      </c>
      <c r="Y30" s="4"/>
      <c r="Z30" s="33">
        <f t="shared" ref="Z30:Z39" si="19">IF(T30=0,0,X30/T30)</f>
        <v>5.9022911143171382E-2</v>
      </c>
    </row>
    <row r="31" spans="1:26" s="27" customFormat="1" outlineLevel="1" collapsed="1" x14ac:dyDescent="0.25">
      <c r="A31" s="25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11181.929999999998</v>
      </c>
      <c r="E31" s="1"/>
      <c r="F31" s="5">
        <f t="shared" si="12"/>
        <v>5.3767731753982473E-2</v>
      </c>
      <c r="G31" s="1"/>
      <c r="H31" s="1">
        <f>SUM(OSRRefH22_0x_0)</f>
        <v>13311.99</v>
      </c>
      <c r="I31" s="1"/>
      <c r="J31" s="5">
        <f t="shared" si="13"/>
        <v>5.7144788871696509E-2</v>
      </c>
      <c r="K31" s="1"/>
      <c r="L31" s="1">
        <f t="shared" si="14"/>
        <v>-2130.0600000000013</v>
      </c>
      <c r="M31" s="1"/>
      <c r="N31" s="5">
        <f t="shared" si="15"/>
        <v>-0.16001063702722143</v>
      </c>
      <c r="O31" s="13"/>
      <c r="P31" s="1">
        <f>SUM(OSRRefP22_0x_0)</f>
        <v>84044.49</v>
      </c>
      <c r="Q31" s="1"/>
      <c r="R31" s="5">
        <f t="shared" si="16"/>
        <v>5.1662688061286141E-2</v>
      </c>
      <c r="S31" s="1"/>
      <c r="T31" s="1">
        <f>SUM(OSRRefT22_0x_0)</f>
        <v>80724.990000000005</v>
      </c>
      <c r="U31" s="1"/>
      <c r="V31" s="5">
        <f t="shared" si="17"/>
        <v>5.1929168027080246E-2</v>
      </c>
      <c r="W31" s="1"/>
      <c r="X31" s="1">
        <f t="shared" si="18"/>
        <v>3319.5</v>
      </c>
      <c r="Y31" s="1"/>
      <c r="Z31" s="5">
        <f t="shared" si="19"/>
        <v>4.1121095214753198E-2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1674.44</v>
      </c>
      <c r="E32" s="2"/>
      <c r="F32" s="7">
        <f t="shared" si="12"/>
        <v>8.0514580898054661E-3</v>
      </c>
      <c r="G32" s="2"/>
      <c r="H32" s="6">
        <v>1786.54</v>
      </c>
      <c r="I32" s="2"/>
      <c r="J32" s="7">
        <f t="shared" si="13"/>
        <v>7.6691352014868304E-3</v>
      </c>
      <c r="K32" s="2"/>
      <c r="L32" s="6">
        <f t="shared" si="14"/>
        <v>-112.09999999999991</v>
      </c>
      <c r="M32" s="2"/>
      <c r="N32" s="7">
        <f t="shared" si="15"/>
        <v>-6.2746985793768917E-2</v>
      </c>
      <c r="O32" s="11"/>
      <c r="P32" s="6">
        <v>14367.88</v>
      </c>
      <c r="Q32" s="2"/>
      <c r="R32" s="7">
        <f t="shared" si="16"/>
        <v>8.8320281620126659E-3</v>
      </c>
      <c r="S32" s="2"/>
      <c r="T32" s="6">
        <v>14255.02</v>
      </c>
      <c r="U32" s="2"/>
      <c r="V32" s="7">
        <f t="shared" si="17"/>
        <v>9.1700392754386142E-3</v>
      </c>
      <c r="W32" s="2"/>
      <c r="X32" s="6">
        <f t="shared" si="18"/>
        <v>112.85999999999876</v>
      </c>
      <c r="Y32" s="2"/>
      <c r="Z32" s="7">
        <f t="shared" si="19"/>
        <v>7.917210919381296E-3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1343.94</v>
      </c>
      <c r="E33" s="2"/>
      <c r="F33" s="7">
        <f t="shared" si="12"/>
        <v>6.4622659427708111E-3</v>
      </c>
      <c r="G33" s="2"/>
      <c r="H33" s="6">
        <v>907.4</v>
      </c>
      <c r="I33" s="2"/>
      <c r="J33" s="7">
        <f t="shared" si="13"/>
        <v>3.8952238862992993E-3</v>
      </c>
      <c r="K33" s="2"/>
      <c r="L33" s="6">
        <f t="shared" si="14"/>
        <v>436.54000000000008</v>
      </c>
      <c r="M33" s="2"/>
      <c r="N33" s="7">
        <f t="shared" si="15"/>
        <v>0.48108882521489982</v>
      </c>
      <c r="O33" s="11"/>
      <c r="P33" s="6">
        <v>5385.78</v>
      </c>
      <c r="Q33" s="2"/>
      <c r="R33" s="7">
        <f t="shared" si="16"/>
        <v>3.3106735742784998E-3</v>
      </c>
      <c r="S33" s="2"/>
      <c r="T33" s="6">
        <v>4598.88</v>
      </c>
      <c r="U33" s="2"/>
      <c r="V33" s="7">
        <f t="shared" si="17"/>
        <v>2.9583901126079889E-3</v>
      </c>
      <c r="W33" s="2"/>
      <c r="X33" s="6">
        <f t="shared" si="18"/>
        <v>786.89999999999964</v>
      </c>
      <c r="Y33" s="2"/>
      <c r="Z33" s="7">
        <f t="shared" si="19"/>
        <v>0.17110687819643036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4476.93</v>
      </c>
      <c r="E34" s="2"/>
      <c r="F34" s="7">
        <f t="shared" si="12"/>
        <v>2.1527086229421646E-2</v>
      </c>
      <c r="G34" s="2"/>
      <c r="H34" s="6">
        <v>6724.22</v>
      </c>
      <c r="I34" s="2"/>
      <c r="J34" s="7">
        <f t="shared" si="13"/>
        <v>2.8865265991548903E-2</v>
      </c>
      <c r="K34" s="2"/>
      <c r="L34" s="6">
        <f t="shared" si="14"/>
        <v>-2247.29</v>
      </c>
      <c r="M34" s="2"/>
      <c r="N34" s="7">
        <f t="shared" si="15"/>
        <v>-0.33420827991945534</v>
      </c>
      <c r="O34" s="11"/>
      <c r="P34" s="6">
        <v>36835.43</v>
      </c>
      <c r="Q34" s="2"/>
      <c r="R34" s="7">
        <f t="shared" si="16"/>
        <v>2.2642975520386181E-2</v>
      </c>
      <c r="S34" s="2"/>
      <c r="T34" s="6">
        <v>36109.020000000004</v>
      </c>
      <c r="U34" s="2"/>
      <c r="V34" s="7">
        <f t="shared" si="17"/>
        <v>2.322838772569933E-2</v>
      </c>
      <c r="W34" s="2"/>
      <c r="X34" s="6">
        <f t="shared" si="18"/>
        <v>726.40999999999622</v>
      </c>
      <c r="Y34" s="2"/>
      <c r="Z34" s="7">
        <f t="shared" si="19"/>
        <v>2.0117134167584611E-2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178.7</v>
      </c>
      <c r="E35" s="2"/>
      <c r="F35" s="7">
        <f t="shared" si="12"/>
        <v>8.5926970249649822E-4</v>
      </c>
      <c r="G35" s="2"/>
      <c r="H35" s="6">
        <v>178.63</v>
      </c>
      <c r="I35" s="2"/>
      <c r="J35" s="7">
        <f t="shared" si="13"/>
        <v>7.6681049461058387E-4</v>
      </c>
      <c r="K35" s="2"/>
      <c r="L35" s="6">
        <f t="shared" si="14"/>
        <v>6.9999999999993179E-2</v>
      </c>
      <c r="M35" s="2"/>
      <c r="N35" s="7">
        <f t="shared" si="15"/>
        <v>3.9187146615906162E-4</v>
      </c>
      <c r="O35" s="11"/>
      <c r="P35" s="6">
        <v>870.25</v>
      </c>
      <c r="Q35" s="2"/>
      <c r="R35" s="7">
        <f t="shared" si="16"/>
        <v>5.349482671063179E-4</v>
      </c>
      <c r="S35" s="2"/>
      <c r="T35" s="6">
        <v>897.55</v>
      </c>
      <c r="U35" s="2"/>
      <c r="V35" s="7">
        <f t="shared" si="17"/>
        <v>5.7738037208435536E-4</v>
      </c>
      <c r="W35" s="2"/>
      <c r="X35" s="6">
        <f t="shared" si="18"/>
        <v>-27.299999999999955</v>
      </c>
      <c r="Y35" s="2"/>
      <c r="Z35" s="7">
        <f t="shared" si="19"/>
        <v>-3.0416132805971764E-2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1363.79</v>
      </c>
      <c r="E36" s="2"/>
      <c r="F36" s="7">
        <f t="shared" si="12"/>
        <v>6.5577136405579146E-3</v>
      </c>
      <c r="G36" s="2"/>
      <c r="H36" s="6">
        <v>1355.66</v>
      </c>
      <c r="I36" s="2"/>
      <c r="J36" s="7">
        <f t="shared" si="13"/>
        <v>5.8194833741464719E-3</v>
      </c>
      <c r="K36" s="2"/>
      <c r="L36" s="6">
        <f t="shared" si="14"/>
        <v>8.1299999999998818</v>
      </c>
      <c r="M36" s="2"/>
      <c r="N36" s="7">
        <f t="shared" si="15"/>
        <v>5.9970789135918162E-3</v>
      </c>
      <c r="O36" s="11"/>
      <c r="P36" s="6">
        <v>9651.67</v>
      </c>
      <c r="Q36" s="2"/>
      <c r="R36" s="7">
        <f t="shared" si="16"/>
        <v>5.9329435692985176E-3</v>
      </c>
      <c r="S36" s="2"/>
      <c r="T36" s="6">
        <v>9647.7999999999993</v>
      </c>
      <c r="U36" s="2"/>
      <c r="V36" s="7">
        <f t="shared" si="17"/>
        <v>6.2062841666708744E-3</v>
      </c>
      <c r="W36" s="2"/>
      <c r="X36" s="6">
        <f t="shared" si="18"/>
        <v>3.8700000000008004</v>
      </c>
      <c r="Y36" s="2"/>
      <c r="Z36" s="7">
        <f t="shared" si="19"/>
        <v>4.0112771823636484E-4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6">
        <v>909.14</v>
      </c>
      <c r="E37" s="2"/>
      <c r="F37" s="7">
        <f t="shared" si="12"/>
        <v>4.3715526431318775E-3</v>
      </c>
      <c r="G37" s="2"/>
      <c r="H37" s="6">
        <v>1016.52</v>
      </c>
      <c r="I37" s="2"/>
      <c r="J37" s="7">
        <f t="shared" si="13"/>
        <v>4.3636466661901739E-3</v>
      </c>
      <c r="K37" s="2"/>
      <c r="L37" s="6">
        <f t="shared" si="14"/>
        <v>-107.38</v>
      </c>
      <c r="M37" s="2"/>
      <c r="N37" s="7">
        <f t="shared" si="15"/>
        <v>-0.10563491126588753</v>
      </c>
      <c r="O37" s="11"/>
      <c r="P37" s="6">
        <v>7797.58</v>
      </c>
      <c r="Q37" s="2"/>
      <c r="R37" s="7">
        <f t="shared" si="16"/>
        <v>4.7932225321722288E-3</v>
      </c>
      <c r="S37" s="2"/>
      <c r="T37" s="6">
        <v>6889.37</v>
      </c>
      <c r="U37" s="2"/>
      <c r="V37" s="7">
        <f t="shared" si="17"/>
        <v>4.4318277689563762E-3</v>
      </c>
      <c r="W37" s="2"/>
      <c r="X37" s="6">
        <f t="shared" si="18"/>
        <v>908.21</v>
      </c>
      <c r="Y37" s="2"/>
      <c r="Z37" s="7">
        <f t="shared" si="19"/>
        <v>0.13182772880539151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6">
        <v>611</v>
      </c>
      <c r="E38" s="2"/>
      <c r="F38" s="7">
        <f t="shared" si="12"/>
        <v>2.9379618815073335E-3</v>
      </c>
      <c r="G38" s="2"/>
      <c r="H38" s="6">
        <v>755.84</v>
      </c>
      <c r="I38" s="2"/>
      <c r="J38" s="7">
        <f t="shared" si="13"/>
        <v>3.2446176132030664E-3</v>
      </c>
      <c r="K38" s="2"/>
      <c r="L38" s="6">
        <f t="shared" si="14"/>
        <v>-144.84000000000003</v>
      </c>
      <c r="M38" s="2"/>
      <c r="N38" s="7">
        <f t="shared" si="15"/>
        <v>-0.19162785774767149</v>
      </c>
      <c r="O38" s="11"/>
      <c r="P38" s="6">
        <v>5350.08</v>
      </c>
      <c r="Q38" s="2"/>
      <c r="R38" s="7">
        <f t="shared" si="16"/>
        <v>3.2887285548752303E-3</v>
      </c>
      <c r="S38" s="2"/>
      <c r="T38" s="6">
        <v>5352.03</v>
      </c>
      <c r="U38" s="2"/>
      <c r="V38" s="7">
        <f t="shared" si="17"/>
        <v>3.4428801435091444E-3</v>
      </c>
      <c r="W38" s="2"/>
      <c r="X38" s="6">
        <f t="shared" si="18"/>
        <v>-1.9499999999998181</v>
      </c>
      <c r="Y38" s="2"/>
      <c r="Z38" s="7">
        <f t="shared" si="19"/>
        <v>-3.6434773347679634E-4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6">
        <v>623.99</v>
      </c>
      <c r="E39" s="2"/>
      <c r="F39" s="7">
        <f t="shared" si="12"/>
        <v>3.0004236242909344E-3</v>
      </c>
      <c r="G39" s="2"/>
      <c r="H39" s="6">
        <v>587.17999999999995</v>
      </c>
      <c r="I39" s="2"/>
      <c r="J39" s="7">
        <f t="shared" si="13"/>
        <v>2.5206056442111774E-3</v>
      </c>
      <c r="K39" s="2"/>
      <c r="L39" s="6">
        <f t="shared" si="14"/>
        <v>36.810000000000059</v>
      </c>
      <c r="M39" s="2"/>
      <c r="N39" s="7">
        <f t="shared" si="15"/>
        <v>6.2689464900030759E-2</v>
      </c>
      <c r="O39" s="11"/>
      <c r="P39" s="6">
        <v>3785.82</v>
      </c>
      <c r="Q39" s="2"/>
      <c r="R39" s="7">
        <f t="shared" si="16"/>
        <v>2.3271678811564956E-3</v>
      </c>
      <c r="S39" s="2"/>
      <c r="T39" s="6">
        <v>2975.32</v>
      </c>
      <c r="U39" s="2"/>
      <c r="V39" s="7">
        <f t="shared" si="17"/>
        <v>1.9139784621135586E-3</v>
      </c>
      <c r="W39" s="2"/>
      <c r="X39" s="6">
        <f t="shared" si="18"/>
        <v>810.5</v>
      </c>
      <c r="Y39" s="2"/>
      <c r="Z39" s="7">
        <f t="shared" si="19"/>
        <v>0.27240767379643199</v>
      </c>
    </row>
    <row r="40" spans="1:26" s="27" customFormat="1" outlineLevel="1" collapsed="1" x14ac:dyDescent="0.25">
      <c r="A40" s="25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44075.56</v>
      </c>
      <c r="E40" s="1"/>
      <c r="F40" s="5">
        <f t="shared" ref="F40:F46" si="20">IF(D$12=0,0,D40/D$12)</f>
        <v>0.21193504940440155</v>
      </c>
      <c r="G40" s="1"/>
      <c r="H40" s="1">
        <f>SUM(OSRRefH22_1x_0)</f>
        <v>48768.259999999995</v>
      </c>
      <c r="I40" s="1"/>
      <c r="J40" s="5">
        <f t="shared" ref="J40:J46" si="21">IF(H$12=0,0,H40/H$12)</f>
        <v>0.20934900952750127</v>
      </c>
      <c r="K40" s="1"/>
      <c r="L40" s="1">
        <f t="shared" ref="L40:L46" si="22">+D40-H40</f>
        <v>-4692.6999999999971</v>
      </c>
      <c r="M40" s="1"/>
      <c r="N40" s="5">
        <f t="shared" ref="N40:N46" si="23">IF(H40=0,0,L40/H40)</f>
        <v>-9.622447058804226E-2</v>
      </c>
      <c r="O40" s="13"/>
      <c r="P40" s="1">
        <f>SUM(OSRRefP22_1x_0)</f>
        <v>317038.13999999996</v>
      </c>
      <c r="Q40" s="1"/>
      <c r="R40" s="5">
        <f t="shared" ref="R40:R46" si="24">IF(P$12=0,0,P40/P$12)</f>
        <v>0.19488538190130442</v>
      </c>
      <c r="S40" s="1"/>
      <c r="T40" s="1">
        <f>SUM(OSRRefT22_1x_0)</f>
        <v>309064.58</v>
      </c>
      <c r="U40" s="1"/>
      <c r="V40" s="5">
        <f t="shared" ref="V40:V46" si="25">IF(T$12=0,0,T40/T$12)</f>
        <v>0.19881658091303553</v>
      </c>
      <c r="W40" s="1"/>
      <c r="X40" s="1">
        <f t="shared" ref="X40:X46" si="26">+P40-T40</f>
        <v>7973.5599999999395</v>
      </c>
      <c r="Y40" s="1"/>
      <c r="Z40" s="5">
        <f t="shared" ref="Z40:Z46" si="27">IF(T40=0,0,X40/T40)</f>
        <v>2.5799009385028653E-2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6">
        <v>12478.66</v>
      </c>
      <c r="E41" s="2"/>
      <c r="F41" s="7">
        <f t="shared" si="20"/>
        <v>6.0002990854812276E-2</v>
      </c>
      <c r="G41" s="2"/>
      <c r="H41" s="6">
        <v>15929.729999999998</v>
      </c>
      <c r="I41" s="2"/>
      <c r="J41" s="7">
        <f t="shared" si="21"/>
        <v>6.8382041876017777E-2</v>
      </c>
      <c r="K41" s="2"/>
      <c r="L41" s="6">
        <f t="shared" si="22"/>
        <v>-3451.0699999999979</v>
      </c>
      <c r="M41" s="2"/>
      <c r="N41" s="7">
        <f t="shared" si="23"/>
        <v>-0.21664334549298692</v>
      </c>
      <c r="O41" s="11"/>
      <c r="P41" s="6">
        <v>98646.13</v>
      </c>
      <c r="Q41" s="2"/>
      <c r="R41" s="7">
        <f t="shared" si="24"/>
        <v>6.0638409997408285E-2</v>
      </c>
      <c r="S41" s="2"/>
      <c r="T41" s="6">
        <v>97827.23</v>
      </c>
      <c r="U41" s="2"/>
      <c r="V41" s="7">
        <f t="shared" si="25"/>
        <v>6.2930780967502431E-2</v>
      </c>
      <c r="W41" s="2"/>
      <c r="X41" s="6">
        <f t="shared" si="26"/>
        <v>818.90000000000873</v>
      </c>
      <c r="Y41" s="2"/>
      <c r="Z41" s="7">
        <f t="shared" si="27"/>
        <v>8.3708799686959216E-3</v>
      </c>
    </row>
    <row r="42" spans="1:26" s="24" customFormat="1" hidden="1" outlineLevel="2" x14ac:dyDescent="0.25">
      <c r="A42" s="26"/>
      <c r="B42" s="11" t="str">
        <f>CONCATENATE("          ", "6004", " - ", "STAFF HOURLY")</f>
        <v xml:space="preserve">          6004 - STAFF HOURLY</v>
      </c>
      <c r="C42" s="11"/>
      <c r="D42" s="6"/>
      <c r="E42" s="2"/>
      <c r="F42" s="7">
        <f t="shared" si="20"/>
        <v>0</v>
      </c>
      <c r="G42" s="2"/>
      <c r="H42" s="6"/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254.64</v>
      </c>
      <c r="Q42" s="2"/>
      <c r="R42" s="7">
        <f t="shared" si="24"/>
        <v>1.5652884428147404E-4</v>
      </c>
      <c r="S42" s="2"/>
      <c r="T42" s="6"/>
      <c r="U42" s="2"/>
      <c r="V42" s="7">
        <f t="shared" si="25"/>
        <v>0</v>
      </c>
      <c r="W42" s="2"/>
      <c r="X42" s="6">
        <f t="shared" si="26"/>
        <v>254.64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"6005", " - ", "TEMPORARY WAGES-HOURLY")</f>
        <v xml:space="preserve">          6005 - TEMPORARY WAGES-HOURLY</v>
      </c>
      <c r="C43" s="11"/>
      <c r="D43" s="6">
        <v>6204.49</v>
      </c>
      <c r="E43" s="2"/>
      <c r="F43" s="7">
        <f t="shared" si="20"/>
        <v>2.9833969090332951E-2</v>
      </c>
      <c r="G43" s="2"/>
      <c r="H43" s="6">
        <v>4625.3900000000003</v>
      </c>
      <c r="I43" s="2"/>
      <c r="J43" s="7">
        <f t="shared" si="21"/>
        <v>1.9855553902854216E-2</v>
      </c>
      <c r="K43" s="2"/>
      <c r="L43" s="6">
        <f t="shared" si="22"/>
        <v>1579.0999999999995</v>
      </c>
      <c r="M43" s="2"/>
      <c r="N43" s="7">
        <f t="shared" si="23"/>
        <v>0.34139823885121023</v>
      </c>
      <c r="O43" s="11"/>
      <c r="P43" s="6">
        <v>39453.279999999999</v>
      </c>
      <c r="Q43" s="2"/>
      <c r="R43" s="7">
        <f t="shared" si="24"/>
        <v>2.4252184737328753E-2</v>
      </c>
      <c r="S43" s="2"/>
      <c r="T43" s="6">
        <v>34574.36</v>
      </c>
      <c r="U43" s="2"/>
      <c r="V43" s="7">
        <f t="shared" si="25"/>
        <v>2.2241164103814222E-2</v>
      </c>
      <c r="W43" s="2"/>
      <c r="X43" s="6">
        <f t="shared" si="26"/>
        <v>4878.9199999999983</v>
      </c>
      <c r="Y43" s="2"/>
      <c r="Z43" s="7">
        <f t="shared" si="27"/>
        <v>0.14111381960504832</v>
      </c>
    </row>
    <row r="44" spans="1:26" s="24" customFormat="1" hidden="1" outlineLevel="2" x14ac:dyDescent="0.25">
      <c r="A44" s="26"/>
      <c r="B44" s="11" t="str">
        <f>CONCATENATE("          ", "6006", " - ", "TEMPORARY PART TIME")</f>
        <v xml:space="preserve">          6006 - TEMPORARY PART TIME</v>
      </c>
      <c r="C44" s="11"/>
      <c r="D44" s="6">
        <v>1552.13</v>
      </c>
      <c r="E44" s="2"/>
      <c r="F44" s="7">
        <f t="shared" si="20"/>
        <v>7.4633367841963625E-3</v>
      </c>
      <c r="G44" s="2"/>
      <c r="H44" s="6">
        <v>3202.72</v>
      </c>
      <c r="I44" s="2"/>
      <c r="J44" s="7">
        <f t="shared" si="21"/>
        <v>1.3748414640873365E-2</v>
      </c>
      <c r="K44" s="2"/>
      <c r="L44" s="6">
        <f t="shared" si="22"/>
        <v>-1650.5899999999997</v>
      </c>
      <c r="M44" s="2"/>
      <c r="N44" s="7">
        <f t="shared" si="23"/>
        <v>-0.51537130938702091</v>
      </c>
      <c r="O44" s="11"/>
      <c r="P44" s="6">
        <v>10033.43</v>
      </c>
      <c r="Q44" s="2"/>
      <c r="R44" s="7">
        <f t="shared" si="24"/>
        <v>6.1676138944355566E-3</v>
      </c>
      <c r="S44" s="2"/>
      <c r="T44" s="6">
        <v>21060.28</v>
      </c>
      <c r="U44" s="2"/>
      <c r="V44" s="7">
        <f t="shared" si="25"/>
        <v>1.354776035051051E-2</v>
      </c>
      <c r="W44" s="2"/>
      <c r="X44" s="6">
        <f t="shared" si="26"/>
        <v>-11026.849999999999</v>
      </c>
      <c r="Y44" s="2"/>
      <c r="Z44" s="7">
        <f t="shared" si="27"/>
        <v>-0.52358515651263893</v>
      </c>
    </row>
    <row r="45" spans="1:26" s="24" customFormat="1" hidden="1" outlineLevel="2" x14ac:dyDescent="0.25">
      <c r="A45" s="26"/>
      <c r="B45" s="11" t="str">
        <f>CONCATENATE("          ", "6007", " - ", "STUDENT HOURLY")</f>
        <v xml:space="preserve">          6007 - STUDENT HOURLY</v>
      </c>
      <c r="C45" s="11"/>
      <c r="D45" s="6">
        <v>22793.279999999999</v>
      </c>
      <c r="E45" s="2"/>
      <c r="F45" s="7">
        <f t="shared" si="20"/>
        <v>0.10960030735601221</v>
      </c>
      <c r="G45" s="2"/>
      <c r="H45" s="6">
        <v>23588.11</v>
      </c>
      <c r="I45" s="2"/>
      <c r="J45" s="7">
        <f t="shared" si="21"/>
        <v>0.10125740522884656</v>
      </c>
      <c r="K45" s="2"/>
      <c r="L45" s="6">
        <f t="shared" si="22"/>
        <v>-794.83000000000175</v>
      </c>
      <c r="M45" s="2"/>
      <c r="N45" s="7">
        <f t="shared" si="23"/>
        <v>-3.3696213897595091E-2</v>
      </c>
      <c r="O45" s="11"/>
      <c r="P45" s="6">
        <v>159819.87</v>
      </c>
      <c r="Q45" s="2"/>
      <c r="R45" s="7">
        <f t="shared" si="24"/>
        <v>9.8242301069413382E-2</v>
      </c>
      <c r="S45" s="2"/>
      <c r="T45" s="6">
        <v>143850.63</v>
      </c>
      <c r="U45" s="2"/>
      <c r="V45" s="7">
        <f t="shared" si="25"/>
        <v>9.2536939751511268E-2</v>
      </c>
      <c r="W45" s="2"/>
      <c r="X45" s="6">
        <f t="shared" si="26"/>
        <v>15969.239999999991</v>
      </c>
      <c r="Y45" s="2"/>
      <c r="Z45" s="7">
        <f t="shared" si="27"/>
        <v>0.11101265249933205</v>
      </c>
    </row>
    <row r="46" spans="1:26" s="24" customFormat="1" hidden="1" outlineLevel="2" x14ac:dyDescent="0.25">
      <c r="A46" s="26"/>
      <c r="B46" s="11" t="str">
        <f>CONCATENATE("          ", "6008", " - ", "STUDENT HOURLY-FICA EXEMPT")</f>
        <v xml:space="preserve">          6008 - STUDENT HOURLY-FICA EXEMPT</v>
      </c>
      <c r="C46" s="11"/>
      <c r="D46" s="6">
        <v>1047</v>
      </c>
      <c r="E46" s="2"/>
      <c r="F46" s="7">
        <f t="shared" si="20"/>
        <v>5.0344453190477546E-3</v>
      </c>
      <c r="G46" s="2"/>
      <c r="H46" s="6">
        <v>1422.31</v>
      </c>
      <c r="I46" s="2"/>
      <c r="J46" s="7">
        <f t="shared" si="21"/>
        <v>6.1055938789093631E-3</v>
      </c>
      <c r="K46" s="2"/>
      <c r="L46" s="6">
        <f t="shared" si="22"/>
        <v>-375.30999999999995</v>
      </c>
      <c r="M46" s="2"/>
      <c r="N46" s="7">
        <f t="shared" si="23"/>
        <v>-0.26387355780385424</v>
      </c>
      <c r="O46" s="11"/>
      <c r="P46" s="6">
        <v>8830.7900000000009</v>
      </c>
      <c r="Q46" s="2"/>
      <c r="R46" s="7">
        <f t="shared" si="24"/>
        <v>5.4283433584370027E-3</v>
      </c>
      <c r="S46" s="2"/>
      <c r="T46" s="6">
        <v>11752.08</v>
      </c>
      <c r="U46" s="2"/>
      <c r="V46" s="7">
        <f t="shared" si="25"/>
        <v>7.5599357396970773E-3</v>
      </c>
      <c r="W46" s="2"/>
      <c r="X46" s="6">
        <f t="shared" si="26"/>
        <v>-2921.2899999999991</v>
      </c>
      <c r="Y46" s="2"/>
      <c r="Z46" s="7">
        <f t="shared" si="27"/>
        <v>-0.24857642221632248</v>
      </c>
    </row>
    <row r="47" spans="1:26" s="27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619.30999999999995</v>
      </c>
      <c r="E47" s="1"/>
      <c r="F47" s="5">
        <f t="shared" ref="F47:F55" si="28">IF(D$12=0,0,D47/D$12)</f>
        <v>2.9779200864751333E-3</v>
      </c>
      <c r="G47" s="1"/>
      <c r="H47" s="1">
        <f>SUM(OSRRefH22_2x_0)</f>
        <v>168.61</v>
      </c>
      <c r="I47" s="1"/>
      <c r="J47" s="5">
        <f t="shared" ref="J47:J55" si="29">IF(H$12=0,0,H47/H$12)</f>
        <v>7.2379733245418222E-4</v>
      </c>
      <c r="K47" s="1"/>
      <c r="L47" s="1">
        <f t="shared" ref="L47:L55" si="30">+D47-H47</f>
        <v>450.69999999999993</v>
      </c>
      <c r="M47" s="1"/>
      <c r="N47" s="5">
        <f t="shared" ref="N47:N55" si="31">IF(H47=0,0,L47/H47)</f>
        <v>2.673032441729434</v>
      </c>
      <c r="O47" s="13"/>
      <c r="P47" s="1">
        <f>SUM(OSRRefP22_2x_0)</f>
        <v>2433.41</v>
      </c>
      <c r="Q47" s="1"/>
      <c r="R47" s="5">
        <f t="shared" ref="R47:R55" si="32">IF(P$12=0,0,P47/P$12)</f>
        <v>1.4958327637566043E-3</v>
      </c>
      <c r="S47" s="1"/>
      <c r="T47" s="1">
        <f>SUM(OSRRefT22_2x_0)</f>
        <v>1843.54</v>
      </c>
      <c r="U47" s="1"/>
      <c r="V47" s="5">
        <f t="shared" ref="V47:V55" si="33">IF(T$12=0,0,T47/T$12)</f>
        <v>1.1859214652692246E-3</v>
      </c>
      <c r="W47" s="1"/>
      <c r="X47" s="1">
        <f t="shared" ref="X47:X55" si="34">+P47-T47</f>
        <v>589.86999999999989</v>
      </c>
      <c r="Y47" s="1"/>
      <c r="Z47" s="5">
        <f t="shared" ref="Z47:Z55" si="35">IF(T47=0,0,X47/T47)</f>
        <v>0.31996593510311677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>
        <v>619.30999999999995</v>
      </c>
      <c r="E48" s="2"/>
      <c r="F48" s="7">
        <f t="shared" si="28"/>
        <v>2.9779200864751333E-3</v>
      </c>
      <c r="G48" s="2"/>
      <c r="H48" s="6">
        <v>168.61</v>
      </c>
      <c r="I48" s="2"/>
      <c r="J48" s="7">
        <f t="shared" si="29"/>
        <v>7.2379733245418222E-4</v>
      </c>
      <c r="K48" s="2"/>
      <c r="L48" s="6">
        <f t="shared" si="30"/>
        <v>450.69999999999993</v>
      </c>
      <c r="M48" s="2"/>
      <c r="N48" s="7">
        <f t="shared" si="31"/>
        <v>2.673032441729434</v>
      </c>
      <c r="O48" s="11"/>
      <c r="P48" s="6">
        <v>2433.41</v>
      </c>
      <c r="Q48" s="2"/>
      <c r="R48" s="7">
        <f t="shared" si="32"/>
        <v>1.4958327637566043E-3</v>
      </c>
      <c r="S48" s="2"/>
      <c r="T48" s="6">
        <v>1843.54</v>
      </c>
      <c r="U48" s="2"/>
      <c r="V48" s="7">
        <f t="shared" si="33"/>
        <v>1.1859214652692246E-3</v>
      </c>
      <c r="W48" s="2"/>
      <c r="X48" s="6">
        <f t="shared" si="34"/>
        <v>589.86999999999989</v>
      </c>
      <c r="Y48" s="2"/>
      <c r="Z48" s="7">
        <f t="shared" si="35"/>
        <v>0.31996593510311677</v>
      </c>
    </row>
    <row r="49" spans="1:26" s="27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-27.79</v>
      </c>
      <c r="E49" s="1"/>
      <c r="F49" s="5">
        <f t="shared" si="28"/>
        <v>-1.3362677690194563E-4</v>
      </c>
      <c r="G49" s="1"/>
      <c r="H49" s="1">
        <f>SUM(OSRRefH22_3x_0)</f>
        <v>-81.64</v>
      </c>
      <c r="I49" s="1"/>
      <c r="J49" s="5">
        <f t="shared" si="29"/>
        <v>-3.5045853876732952E-4</v>
      </c>
      <c r="K49" s="1"/>
      <c r="L49" s="1">
        <f t="shared" si="30"/>
        <v>53.85</v>
      </c>
      <c r="M49" s="1"/>
      <c r="N49" s="5">
        <f t="shared" si="31"/>
        <v>-0.65960313571778539</v>
      </c>
      <c r="O49" s="13"/>
      <c r="P49" s="1">
        <f>SUM(OSRRefP22_3x_0)</f>
        <v>-282.88</v>
      </c>
      <c r="Q49" s="1"/>
      <c r="R49" s="5">
        <f t="shared" si="32"/>
        <v>-1.7388815374781407E-4</v>
      </c>
      <c r="S49" s="1"/>
      <c r="T49" s="1">
        <f>SUM(OSRRefT22_3x_0)</f>
        <v>-610.5</v>
      </c>
      <c r="U49" s="1"/>
      <c r="V49" s="5">
        <f t="shared" si="33"/>
        <v>-3.9272543831262769E-4</v>
      </c>
      <c r="W49" s="1"/>
      <c r="X49" s="1">
        <f t="shared" si="34"/>
        <v>327.62</v>
      </c>
      <c r="Y49" s="1"/>
      <c r="Z49" s="5">
        <f t="shared" si="35"/>
        <v>-0.53664209664209661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6">
        <v>-27.79</v>
      </c>
      <c r="E50" s="2"/>
      <c r="F50" s="7">
        <f t="shared" si="28"/>
        <v>-1.3362677690194563E-4</v>
      </c>
      <c r="G50" s="2"/>
      <c r="H50" s="6">
        <v>-81.64</v>
      </c>
      <c r="I50" s="2"/>
      <c r="J50" s="7">
        <f t="shared" si="29"/>
        <v>-3.5045853876732952E-4</v>
      </c>
      <c r="K50" s="2"/>
      <c r="L50" s="6">
        <f t="shared" si="30"/>
        <v>53.85</v>
      </c>
      <c r="M50" s="2"/>
      <c r="N50" s="7">
        <f t="shared" si="31"/>
        <v>-0.65960313571778539</v>
      </c>
      <c r="O50" s="11"/>
      <c r="P50" s="6">
        <v>-282.88</v>
      </c>
      <c r="Q50" s="2"/>
      <c r="R50" s="7">
        <f t="shared" si="32"/>
        <v>-1.7388815374781407E-4</v>
      </c>
      <c r="S50" s="2"/>
      <c r="T50" s="6">
        <v>-610.5</v>
      </c>
      <c r="U50" s="2"/>
      <c r="V50" s="7">
        <f t="shared" si="33"/>
        <v>-3.9272543831262769E-4</v>
      </c>
      <c r="W50" s="2"/>
      <c r="X50" s="6">
        <f t="shared" si="34"/>
        <v>327.62</v>
      </c>
      <c r="Y50" s="2"/>
      <c r="Z50" s="7">
        <f t="shared" si="35"/>
        <v>-0.53664209664209661</v>
      </c>
    </row>
    <row r="51" spans="1:26" s="27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7222.5</v>
      </c>
      <c r="E51" s="1"/>
      <c r="F51" s="5">
        <f t="shared" si="28"/>
        <v>3.4729017494577276E-2</v>
      </c>
      <c r="G51" s="1"/>
      <c r="H51" s="1">
        <f>SUM(OSRRefH22_4x_0)</f>
        <v>8337.23</v>
      </c>
      <c r="I51" s="1"/>
      <c r="J51" s="5">
        <f t="shared" si="29"/>
        <v>3.5789483625271221E-2</v>
      </c>
      <c r="K51" s="1"/>
      <c r="L51" s="1">
        <f t="shared" si="30"/>
        <v>-1114.7299999999996</v>
      </c>
      <c r="M51" s="1"/>
      <c r="N51" s="5">
        <f t="shared" si="31"/>
        <v>-0.13370507950482349</v>
      </c>
      <c r="O51" s="13"/>
      <c r="P51" s="1">
        <f>SUM(OSRRefP22_4x_0)</f>
        <v>56715</v>
      </c>
      <c r="Q51" s="1"/>
      <c r="R51" s="5">
        <f t="shared" si="32"/>
        <v>3.4863074942757616E-2</v>
      </c>
      <c r="S51" s="1"/>
      <c r="T51" s="1">
        <f>SUM(OSRRefT22_4x_0)</f>
        <v>52231.55</v>
      </c>
      <c r="U51" s="1"/>
      <c r="V51" s="5">
        <f t="shared" si="33"/>
        <v>3.3599768005729613E-2</v>
      </c>
      <c r="W51" s="1"/>
      <c r="X51" s="1">
        <f t="shared" si="34"/>
        <v>4483.4499999999971</v>
      </c>
      <c r="Y51" s="1"/>
      <c r="Z51" s="5">
        <f t="shared" si="35"/>
        <v>8.5837965750585554E-2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6">
        <v>7222.5</v>
      </c>
      <c r="E52" s="2"/>
      <c r="F52" s="7">
        <f t="shared" si="28"/>
        <v>3.4729017494577276E-2</v>
      </c>
      <c r="G52" s="2"/>
      <c r="H52" s="6">
        <v>8337.23</v>
      </c>
      <c r="I52" s="2"/>
      <c r="J52" s="7">
        <f t="shared" si="29"/>
        <v>3.5789483625271221E-2</v>
      </c>
      <c r="K52" s="2"/>
      <c r="L52" s="6">
        <f t="shared" si="30"/>
        <v>-1114.7299999999996</v>
      </c>
      <c r="M52" s="2"/>
      <c r="N52" s="7">
        <f t="shared" si="31"/>
        <v>-0.13370507950482349</v>
      </c>
      <c r="O52" s="11"/>
      <c r="P52" s="6">
        <v>56715</v>
      </c>
      <c r="Q52" s="2"/>
      <c r="R52" s="7">
        <f t="shared" si="32"/>
        <v>3.4863074942757616E-2</v>
      </c>
      <c r="S52" s="2"/>
      <c r="T52" s="6">
        <v>52231.55</v>
      </c>
      <c r="U52" s="2"/>
      <c r="V52" s="7">
        <f t="shared" si="33"/>
        <v>3.3599768005729613E-2</v>
      </c>
      <c r="W52" s="2"/>
      <c r="X52" s="6">
        <f t="shared" si="34"/>
        <v>4483.4499999999971</v>
      </c>
      <c r="Y52" s="2"/>
      <c r="Z52" s="7">
        <f t="shared" si="35"/>
        <v>8.5837965750585554E-2</v>
      </c>
    </row>
    <row r="53" spans="1:26" s="27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8546.9</v>
      </c>
      <c r="E53" s="1"/>
      <c r="F53" s="5">
        <f t="shared" si="28"/>
        <v>4.1097326358518864E-2</v>
      </c>
      <c r="G53" s="1"/>
      <c r="H53" s="1">
        <f>SUM(OSRRefH22_5x_0)</f>
        <v>8364.08</v>
      </c>
      <c r="I53" s="1"/>
      <c r="J53" s="5">
        <f t="shared" si="29"/>
        <v>3.5904743446019662E-2</v>
      </c>
      <c r="K53" s="1"/>
      <c r="L53" s="1">
        <f t="shared" si="30"/>
        <v>182.81999999999971</v>
      </c>
      <c r="M53" s="1"/>
      <c r="N53" s="5">
        <f t="shared" si="31"/>
        <v>2.1857753632198607E-2</v>
      </c>
      <c r="O53" s="13"/>
      <c r="P53" s="1">
        <f>SUM(OSRRefP22_5x_0)</f>
        <v>50564.3</v>
      </c>
      <c r="Q53" s="1"/>
      <c r="R53" s="5">
        <f t="shared" si="32"/>
        <v>3.1082200129208835E-2</v>
      </c>
      <c r="S53" s="1"/>
      <c r="T53" s="1">
        <f>SUM(OSRRefT22_5x_0)</f>
        <v>50184.479999999996</v>
      </c>
      <c r="U53" s="1"/>
      <c r="V53" s="5">
        <f t="shared" si="33"/>
        <v>3.2282918762475507E-2</v>
      </c>
      <c r="W53" s="1"/>
      <c r="X53" s="1">
        <f t="shared" si="34"/>
        <v>379.82000000000698</v>
      </c>
      <c r="Y53" s="1"/>
      <c r="Z53" s="5">
        <f t="shared" si="35"/>
        <v>7.5684753533364702E-3</v>
      </c>
    </row>
    <row r="54" spans="1:26" s="24" customFormat="1" hidden="1" outlineLevel="2" x14ac:dyDescent="0.25">
      <c r="A54" s="26"/>
      <c r="B54" s="11" t="str">
        <f>CONCATENATE("          ", "6321", " - ", "BUILDING DEPRECIATION")</f>
        <v xml:space="preserve">          6321 - BUILDING DEPRECIATION</v>
      </c>
      <c r="C54" s="11"/>
      <c r="D54" s="6">
        <v>5080.51</v>
      </c>
      <c r="E54" s="2"/>
      <c r="F54" s="7">
        <f t="shared" si="28"/>
        <v>2.4429369424904784E-2</v>
      </c>
      <c r="G54" s="2"/>
      <c r="H54" s="6">
        <v>5080.51</v>
      </c>
      <c r="I54" s="2"/>
      <c r="J54" s="7">
        <f t="shared" si="29"/>
        <v>2.1809261523674735E-2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30483.059999999998</v>
      </c>
      <c r="Q54" s="2"/>
      <c r="R54" s="7">
        <f t="shared" si="32"/>
        <v>1.8738132861933827E-2</v>
      </c>
      <c r="S54" s="2"/>
      <c r="T54" s="6">
        <v>30483.059999999998</v>
      </c>
      <c r="U54" s="2"/>
      <c r="V54" s="7">
        <f t="shared" si="33"/>
        <v>1.9609292546453935E-2</v>
      </c>
      <c r="W54" s="2"/>
      <c r="X54" s="6">
        <f t="shared" si="34"/>
        <v>0</v>
      </c>
      <c r="Y54" s="2"/>
      <c r="Z54" s="7">
        <f t="shared" si="35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3466.39</v>
      </c>
      <c r="E55" s="2"/>
      <c r="F55" s="7">
        <f t="shared" si="28"/>
        <v>1.6667956933614083E-2</v>
      </c>
      <c r="G55" s="2"/>
      <c r="H55" s="6">
        <v>3283.57</v>
      </c>
      <c r="I55" s="2"/>
      <c r="J55" s="7">
        <f t="shared" si="29"/>
        <v>1.4095481922344931E-2</v>
      </c>
      <c r="K55" s="2"/>
      <c r="L55" s="6">
        <f t="shared" si="30"/>
        <v>182.81999999999971</v>
      </c>
      <c r="M55" s="2"/>
      <c r="N55" s="7">
        <f t="shared" si="31"/>
        <v>5.5677204993345566E-2</v>
      </c>
      <c r="O55" s="11"/>
      <c r="P55" s="6">
        <v>20081.240000000002</v>
      </c>
      <c r="Q55" s="2"/>
      <c r="R55" s="7">
        <f t="shared" si="32"/>
        <v>1.2344067267275008E-2</v>
      </c>
      <c r="S55" s="2"/>
      <c r="T55" s="6">
        <v>19701.419999999998</v>
      </c>
      <c r="U55" s="2"/>
      <c r="V55" s="7">
        <f t="shared" si="33"/>
        <v>1.2673626216021571E-2</v>
      </c>
      <c r="W55" s="2"/>
      <c r="X55" s="6">
        <f t="shared" si="34"/>
        <v>379.82000000000335</v>
      </c>
      <c r="Y55" s="2"/>
      <c r="Z55" s="7">
        <f t="shared" si="35"/>
        <v>1.9278813405328315E-2</v>
      </c>
    </row>
    <row r="56" spans="1:26" s="27" customFormat="1" outlineLevel="1" collapsed="1" x14ac:dyDescent="0.25">
      <c r="A56" s="25"/>
      <c r="B56" s="13" t="str">
        <f>CONCATENATE("     ","Discounts and Markdowns                           ")</f>
        <v xml:space="preserve">     Discounts and Markdowns                           </v>
      </c>
      <c r="C56" s="13"/>
      <c r="D56" s="1">
        <f>SUM(OSRRefD22_6x_0)</f>
        <v>16.62</v>
      </c>
      <c r="E56" s="1"/>
      <c r="F56" s="5">
        <f t="shared" ref="F56:F75" si="36">IF(D$12=0,0,D56/D$12)</f>
        <v>7.9916409935600465E-5</v>
      </c>
      <c r="G56" s="1"/>
      <c r="H56" s="1">
        <f>SUM(OSRRefH22_6x_0)</f>
        <v>10.119999999999999</v>
      </c>
      <c r="I56" s="1"/>
      <c r="J56" s="5">
        <f t="shared" ref="J56:J75" si="37">IF(H$12=0,0,H56/H$12)</f>
        <v>4.3442435231814972E-5</v>
      </c>
      <c r="K56" s="1"/>
      <c r="L56" s="1">
        <f t="shared" ref="L56:L75" si="38">+D56-H56</f>
        <v>6.5000000000000018</v>
      </c>
      <c r="M56" s="1"/>
      <c r="N56" s="5">
        <f t="shared" ref="N56:N75" si="39">IF(H56=0,0,L56/H56)</f>
        <v>0.64229249011857725</v>
      </c>
      <c r="O56" s="13"/>
      <c r="P56" s="1">
        <f>SUM(OSRRefP22_6x_0)</f>
        <v>76.37</v>
      </c>
      <c r="Q56" s="1"/>
      <c r="R56" s="5">
        <f t="shared" ref="R56:R75" si="40">IF(P$12=0,0,P56/P$12)</f>
        <v>4.6945129743073251E-5</v>
      </c>
      <c r="S56" s="1"/>
      <c r="T56" s="1">
        <f>SUM(OSRRefT22_6x_0)</f>
        <v>72.900000000000006</v>
      </c>
      <c r="U56" s="1"/>
      <c r="V56" s="5">
        <f t="shared" ref="V56:V75" si="41">IF(T$12=0,0,T56/T$12)</f>
        <v>4.6895470029468564E-5</v>
      </c>
      <c r="W56" s="1"/>
      <c r="X56" s="1">
        <f t="shared" ref="X56:X75" si="42">+P56-T56</f>
        <v>3.4699999999999989</v>
      </c>
      <c r="Y56" s="1"/>
      <c r="Z56" s="5">
        <f t="shared" ref="Z56:Z75" si="43">IF(T56=0,0,X56/T56)</f>
        <v>4.7599451303154988E-2</v>
      </c>
    </row>
    <row r="57" spans="1:26" s="24" customFormat="1" hidden="1" outlineLevel="2" x14ac:dyDescent="0.25">
      <c r="A57" s="26"/>
      <c r="B57" s="11" t="str">
        <f>CONCATENATE("          ", "6382", " - ", "DISCOUNTS/MARK DOWNS")</f>
        <v xml:space="preserve">          6382 - DISCOUNTS/MARK DOWNS</v>
      </c>
      <c r="C57" s="11"/>
      <c r="D57" s="6">
        <v>16.62</v>
      </c>
      <c r="E57" s="2"/>
      <c r="F57" s="7">
        <f t="shared" si="36"/>
        <v>7.9916409935600465E-5</v>
      </c>
      <c r="G57" s="2"/>
      <c r="H57" s="6">
        <v>10.119999999999999</v>
      </c>
      <c r="I57" s="2"/>
      <c r="J57" s="7">
        <f t="shared" si="37"/>
        <v>4.3442435231814972E-5</v>
      </c>
      <c r="K57" s="2"/>
      <c r="L57" s="6">
        <f t="shared" si="38"/>
        <v>6.5000000000000018</v>
      </c>
      <c r="M57" s="2"/>
      <c r="N57" s="7">
        <f t="shared" si="39"/>
        <v>0.64229249011857725</v>
      </c>
      <c r="O57" s="11"/>
      <c r="P57" s="6">
        <v>76.37</v>
      </c>
      <c r="Q57" s="2"/>
      <c r="R57" s="7">
        <f t="shared" si="40"/>
        <v>4.6945129743073251E-5</v>
      </c>
      <c r="S57" s="2"/>
      <c r="T57" s="6">
        <v>72.900000000000006</v>
      </c>
      <c r="U57" s="2"/>
      <c r="V57" s="7">
        <f t="shared" si="41"/>
        <v>4.6895470029468564E-5</v>
      </c>
      <c r="W57" s="2"/>
      <c r="X57" s="6">
        <f t="shared" si="42"/>
        <v>3.4699999999999989</v>
      </c>
      <c r="Y57" s="2"/>
      <c r="Z57" s="7">
        <f t="shared" si="43"/>
        <v>4.7599451303154988E-2</v>
      </c>
    </row>
    <row r="58" spans="1:26" s="27" customFormat="1" outlineLevel="1" collapsed="1" x14ac:dyDescent="0.25">
      <c r="A58" s="25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34.979999999999997</v>
      </c>
      <c r="E58" s="1"/>
      <c r="F58" s="5">
        <f t="shared" si="36"/>
        <v>1.6819951982835761E-4</v>
      </c>
      <c r="G58" s="1"/>
      <c r="H58" s="1">
        <f>SUM(OSRRefH22_7x_0)</f>
        <v>22.41</v>
      </c>
      <c r="I58" s="1"/>
      <c r="J58" s="5">
        <f t="shared" si="37"/>
        <v>9.6200096200096209E-5</v>
      </c>
      <c r="K58" s="1"/>
      <c r="L58" s="1">
        <f t="shared" si="38"/>
        <v>12.569999999999997</v>
      </c>
      <c r="M58" s="1"/>
      <c r="N58" s="5">
        <f t="shared" si="39"/>
        <v>0.56091030789825957</v>
      </c>
      <c r="O58" s="13"/>
      <c r="P58" s="1">
        <f>SUM(OSRRefP22_7x_0)</f>
        <v>96.92</v>
      </c>
      <c r="Q58" s="1"/>
      <c r="R58" s="5">
        <f t="shared" si="40"/>
        <v>5.9577346794535284E-5</v>
      </c>
      <c r="S58" s="1"/>
      <c r="T58" s="1">
        <f>SUM(OSRRefT22_7x_0)</f>
        <v>198.27</v>
      </c>
      <c r="U58" s="1"/>
      <c r="V58" s="5">
        <f t="shared" si="41"/>
        <v>1.2754409935175216E-4</v>
      </c>
      <c r="W58" s="1"/>
      <c r="X58" s="1">
        <f t="shared" si="42"/>
        <v>-101.35000000000001</v>
      </c>
      <c r="Y58" s="1"/>
      <c r="Z58" s="5">
        <f t="shared" si="43"/>
        <v>-0.51117163463963289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6">
        <v>34.979999999999997</v>
      </c>
      <c r="E59" s="2"/>
      <c r="F59" s="7">
        <f t="shared" si="36"/>
        <v>1.6819951982835761E-4</v>
      </c>
      <c r="G59" s="2"/>
      <c r="H59" s="6">
        <v>22.41</v>
      </c>
      <c r="I59" s="2"/>
      <c r="J59" s="7">
        <f t="shared" si="37"/>
        <v>9.6200096200096209E-5</v>
      </c>
      <c r="K59" s="2"/>
      <c r="L59" s="6">
        <f t="shared" si="38"/>
        <v>12.569999999999997</v>
      </c>
      <c r="M59" s="2"/>
      <c r="N59" s="7">
        <f t="shared" si="39"/>
        <v>0.56091030789825957</v>
      </c>
      <c r="O59" s="11"/>
      <c r="P59" s="6">
        <v>96.92</v>
      </c>
      <c r="Q59" s="2"/>
      <c r="R59" s="7">
        <f t="shared" si="40"/>
        <v>5.9577346794535284E-5</v>
      </c>
      <c r="S59" s="2"/>
      <c r="T59" s="6">
        <v>198.27</v>
      </c>
      <c r="U59" s="2"/>
      <c r="V59" s="7">
        <f t="shared" si="41"/>
        <v>1.2754409935175216E-4</v>
      </c>
      <c r="W59" s="2"/>
      <c r="X59" s="6">
        <f t="shared" si="42"/>
        <v>-101.35000000000001</v>
      </c>
      <c r="Y59" s="2"/>
      <c r="Z59" s="7">
        <f t="shared" si="43"/>
        <v>-0.51117163463963289</v>
      </c>
    </row>
    <row r="60" spans="1:26" s="27" customFormat="1" outlineLevel="1" collapsed="1" x14ac:dyDescent="0.25">
      <c r="A60" s="25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107.04</v>
      </c>
      <c r="E60" s="1"/>
      <c r="F60" s="5">
        <f t="shared" si="36"/>
        <v>5.1469630081267591E-4</v>
      </c>
      <c r="G60" s="1"/>
      <c r="H60" s="1">
        <f>SUM(OSRRefH22_8x_0)</f>
        <v>84.52</v>
      </c>
      <c r="I60" s="1"/>
      <c r="J60" s="5">
        <f t="shared" si="37"/>
        <v>3.6282160333922942E-4</v>
      </c>
      <c r="K60" s="1"/>
      <c r="L60" s="1">
        <f t="shared" si="38"/>
        <v>22.52000000000001</v>
      </c>
      <c r="M60" s="1"/>
      <c r="N60" s="5">
        <f t="shared" si="39"/>
        <v>0.26644581164221498</v>
      </c>
      <c r="O60" s="13"/>
      <c r="P60" s="1">
        <f>SUM(OSRRefP22_8x_0)</f>
        <v>680.97</v>
      </c>
      <c r="Q60" s="1"/>
      <c r="R60" s="5">
        <f t="shared" si="40"/>
        <v>4.1859663481917761E-4</v>
      </c>
      <c r="S60" s="1"/>
      <c r="T60" s="1">
        <f>SUM(OSRRefT22_8x_0)</f>
        <v>823.36</v>
      </c>
      <c r="U60" s="1"/>
      <c r="V60" s="5">
        <f t="shared" si="41"/>
        <v>5.2965506451938601E-4</v>
      </c>
      <c r="W60" s="1"/>
      <c r="X60" s="1">
        <f t="shared" si="42"/>
        <v>-142.38999999999999</v>
      </c>
      <c r="Y60" s="1"/>
      <c r="Z60" s="5">
        <f t="shared" si="43"/>
        <v>-0.17293771861640106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6">
        <v>107.04</v>
      </c>
      <c r="E61" s="2"/>
      <c r="F61" s="7">
        <f t="shared" si="36"/>
        <v>5.1469630081267591E-4</v>
      </c>
      <c r="G61" s="2"/>
      <c r="H61" s="6">
        <v>84.52</v>
      </c>
      <c r="I61" s="2"/>
      <c r="J61" s="7">
        <f t="shared" si="37"/>
        <v>3.6282160333922942E-4</v>
      </c>
      <c r="K61" s="2"/>
      <c r="L61" s="6">
        <f t="shared" si="38"/>
        <v>22.52000000000001</v>
      </c>
      <c r="M61" s="2"/>
      <c r="N61" s="7">
        <f t="shared" si="39"/>
        <v>0.26644581164221498</v>
      </c>
      <c r="O61" s="11"/>
      <c r="P61" s="6">
        <v>680.97</v>
      </c>
      <c r="Q61" s="2"/>
      <c r="R61" s="7">
        <f t="shared" si="40"/>
        <v>4.1859663481917761E-4</v>
      </c>
      <c r="S61" s="2"/>
      <c r="T61" s="6">
        <v>823.36</v>
      </c>
      <c r="U61" s="2"/>
      <c r="V61" s="7">
        <f t="shared" si="41"/>
        <v>5.2965506451938601E-4</v>
      </c>
      <c r="W61" s="2"/>
      <c r="X61" s="6">
        <f t="shared" si="42"/>
        <v>-142.38999999999999</v>
      </c>
      <c r="Y61" s="2"/>
      <c r="Z61" s="7">
        <f t="shared" si="43"/>
        <v>-0.17293771861640106</v>
      </c>
    </row>
    <row r="62" spans="1:26" s="27" customFormat="1" outlineLevel="1" collapsed="1" x14ac:dyDescent="0.25">
      <c r="A62" s="25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SUM(OSRRefD22_9x_0)</f>
        <v>37.380000000000003</v>
      </c>
      <c r="E62" s="1"/>
      <c r="F62" s="5">
        <f t="shared" si="36"/>
        <v>1.7973979563133246E-4</v>
      </c>
      <c r="G62" s="1"/>
      <c r="H62" s="1">
        <f>SUM(OSRRefH22_9x_0)</f>
        <v>15.23</v>
      </c>
      <c r="I62" s="1"/>
      <c r="J62" s="5">
        <f t="shared" si="37"/>
        <v>6.5378289385429068E-5</v>
      </c>
      <c r="K62" s="1"/>
      <c r="L62" s="1">
        <f t="shared" si="38"/>
        <v>22.150000000000002</v>
      </c>
      <c r="M62" s="1"/>
      <c r="N62" s="5">
        <f t="shared" si="39"/>
        <v>1.4543663821405122</v>
      </c>
      <c r="O62" s="13"/>
      <c r="P62" s="1">
        <f>SUM(OSRRefP22_9x_0)</f>
        <v>225.99</v>
      </c>
      <c r="Q62" s="1"/>
      <c r="R62" s="5">
        <f t="shared" si="40"/>
        <v>1.3891750518053064E-4</v>
      </c>
      <c r="S62" s="1"/>
      <c r="T62" s="1">
        <f>SUM(OSRRefT22_9x_0)</f>
        <v>173.34</v>
      </c>
      <c r="U62" s="1"/>
      <c r="V62" s="5">
        <f t="shared" si="41"/>
        <v>1.1150700651451414E-4</v>
      </c>
      <c r="W62" s="1"/>
      <c r="X62" s="1">
        <f t="shared" si="42"/>
        <v>52.650000000000006</v>
      </c>
      <c r="Y62" s="1"/>
      <c r="Z62" s="5">
        <f t="shared" si="43"/>
        <v>0.30373831775700938</v>
      </c>
    </row>
    <row r="63" spans="1:26" s="24" customFormat="1" hidden="1" outlineLevel="2" x14ac:dyDescent="0.25">
      <c r="A63" s="26"/>
      <c r="B63" s="11" t="str">
        <f>CONCATENATE("          ", "6305", " - ", "FREIGHT OUT")</f>
        <v xml:space="preserve">          6305 - FREIGHT OUT</v>
      </c>
      <c r="C63" s="11"/>
      <c r="D63" s="6">
        <v>37.380000000000003</v>
      </c>
      <c r="E63" s="2"/>
      <c r="F63" s="7">
        <f t="shared" si="36"/>
        <v>1.7973979563133246E-4</v>
      </c>
      <c r="G63" s="2"/>
      <c r="H63" s="6">
        <v>15.23</v>
      </c>
      <c r="I63" s="2"/>
      <c r="J63" s="7">
        <f t="shared" si="37"/>
        <v>6.5378289385429068E-5</v>
      </c>
      <c r="K63" s="2"/>
      <c r="L63" s="6">
        <f t="shared" si="38"/>
        <v>22.150000000000002</v>
      </c>
      <c r="M63" s="2"/>
      <c r="N63" s="7">
        <f t="shared" si="39"/>
        <v>1.4543663821405122</v>
      </c>
      <c r="O63" s="11"/>
      <c r="P63" s="6">
        <v>225.99</v>
      </c>
      <c r="Q63" s="2"/>
      <c r="R63" s="7">
        <f t="shared" si="40"/>
        <v>1.3891750518053064E-4</v>
      </c>
      <c r="S63" s="2"/>
      <c r="T63" s="6">
        <v>173.34</v>
      </c>
      <c r="U63" s="2"/>
      <c r="V63" s="7">
        <f t="shared" si="41"/>
        <v>1.1150700651451414E-4</v>
      </c>
      <c r="W63" s="2"/>
      <c r="X63" s="6">
        <f t="shared" si="42"/>
        <v>52.650000000000006</v>
      </c>
      <c r="Y63" s="2"/>
      <c r="Z63" s="7">
        <f t="shared" si="43"/>
        <v>0.30373831775700938</v>
      </c>
    </row>
    <row r="64" spans="1:26" s="27" customFormat="1" outlineLevel="1" collapsed="1" x14ac:dyDescent="0.25">
      <c r="A64" s="25"/>
      <c r="B64" s="13" t="str">
        <f>CONCATENATE("     ","General                                           ")</f>
        <v xml:space="preserve">     General                                           </v>
      </c>
      <c r="C64" s="13"/>
      <c r="D64" s="1">
        <f>SUM(OSRRefD22_10x_0)</f>
        <v>865.95</v>
      </c>
      <c r="E64" s="1"/>
      <c r="F64" s="5">
        <f t="shared" si="36"/>
        <v>4.1638757631608436E-3</v>
      </c>
      <c r="G64" s="1"/>
      <c r="H64" s="1">
        <f>SUM(OSRRefH22_10x_0)</f>
        <v>1101.79</v>
      </c>
      <c r="I64" s="1"/>
      <c r="J64" s="5">
        <f t="shared" si="37"/>
        <v>4.7296878175950019E-3</v>
      </c>
      <c r="K64" s="1"/>
      <c r="L64" s="1">
        <f t="shared" si="38"/>
        <v>-235.83999999999992</v>
      </c>
      <c r="M64" s="1"/>
      <c r="N64" s="5">
        <f t="shared" si="39"/>
        <v>-0.21405167953965812</v>
      </c>
      <c r="O64" s="13"/>
      <c r="P64" s="1">
        <f>SUM(OSRRefP22_10x_0)</f>
        <v>6829.14</v>
      </c>
      <c r="Q64" s="1"/>
      <c r="R64" s="5">
        <f t="shared" si="40"/>
        <v>4.1979162411105312E-3</v>
      </c>
      <c r="S64" s="1"/>
      <c r="T64" s="1">
        <f>SUM(OSRRefT22_10x_0)</f>
        <v>7296.07</v>
      </c>
      <c r="U64" s="1"/>
      <c r="V64" s="5">
        <f t="shared" si="41"/>
        <v>4.6934517423580886E-3</v>
      </c>
      <c r="W64" s="1"/>
      <c r="X64" s="1">
        <f t="shared" si="42"/>
        <v>-466.92999999999938</v>
      </c>
      <c r="Y64" s="1"/>
      <c r="Z64" s="5">
        <f t="shared" si="43"/>
        <v>-6.3997467129564195E-2</v>
      </c>
    </row>
    <row r="65" spans="1:26" s="24" customFormat="1" hidden="1" outlineLevel="2" x14ac:dyDescent="0.25">
      <c r="A65" s="26"/>
      <c r="B65" s="11" t="str">
        <f>CONCATENATE("          ", "6279", " - ", "GENERAL EXPENSE")</f>
        <v xml:space="preserve">          6279 - GENERAL EXPENSE</v>
      </c>
      <c r="C65" s="11"/>
      <c r="D65" s="6">
        <v>865.95</v>
      </c>
      <c r="E65" s="2"/>
      <c r="F65" s="7">
        <f t="shared" si="36"/>
        <v>4.1638757631608436E-3</v>
      </c>
      <c r="G65" s="2"/>
      <c r="H65" s="6">
        <v>1101.79</v>
      </c>
      <c r="I65" s="2"/>
      <c r="J65" s="7">
        <f t="shared" si="37"/>
        <v>4.7296878175950019E-3</v>
      </c>
      <c r="K65" s="2"/>
      <c r="L65" s="6">
        <f t="shared" si="38"/>
        <v>-235.83999999999992</v>
      </c>
      <c r="M65" s="2"/>
      <c r="N65" s="7">
        <f t="shared" si="39"/>
        <v>-0.21405167953965812</v>
      </c>
      <c r="O65" s="11"/>
      <c r="P65" s="6">
        <v>6829.14</v>
      </c>
      <c r="Q65" s="2"/>
      <c r="R65" s="7">
        <f t="shared" si="40"/>
        <v>4.1979162411105312E-3</v>
      </c>
      <c r="S65" s="2"/>
      <c r="T65" s="6">
        <v>7296.07</v>
      </c>
      <c r="U65" s="2"/>
      <c r="V65" s="7">
        <f t="shared" si="41"/>
        <v>4.6934517423580886E-3</v>
      </c>
      <c r="W65" s="2"/>
      <c r="X65" s="6">
        <f t="shared" si="42"/>
        <v>-466.92999999999938</v>
      </c>
      <c r="Y65" s="2"/>
      <c r="Z65" s="7">
        <f t="shared" si="43"/>
        <v>-6.3997467129564195E-2</v>
      </c>
    </row>
    <row r="66" spans="1:26" s="27" customFormat="1" outlineLevel="1" collapsed="1" x14ac:dyDescent="0.25">
      <c r="A66" s="25"/>
      <c r="B66" s="13" t="str">
        <f>CONCATENATE("     ","Insurance                                         ")</f>
        <v xml:space="preserve">     Insurance                                         </v>
      </c>
      <c r="C66" s="13"/>
      <c r="D66" s="1">
        <f>SUM(OSRRefD22_11x_0)</f>
        <v>243.54</v>
      </c>
      <c r="E66" s="1"/>
      <c r="F66" s="5">
        <f t="shared" si="36"/>
        <v>1.1710494871068674E-3</v>
      </c>
      <c r="G66" s="1"/>
      <c r="H66" s="1">
        <f>SUM(OSRRefH22_11x_0)</f>
        <v>229.44</v>
      </c>
      <c r="I66" s="1"/>
      <c r="J66" s="5">
        <f t="shared" si="37"/>
        <v>9.8492414422802653E-4</v>
      </c>
      <c r="K66" s="1"/>
      <c r="L66" s="1">
        <f t="shared" si="38"/>
        <v>14.099999999999994</v>
      </c>
      <c r="M66" s="1"/>
      <c r="N66" s="5">
        <f t="shared" si="39"/>
        <v>6.1453974895397466E-2</v>
      </c>
      <c r="O66" s="13"/>
      <c r="P66" s="1">
        <f>SUM(OSRRefP22_11x_0)</f>
        <v>1461.24</v>
      </c>
      <c r="Q66" s="1"/>
      <c r="R66" s="5">
        <f t="shared" si="40"/>
        <v>8.9823361772644174E-4</v>
      </c>
      <c r="S66" s="1"/>
      <c r="T66" s="1">
        <f>SUM(OSRRefT22_11x_0)</f>
        <v>1376.64</v>
      </c>
      <c r="U66" s="1"/>
      <c r="V66" s="5">
        <f t="shared" si="41"/>
        <v>8.8557174021080393E-4</v>
      </c>
      <c r="W66" s="1"/>
      <c r="X66" s="1">
        <f t="shared" si="42"/>
        <v>84.599999999999909</v>
      </c>
      <c r="Y66" s="1"/>
      <c r="Z66" s="5">
        <f t="shared" si="43"/>
        <v>6.1453974895397417E-2</v>
      </c>
    </row>
    <row r="67" spans="1:26" s="24" customFormat="1" hidden="1" outlineLevel="2" x14ac:dyDescent="0.25">
      <c r="A67" s="26"/>
      <c r="B67" s="11" t="str">
        <f>CONCATENATE("          ", "6314", " - ", "LIABILITY INSURANCE")</f>
        <v xml:space="preserve">          6314 - LIABILITY INSURANCE</v>
      </c>
      <c r="C67" s="11"/>
      <c r="D67" s="6">
        <v>243.54</v>
      </c>
      <c r="E67" s="2"/>
      <c r="F67" s="7">
        <f t="shared" si="36"/>
        <v>1.1710494871068674E-3</v>
      </c>
      <c r="G67" s="2"/>
      <c r="H67" s="6">
        <v>229.44</v>
      </c>
      <c r="I67" s="2"/>
      <c r="J67" s="7">
        <f t="shared" si="37"/>
        <v>9.8492414422802653E-4</v>
      </c>
      <c r="K67" s="2"/>
      <c r="L67" s="6">
        <f t="shared" si="38"/>
        <v>14.099999999999994</v>
      </c>
      <c r="M67" s="2"/>
      <c r="N67" s="7">
        <f t="shared" si="39"/>
        <v>6.1453974895397466E-2</v>
      </c>
      <c r="O67" s="11"/>
      <c r="P67" s="6">
        <v>1461.24</v>
      </c>
      <c r="Q67" s="2"/>
      <c r="R67" s="7">
        <f t="shared" si="40"/>
        <v>8.9823361772644174E-4</v>
      </c>
      <c r="S67" s="2"/>
      <c r="T67" s="6">
        <v>1376.64</v>
      </c>
      <c r="U67" s="2"/>
      <c r="V67" s="7">
        <f t="shared" si="41"/>
        <v>8.8557174021080393E-4</v>
      </c>
      <c r="W67" s="2"/>
      <c r="X67" s="6">
        <f t="shared" si="42"/>
        <v>84.599999999999909</v>
      </c>
      <c r="Y67" s="2"/>
      <c r="Z67" s="7">
        <f t="shared" si="43"/>
        <v>6.1453974895397417E-2</v>
      </c>
    </row>
    <row r="68" spans="1:26" s="27" customFormat="1" outlineLevel="1" collapsed="1" x14ac:dyDescent="0.25">
      <c r="A68" s="25"/>
      <c r="B68" s="13" t="str">
        <f>CONCATENATE("     ","Interest                                          ")</f>
        <v xml:space="preserve">     Interest                                          </v>
      </c>
      <c r="C68" s="13"/>
      <c r="D68" s="1">
        <f>SUM(OSRRefD22_12x_0)</f>
        <v>4175</v>
      </c>
      <c r="E68" s="1"/>
      <c r="F68" s="5">
        <f t="shared" si="36"/>
        <v>2.0075271448924903E-2</v>
      </c>
      <c r="G68" s="1"/>
      <c r="H68" s="1">
        <f>SUM(OSRRefH22_12x_0)</f>
        <v>4280</v>
      </c>
      <c r="I68" s="1"/>
      <c r="J68" s="5">
        <f t="shared" si="37"/>
        <v>1.8372887627684596E-2</v>
      </c>
      <c r="K68" s="1"/>
      <c r="L68" s="1">
        <f t="shared" si="38"/>
        <v>-105</v>
      </c>
      <c r="M68" s="1"/>
      <c r="N68" s="5">
        <f t="shared" si="39"/>
        <v>-2.4532710280373831E-2</v>
      </c>
      <c r="O68" s="13"/>
      <c r="P68" s="1">
        <f>SUM(OSRRefP22_12x_0)</f>
        <v>24843.95</v>
      </c>
      <c r="Q68" s="1"/>
      <c r="R68" s="5">
        <f t="shared" si="40"/>
        <v>1.5271735708791733E-2</v>
      </c>
      <c r="S68" s="1"/>
      <c r="T68" s="1">
        <f>SUM(OSRRefT22_12x_0)</f>
        <v>25464.9</v>
      </c>
      <c r="U68" s="1"/>
      <c r="V68" s="5">
        <f t="shared" si="41"/>
        <v>1.6381185936260825E-2</v>
      </c>
      <c r="W68" s="1"/>
      <c r="X68" s="1">
        <f t="shared" si="42"/>
        <v>-620.95000000000073</v>
      </c>
      <c r="Y68" s="1"/>
      <c r="Z68" s="5">
        <f t="shared" si="43"/>
        <v>-2.4384545001158484E-2</v>
      </c>
    </row>
    <row r="69" spans="1:26" s="24" customFormat="1" hidden="1" outlineLevel="2" x14ac:dyDescent="0.25">
      <c r="A69" s="26"/>
      <c r="B69" s="11" t="str">
        <f>CONCATENATE("          ", "6401", " - ", "INTEREST EXPENSE")</f>
        <v xml:space="preserve">          6401 - INTEREST EXPENSE</v>
      </c>
      <c r="C69" s="11"/>
      <c r="D69" s="6">
        <v>4175</v>
      </c>
      <c r="E69" s="2"/>
      <c r="F69" s="7">
        <f t="shared" si="36"/>
        <v>2.0075271448924903E-2</v>
      </c>
      <c r="G69" s="2"/>
      <c r="H69" s="6">
        <v>4280</v>
      </c>
      <c r="I69" s="2"/>
      <c r="J69" s="7">
        <f t="shared" si="37"/>
        <v>1.8372887627684596E-2</v>
      </c>
      <c r="K69" s="2"/>
      <c r="L69" s="6">
        <f t="shared" si="38"/>
        <v>-105</v>
      </c>
      <c r="M69" s="2"/>
      <c r="N69" s="7">
        <f t="shared" si="39"/>
        <v>-2.4532710280373831E-2</v>
      </c>
      <c r="O69" s="11"/>
      <c r="P69" s="6">
        <v>24843.95</v>
      </c>
      <c r="Q69" s="2"/>
      <c r="R69" s="7">
        <f t="shared" si="40"/>
        <v>1.5271735708791733E-2</v>
      </c>
      <c r="S69" s="2"/>
      <c r="T69" s="6">
        <v>25464.9</v>
      </c>
      <c r="U69" s="2"/>
      <c r="V69" s="7">
        <f t="shared" si="41"/>
        <v>1.6381185936260825E-2</v>
      </c>
      <c r="W69" s="2"/>
      <c r="X69" s="6">
        <f t="shared" si="42"/>
        <v>-620.95000000000073</v>
      </c>
      <c r="Y69" s="2"/>
      <c r="Z69" s="7">
        <f t="shared" si="43"/>
        <v>-2.4384545001158484E-2</v>
      </c>
    </row>
    <row r="70" spans="1:26" s="27" customFormat="1" outlineLevel="1" collapsed="1" x14ac:dyDescent="0.25">
      <c r="A70" s="25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SUM(OSRRefD22_13x_0)</f>
        <v>1150</v>
      </c>
      <c r="E70" s="1"/>
      <c r="F70" s="5">
        <f t="shared" si="36"/>
        <v>5.5297154889254229E-3</v>
      </c>
      <c r="G70" s="1"/>
      <c r="H70" s="1">
        <f>SUM(OSRRefH22_13x_0)</f>
        <v>1150</v>
      </c>
      <c r="I70" s="1"/>
      <c r="J70" s="5">
        <f t="shared" si="37"/>
        <v>4.9366403672517021E-3</v>
      </c>
      <c r="K70" s="1"/>
      <c r="L70" s="1">
        <f t="shared" si="38"/>
        <v>0</v>
      </c>
      <c r="M70" s="1"/>
      <c r="N70" s="5">
        <f t="shared" si="39"/>
        <v>0</v>
      </c>
      <c r="O70" s="13"/>
      <c r="P70" s="1">
        <f>SUM(OSRRefP22_13x_0)</f>
        <v>6900</v>
      </c>
      <c r="Q70" s="1"/>
      <c r="R70" s="5">
        <f t="shared" si="40"/>
        <v>4.2414743384471048E-3</v>
      </c>
      <c r="S70" s="1"/>
      <c r="T70" s="1">
        <f>SUM(OSRRefT22_13x_0)</f>
        <v>6900</v>
      </c>
      <c r="U70" s="1"/>
      <c r="V70" s="5">
        <f t="shared" si="41"/>
        <v>4.4386658875628683E-3</v>
      </c>
      <c r="W70" s="1"/>
      <c r="X70" s="1">
        <f t="shared" si="42"/>
        <v>0</v>
      </c>
      <c r="Y70" s="1"/>
      <c r="Z70" s="5">
        <f t="shared" si="43"/>
        <v>0</v>
      </c>
    </row>
    <row r="71" spans="1:26" s="24" customFormat="1" hidden="1" outlineLevel="2" x14ac:dyDescent="0.25">
      <c r="A71" s="26"/>
      <c r="B71" s="11" t="str">
        <f>CONCATENATE("          ", "6273", " - ", "RENT")</f>
        <v xml:space="preserve">          6273 - RENT</v>
      </c>
      <c r="C71" s="11"/>
      <c r="D71" s="6">
        <v>1150</v>
      </c>
      <c r="E71" s="2"/>
      <c r="F71" s="7">
        <f t="shared" si="36"/>
        <v>5.5297154889254229E-3</v>
      </c>
      <c r="G71" s="2"/>
      <c r="H71" s="6">
        <v>1150</v>
      </c>
      <c r="I71" s="2"/>
      <c r="J71" s="7">
        <f t="shared" si="37"/>
        <v>4.9366403672517021E-3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6900</v>
      </c>
      <c r="Q71" s="2"/>
      <c r="R71" s="7">
        <f t="shared" si="40"/>
        <v>4.2414743384471048E-3</v>
      </c>
      <c r="S71" s="2"/>
      <c r="T71" s="6">
        <v>6900</v>
      </c>
      <c r="U71" s="2"/>
      <c r="V71" s="7">
        <f t="shared" si="41"/>
        <v>4.4386658875628683E-3</v>
      </c>
      <c r="W71" s="2"/>
      <c r="X71" s="6">
        <f t="shared" si="42"/>
        <v>0</v>
      </c>
      <c r="Y71" s="2"/>
      <c r="Z71" s="7">
        <f t="shared" si="43"/>
        <v>0</v>
      </c>
    </row>
    <row r="72" spans="1:26" s="27" customFormat="1" outlineLevel="1" collapsed="1" x14ac:dyDescent="0.25">
      <c r="A72" s="25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SUM(OSRRefD22_14x_0)</f>
        <v>3217.07</v>
      </c>
      <c r="E72" s="1"/>
      <c r="F72" s="5">
        <f t="shared" si="36"/>
        <v>1.5469114615615053E-2</v>
      </c>
      <c r="G72" s="1"/>
      <c r="H72" s="1">
        <f>SUM(OSRRefH22_14x_0)</f>
        <v>1722.38</v>
      </c>
      <c r="I72" s="1"/>
      <c r="J72" s="5">
        <f t="shared" si="37"/>
        <v>7.3937135963017273E-3</v>
      </c>
      <c r="K72" s="1"/>
      <c r="L72" s="1">
        <f t="shared" si="38"/>
        <v>1494.69</v>
      </c>
      <c r="M72" s="1"/>
      <c r="N72" s="5">
        <f t="shared" si="39"/>
        <v>0.86780501399226651</v>
      </c>
      <c r="O72" s="13"/>
      <c r="P72" s="1">
        <f>SUM(OSRRefP22_14x_0)</f>
        <v>14386.27</v>
      </c>
      <c r="Q72" s="1"/>
      <c r="R72" s="5">
        <f t="shared" si="40"/>
        <v>8.8433326131842661E-3</v>
      </c>
      <c r="S72" s="1"/>
      <c r="T72" s="1">
        <f>SUM(OSRRefT22_14x_0)</f>
        <v>6160.58</v>
      </c>
      <c r="U72" s="1"/>
      <c r="V72" s="5">
        <f t="shared" si="41"/>
        <v>3.9630081584930517E-3</v>
      </c>
      <c r="W72" s="1"/>
      <c r="X72" s="1">
        <f t="shared" si="42"/>
        <v>8225.69</v>
      </c>
      <c r="Y72" s="1"/>
      <c r="Z72" s="5">
        <f t="shared" si="43"/>
        <v>1.3352135675537045</v>
      </c>
    </row>
    <row r="73" spans="1:26" s="24" customFormat="1" hidden="1" outlineLevel="2" x14ac:dyDescent="0.25">
      <c r="A73" s="26"/>
      <c r="B73" s="11" t="str">
        <f>CONCATENATE("          ", "6371", " - ", "COMPUTER SOFTWARE MAINTENANCE")</f>
        <v xml:space="preserve">          6371 - COMPUTER SOFTWARE MAINTENANCE</v>
      </c>
      <c r="C73" s="11"/>
      <c r="D73" s="6"/>
      <c r="E73" s="2"/>
      <c r="F73" s="7">
        <f t="shared" si="36"/>
        <v>0</v>
      </c>
      <c r="G73" s="2"/>
      <c r="H73" s="6"/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>
        <v>1311.93</v>
      </c>
      <c r="Q73" s="2"/>
      <c r="R73" s="7">
        <f t="shared" si="40"/>
        <v>8.0645180128100164E-4</v>
      </c>
      <c r="S73" s="2"/>
      <c r="T73" s="6"/>
      <c r="U73" s="2"/>
      <c r="V73" s="7">
        <f t="shared" si="41"/>
        <v>0</v>
      </c>
      <c r="W73" s="2"/>
      <c r="X73" s="6">
        <f t="shared" si="42"/>
        <v>1311.93</v>
      </c>
      <c r="Y73" s="2"/>
      <c r="Z73" s="7">
        <f t="shared" si="43"/>
        <v>0</v>
      </c>
    </row>
    <row r="74" spans="1:26" s="24" customFormat="1" hidden="1" outlineLevel="2" x14ac:dyDescent="0.25">
      <c r="A74" s="26"/>
      <c r="B74" s="11" t="str">
        <f>CONCATENATE("          ", "6373", " - ", "MAINTENANCE CONTRACTS")</f>
        <v xml:space="preserve">          6373 - MAINTENANCE CONTRACTS</v>
      </c>
      <c r="C74" s="11"/>
      <c r="D74" s="6">
        <v>297.3</v>
      </c>
      <c r="E74" s="2"/>
      <c r="F74" s="7">
        <f t="shared" si="36"/>
        <v>1.4295516650935029E-3</v>
      </c>
      <c r="G74" s="2"/>
      <c r="H74" s="6">
        <v>402.68</v>
      </c>
      <c r="I74" s="2"/>
      <c r="J74" s="7">
        <f t="shared" si="37"/>
        <v>1.7285968200738393E-3</v>
      </c>
      <c r="K74" s="2"/>
      <c r="L74" s="6">
        <f t="shared" si="38"/>
        <v>-105.38</v>
      </c>
      <c r="M74" s="2"/>
      <c r="N74" s="7">
        <f t="shared" si="39"/>
        <v>-0.26169663256183567</v>
      </c>
      <c r="O74" s="11"/>
      <c r="P74" s="6">
        <v>582.62</v>
      </c>
      <c r="Q74" s="2"/>
      <c r="R74" s="7">
        <f t="shared" si="40"/>
        <v>3.5814025783565979E-4</v>
      </c>
      <c r="S74" s="2"/>
      <c r="T74" s="6">
        <v>805.36</v>
      </c>
      <c r="U74" s="2"/>
      <c r="V74" s="7">
        <f t="shared" si="41"/>
        <v>5.1807593611704803E-4</v>
      </c>
      <c r="W74" s="2"/>
      <c r="X74" s="6">
        <f t="shared" si="42"/>
        <v>-222.74</v>
      </c>
      <c r="Y74" s="2"/>
      <c r="Z74" s="7">
        <f t="shared" si="43"/>
        <v>-0.27657196781563526</v>
      </c>
    </row>
    <row r="75" spans="1:26" s="24" customFormat="1" hidden="1" outlineLevel="2" x14ac:dyDescent="0.25">
      <c r="A75" s="26"/>
      <c r="B75" s="11" t="str">
        <f>CONCATENATE("          ", "6375", " - ", "OUTSIDE REPAIRS &amp; MAINTENANCE")</f>
        <v xml:space="preserve">          6375 - OUTSIDE REPAIRS &amp; MAINTENANCE</v>
      </c>
      <c r="C75" s="11"/>
      <c r="D75" s="6">
        <v>2919.77</v>
      </c>
      <c r="E75" s="2"/>
      <c r="F75" s="7">
        <f t="shared" si="36"/>
        <v>1.4039562950521549E-2</v>
      </c>
      <c r="G75" s="2"/>
      <c r="H75" s="6">
        <v>1319.7</v>
      </c>
      <c r="I75" s="2"/>
      <c r="J75" s="7">
        <f t="shared" si="37"/>
        <v>5.6651167762278879E-3</v>
      </c>
      <c r="K75" s="2"/>
      <c r="L75" s="6">
        <f t="shared" si="38"/>
        <v>1600.07</v>
      </c>
      <c r="M75" s="2"/>
      <c r="N75" s="7">
        <f t="shared" si="39"/>
        <v>1.2124497991967871</v>
      </c>
      <c r="O75" s="11"/>
      <c r="P75" s="6">
        <v>12491.72</v>
      </c>
      <c r="Q75" s="2"/>
      <c r="R75" s="7">
        <f t="shared" si="40"/>
        <v>7.6787405540676042E-3</v>
      </c>
      <c r="S75" s="2"/>
      <c r="T75" s="6">
        <v>5355.22</v>
      </c>
      <c r="U75" s="2"/>
      <c r="V75" s="7">
        <f t="shared" si="41"/>
        <v>3.4449322223760034E-3</v>
      </c>
      <c r="W75" s="2"/>
      <c r="X75" s="6">
        <f t="shared" si="42"/>
        <v>7136.4999999999991</v>
      </c>
      <c r="Y75" s="2"/>
      <c r="Z75" s="7">
        <f t="shared" si="43"/>
        <v>1.3326249901964811</v>
      </c>
    </row>
    <row r="76" spans="1:26" s="27" customFormat="1" outlineLevel="1" collapsed="1" x14ac:dyDescent="0.25">
      <c r="A76" s="25"/>
      <c r="B76" s="13" t="str">
        <f>CONCATENATE("     ","Royalty &amp; Commissions                             ")</f>
        <v xml:space="preserve">     Royalty &amp; Commissions                             </v>
      </c>
      <c r="C76" s="13"/>
      <c r="D76" s="1">
        <f>SUM(OSRRefD22_15x_0)</f>
        <v>9661.34</v>
      </c>
      <c r="E76" s="1"/>
      <c r="F76" s="5">
        <f t="shared" ref="F76:F82" si="44">IF(D$12=0,0,D76/D$12)</f>
        <v>4.6456053427630213E-2</v>
      </c>
      <c r="G76" s="1"/>
      <c r="H76" s="1">
        <f>SUM(OSRRefH22_15x_0)</f>
        <v>7957.68</v>
      </c>
      <c r="I76" s="1"/>
      <c r="J76" s="5">
        <f t="shared" ref="J76:J82" si="45">IF(H$12=0,0,H76/H$12)</f>
        <v>3.4160177667540453E-2</v>
      </c>
      <c r="K76" s="1"/>
      <c r="L76" s="1">
        <f t="shared" ref="L76:L82" si="46">+D76-H76</f>
        <v>1703.6599999999999</v>
      </c>
      <c r="M76" s="1"/>
      <c r="N76" s="5">
        <f t="shared" ref="N76:N82" si="47">IF(H76=0,0,L76/H76)</f>
        <v>0.21409003629198456</v>
      </c>
      <c r="O76" s="13"/>
      <c r="P76" s="1">
        <f>SUM(OSRRefP22_15x_0)</f>
        <v>15334.79</v>
      </c>
      <c r="Q76" s="1"/>
      <c r="R76" s="5">
        <f t="shared" ref="R76:R82" si="48">IF(P$12=0,0,P76/P$12)</f>
        <v>9.426393952242795E-3</v>
      </c>
      <c r="S76" s="1"/>
      <c r="T76" s="1">
        <f>SUM(OSRRefT22_15x_0)</f>
        <v>13308.48</v>
      </c>
      <c r="U76" s="1"/>
      <c r="V76" s="5">
        <f t="shared" ref="V76:V82" si="49">IF(T$12=0,0,T76/T$12)</f>
        <v>8.5611443755525627E-3</v>
      </c>
      <c r="W76" s="1"/>
      <c r="X76" s="1">
        <f t="shared" ref="X76:X82" si="50">+P76-T76</f>
        <v>2026.3100000000013</v>
      </c>
      <c r="Y76" s="1"/>
      <c r="Z76" s="5">
        <f t="shared" ref="Z76:Z82" si="51">IF(T76=0,0,X76/T76)</f>
        <v>0.15225705715453616</v>
      </c>
    </row>
    <row r="77" spans="1:26" s="24" customFormat="1" hidden="1" outlineLevel="2" x14ac:dyDescent="0.25">
      <c r="A77" s="26"/>
      <c r="B77" s="11" t="str">
        <f>CONCATENATE("          ", "6254", " - ", "ROYALTY &amp; COMMISSIONS")</f>
        <v xml:space="preserve">          6254 - ROYALTY &amp; COMMISSIONS</v>
      </c>
      <c r="C77" s="11"/>
      <c r="D77" s="6">
        <v>9661.34</v>
      </c>
      <c r="E77" s="2"/>
      <c r="F77" s="7">
        <f t="shared" si="44"/>
        <v>4.6456053427630213E-2</v>
      </c>
      <c r="G77" s="2"/>
      <c r="H77" s="6">
        <v>7957.68</v>
      </c>
      <c r="I77" s="2"/>
      <c r="J77" s="7">
        <f t="shared" si="45"/>
        <v>3.4160177667540453E-2</v>
      </c>
      <c r="K77" s="2"/>
      <c r="L77" s="6">
        <f t="shared" si="46"/>
        <v>1703.6599999999999</v>
      </c>
      <c r="M77" s="2"/>
      <c r="N77" s="7">
        <f t="shared" si="47"/>
        <v>0.21409003629198456</v>
      </c>
      <c r="O77" s="11"/>
      <c r="P77" s="6">
        <v>15334.79</v>
      </c>
      <c r="Q77" s="2"/>
      <c r="R77" s="7">
        <f t="shared" si="48"/>
        <v>9.426393952242795E-3</v>
      </c>
      <c r="S77" s="2"/>
      <c r="T77" s="6">
        <v>13308.48</v>
      </c>
      <c r="U77" s="2"/>
      <c r="V77" s="7">
        <f t="shared" si="49"/>
        <v>8.5611443755525627E-3</v>
      </c>
      <c r="W77" s="2"/>
      <c r="X77" s="6">
        <f t="shared" si="50"/>
        <v>2026.3100000000013</v>
      </c>
      <c r="Y77" s="2"/>
      <c r="Z77" s="7">
        <f t="shared" si="51"/>
        <v>0.15225705715453616</v>
      </c>
    </row>
    <row r="78" spans="1:26" s="27" customFormat="1" outlineLevel="1" collapsed="1" x14ac:dyDescent="0.25">
      <c r="A78" s="25"/>
      <c r="B78" s="13" t="str">
        <f>CONCATENATE("     ","Services                                          ")</f>
        <v xml:space="preserve">     Services                                          </v>
      </c>
      <c r="C78" s="13"/>
      <c r="D78" s="1">
        <f>SUM(OSRRefD22_16x_0)</f>
        <v>2711.3599999999997</v>
      </c>
      <c r="E78" s="1"/>
      <c r="F78" s="5">
        <f t="shared" si="44"/>
        <v>1.3037434250480723E-2</v>
      </c>
      <c r="G78" s="1"/>
      <c r="H78" s="1">
        <f>SUM(OSRRefH22_16x_0)</f>
        <v>767.17000000000007</v>
      </c>
      <c r="I78" s="1"/>
      <c r="J78" s="5">
        <f t="shared" si="45"/>
        <v>3.2932542526473811E-3</v>
      </c>
      <c r="K78" s="1"/>
      <c r="L78" s="1">
        <f t="shared" si="46"/>
        <v>1944.1899999999996</v>
      </c>
      <c r="M78" s="1"/>
      <c r="N78" s="5">
        <f t="shared" si="47"/>
        <v>2.5342362188302454</v>
      </c>
      <c r="O78" s="13"/>
      <c r="P78" s="1">
        <f>SUM(OSRRefP22_16x_0)</f>
        <v>10796.35</v>
      </c>
      <c r="Q78" s="1"/>
      <c r="R78" s="5">
        <f t="shared" si="48"/>
        <v>6.6365857208541164E-3</v>
      </c>
      <c r="S78" s="1"/>
      <c r="T78" s="1">
        <f>SUM(OSRRefT22_16x_0)</f>
        <v>9605.11</v>
      </c>
      <c r="U78" s="1"/>
      <c r="V78" s="5">
        <f t="shared" si="49"/>
        <v>6.1788223338099975E-3</v>
      </c>
      <c r="W78" s="1"/>
      <c r="X78" s="1">
        <f t="shared" si="50"/>
        <v>1191.2399999999998</v>
      </c>
      <c r="Y78" s="1"/>
      <c r="Z78" s="5">
        <f t="shared" si="51"/>
        <v>0.12402148439736763</v>
      </c>
    </row>
    <row r="79" spans="1:26" s="24" customFormat="1" hidden="1" outlineLevel="2" x14ac:dyDescent="0.25">
      <c r="A79" s="26"/>
      <c r="B79" s="11" t="str">
        <f>CONCATENATE("          ", "6282", " - ", "JANITORIAL/EXTERMINATOR EXPENS")</f>
        <v xml:space="preserve">          6282 - JANITORIAL/EXTERMINATOR EXPENS</v>
      </c>
      <c r="C79" s="11"/>
      <c r="D79" s="6">
        <v>1272.49</v>
      </c>
      <c r="E79" s="2"/>
      <c r="F79" s="7">
        <f t="shared" si="44"/>
        <v>6.1187023152197489E-3</v>
      </c>
      <c r="G79" s="2"/>
      <c r="H79" s="6">
        <v>38.5</v>
      </c>
      <c r="I79" s="2"/>
      <c r="J79" s="7">
        <f t="shared" si="45"/>
        <v>1.6527013403407873E-4</v>
      </c>
      <c r="K79" s="2"/>
      <c r="L79" s="6">
        <f t="shared" si="46"/>
        <v>1233.99</v>
      </c>
      <c r="M79" s="2"/>
      <c r="N79" s="7">
        <f t="shared" si="47"/>
        <v>32.051688311688309</v>
      </c>
      <c r="O79" s="11"/>
      <c r="P79" s="6">
        <v>4151.63</v>
      </c>
      <c r="Q79" s="2"/>
      <c r="R79" s="7">
        <f t="shared" si="48"/>
        <v>2.5520336388010372E-3</v>
      </c>
      <c r="S79" s="2"/>
      <c r="T79" s="6">
        <v>3164.45</v>
      </c>
      <c r="U79" s="2"/>
      <c r="V79" s="7">
        <f t="shared" si="49"/>
        <v>2.0356429373765677E-3</v>
      </c>
      <c r="W79" s="2"/>
      <c r="X79" s="6">
        <f t="shared" si="50"/>
        <v>987.18000000000029</v>
      </c>
      <c r="Y79" s="2"/>
      <c r="Z79" s="7">
        <f t="shared" si="51"/>
        <v>0.31195942422853906</v>
      </c>
    </row>
    <row r="80" spans="1:26" s="24" customFormat="1" hidden="1" outlineLevel="2" x14ac:dyDescent="0.25">
      <c r="A80" s="26"/>
      <c r="B80" s="11" t="str">
        <f>CONCATENATE("          ", "6284", " - ", "TRASH REMOVAL EXPENSE")</f>
        <v xml:space="preserve">          6284 - TRASH REMOVAL EXPENSE</v>
      </c>
      <c r="C80" s="11"/>
      <c r="D80" s="6">
        <v>785</v>
      </c>
      <c r="E80" s="2"/>
      <c r="F80" s="7">
        <f t="shared" si="44"/>
        <v>3.7746318772230061E-3</v>
      </c>
      <c r="G80" s="2"/>
      <c r="H80" s="6">
        <v>237</v>
      </c>
      <c r="I80" s="2"/>
      <c r="J80" s="7">
        <f t="shared" si="45"/>
        <v>1.0173771887292639E-3</v>
      </c>
      <c r="K80" s="2"/>
      <c r="L80" s="6">
        <f t="shared" si="46"/>
        <v>548</v>
      </c>
      <c r="M80" s="2"/>
      <c r="N80" s="7">
        <f t="shared" si="47"/>
        <v>2.3122362869198314</v>
      </c>
      <c r="O80" s="11"/>
      <c r="P80" s="6">
        <v>1733</v>
      </c>
      <c r="Q80" s="2"/>
      <c r="R80" s="7">
        <f t="shared" si="48"/>
        <v>1.0652862360186715E-3</v>
      </c>
      <c r="S80" s="2"/>
      <c r="T80" s="6">
        <v>1992.73</v>
      </c>
      <c r="U80" s="2"/>
      <c r="V80" s="7">
        <f t="shared" si="49"/>
        <v>1.2818931411772688E-3</v>
      </c>
      <c r="W80" s="2"/>
      <c r="X80" s="6">
        <f t="shared" si="50"/>
        <v>-259.73</v>
      </c>
      <c r="Y80" s="2"/>
      <c r="Z80" s="7">
        <f t="shared" si="51"/>
        <v>-0.13033878147064581</v>
      </c>
    </row>
    <row r="81" spans="1:26" s="24" customFormat="1" hidden="1" outlineLevel="2" x14ac:dyDescent="0.25">
      <c r="A81" s="26"/>
      <c r="B81" s="11" t="str">
        <f>CONCATENATE("          ", "6285", " - ", "JANITORIAL SERVICES")</f>
        <v xml:space="preserve">          6285 - JANITORIAL SERVICES</v>
      </c>
      <c r="C81" s="11"/>
      <c r="D81" s="6">
        <v>125.23</v>
      </c>
      <c r="E81" s="2"/>
      <c r="F81" s="7">
        <f t="shared" si="44"/>
        <v>6.0216197450272237E-4</v>
      </c>
      <c r="G81" s="2"/>
      <c r="H81" s="6">
        <v>46</v>
      </c>
      <c r="I81" s="2"/>
      <c r="J81" s="7">
        <f t="shared" si="45"/>
        <v>1.9746561469006807E-4</v>
      </c>
      <c r="K81" s="2"/>
      <c r="L81" s="6">
        <f t="shared" si="46"/>
        <v>79.23</v>
      </c>
      <c r="M81" s="2"/>
      <c r="N81" s="7">
        <f t="shared" si="47"/>
        <v>1.7223913043478263</v>
      </c>
      <c r="O81" s="11"/>
      <c r="P81" s="6">
        <v>651.38</v>
      </c>
      <c r="Q81" s="2"/>
      <c r="R81" s="7">
        <f t="shared" si="48"/>
        <v>4.0040747167792396E-4</v>
      </c>
      <c r="S81" s="2"/>
      <c r="T81" s="6">
        <v>602.25</v>
      </c>
      <c r="U81" s="2"/>
      <c r="V81" s="7">
        <f t="shared" si="49"/>
        <v>3.8741833779488944E-4</v>
      </c>
      <c r="W81" s="2"/>
      <c r="X81" s="6">
        <f t="shared" si="50"/>
        <v>49.129999999999995</v>
      </c>
      <c r="Y81" s="2"/>
      <c r="Z81" s="7">
        <f t="shared" si="51"/>
        <v>8.1577418015774172E-2</v>
      </c>
    </row>
    <row r="82" spans="1:26" s="24" customFormat="1" hidden="1" outlineLevel="2" x14ac:dyDescent="0.25">
      <c r="A82" s="26"/>
      <c r="B82" s="11" t="str">
        <f>CONCATENATE("          ", "6286", " - ", "LAUNDRY EXPENSE")</f>
        <v xml:space="preserve">          6286 - LAUNDRY EXPENSE</v>
      </c>
      <c r="C82" s="11"/>
      <c r="D82" s="6">
        <v>528.64</v>
      </c>
      <c r="E82" s="2"/>
      <c r="F82" s="7">
        <f t="shared" si="44"/>
        <v>2.5419380835352483E-3</v>
      </c>
      <c r="G82" s="2"/>
      <c r="H82" s="6">
        <v>445.67</v>
      </c>
      <c r="I82" s="2"/>
      <c r="J82" s="7">
        <f t="shared" si="45"/>
        <v>1.9131413151939705E-3</v>
      </c>
      <c r="K82" s="2"/>
      <c r="L82" s="6">
        <f t="shared" si="46"/>
        <v>82.96999999999997</v>
      </c>
      <c r="M82" s="2"/>
      <c r="N82" s="7">
        <f t="shared" si="47"/>
        <v>0.18616913860030956</v>
      </c>
      <c r="O82" s="11"/>
      <c r="P82" s="6">
        <v>4260.34</v>
      </c>
      <c r="Q82" s="2"/>
      <c r="R82" s="7">
        <f t="shared" si="48"/>
        <v>2.6188583743564841E-3</v>
      </c>
      <c r="S82" s="2"/>
      <c r="T82" s="6">
        <v>3845.68</v>
      </c>
      <c r="U82" s="2"/>
      <c r="V82" s="7">
        <f t="shared" si="49"/>
        <v>2.4738679174612708E-3</v>
      </c>
      <c r="W82" s="2"/>
      <c r="X82" s="6">
        <f t="shared" si="50"/>
        <v>414.66000000000031</v>
      </c>
      <c r="Y82" s="2"/>
      <c r="Z82" s="7">
        <f t="shared" si="51"/>
        <v>0.10782488402571205</v>
      </c>
    </row>
    <row r="83" spans="1:26" s="27" customFormat="1" outlineLevel="1" collapsed="1" x14ac:dyDescent="0.25">
      <c r="A83" s="25"/>
      <c r="B83" s="13" t="str">
        <f>CONCATENATE("     ","Subscriptions &amp; Dues                              ")</f>
        <v xml:space="preserve">     Subscriptions &amp; Dues                              </v>
      </c>
      <c r="C83" s="13"/>
      <c r="D83" s="1">
        <f>SUM(OSRRefD22_17x_0)</f>
        <v>352.8</v>
      </c>
      <c r="E83" s="1"/>
      <c r="F83" s="5">
        <f t="shared" ref="F83:F85" si="52">IF(D$12=0,0,D83/D$12)</f>
        <v>1.696420543037295E-3</v>
      </c>
      <c r="G83" s="1"/>
      <c r="H83" s="1">
        <f>SUM(OSRRefH22_17x_0)</f>
        <v>50</v>
      </c>
      <c r="I83" s="1"/>
      <c r="J83" s="5">
        <f t="shared" ref="J83:J85" si="53">IF(H$12=0,0,H83/H$12)</f>
        <v>2.1463653770659573E-4</v>
      </c>
      <c r="K83" s="1"/>
      <c r="L83" s="1">
        <f t="shared" ref="L83:L85" si="54">+D83-H83</f>
        <v>302.8</v>
      </c>
      <c r="M83" s="1"/>
      <c r="N83" s="5">
        <f t="shared" ref="N83:N85" si="55">IF(H83=0,0,L83/H83)</f>
        <v>6.056</v>
      </c>
      <c r="O83" s="13"/>
      <c r="P83" s="1">
        <f>SUM(OSRRefP22_17x_0)</f>
        <v>1058.4000000000001</v>
      </c>
      <c r="Q83" s="1"/>
      <c r="R83" s="5">
        <f t="shared" ref="R83:R85" si="56">IF(P$12=0,0,P83/P$12)</f>
        <v>6.5060528113223431E-4</v>
      </c>
      <c r="S83" s="1"/>
      <c r="T83" s="1">
        <f>SUM(OSRRefT22_17x_0)</f>
        <v>472.78000000000003</v>
      </c>
      <c r="U83" s="1"/>
      <c r="V83" s="5">
        <f t="shared" ref="V83:V85" si="57">IF(T$12=0,0,T83/T$12)</f>
        <v>3.0413224033651781E-4</v>
      </c>
      <c r="W83" s="1"/>
      <c r="X83" s="1">
        <f t="shared" ref="X83:X85" si="58">+P83-T83</f>
        <v>585.62000000000012</v>
      </c>
      <c r="Y83" s="1"/>
      <c r="Z83" s="5">
        <f t="shared" ref="Z83:Z85" si="59">IF(T83=0,0,X83/T83)</f>
        <v>1.2386733787385256</v>
      </c>
    </row>
    <row r="84" spans="1:26" s="24" customFormat="1" hidden="1" outlineLevel="2" x14ac:dyDescent="0.25">
      <c r="A84" s="26"/>
      <c r="B84" s="11" t="str">
        <f>CONCATENATE("          ", "6258", " - ", "MEMBERSHIP DUES")</f>
        <v xml:space="preserve">          6258 - MEMBERSHIP DUES</v>
      </c>
      <c r="C84" s="11"/>
      <c r="D84" s="6"/>
      <c r="E84" s="2"/>
      <c r="F84" s="7">
        <f t="shared" si="52"/>
        <v>0</v>
      </c>
      <c r="G84" s="2"/>
      <c r="H84" s="6">
        <v>50</v>
      </c>
      <c r="I84" s="2"/>
      <c r="J84" s="7">
        <f t="shared" si="53"/>
        <v>2.1463653770659573E-4</v>
      </c>
      <c r="K84" s="2"/>
      <c r="L84" s="6">
        <f t="shared" si="54"/>
        <v>-50</v>
      </c>
      <c r="M84" s="2"/>
      <c r="N84" s="7">
        <f t="shared" si="55"/>
        <v>-1</v>
      </c>
      <c r="O84" s="11"/>
      <c r="P84" s="6"/>
      <c r="Q84" s="2"/>
      <c r="R84" s="7">
        <f t="shared" si="56"/>
        <v>0</v>
      </c>
      <c r="S84" s="2"/>
      <c r="T84" s="6">
        <v>126.8</v>
      </c>
      <c r="U84" s="2"/>
      <c r="V84" s="7">
        <f t="shared" si="57"/>
        <v>8.1568526745358217E-5</v>
      </c>
      <c r="W84" s="2"/>
      <c r="X84" s="6">
        <f t="shared" si="58"/>
        <v>-126.8</v>
      </c>
      <c r="Y84" s="2"/>
      <c r="Z84" s="7">
        <f t="shared" si="59"/>
        <v>-1</v>
      </c>
    </row>
    <row r="85" spans="1:26" s="24" customFormat="1" hidden="1" outlineLevel="2" x14ac:dyDescent="0.25">
      <c r="A85" s="26"/>
      <c r="B85" s="11" t="str">
        <f>CONCATENATE("          ", "6275", " - ", "SUBSCRIPTIONS")</f>
        <v xml:space="preserve">          6275 - SUBSCRIPTIONS</v>
      </c>
      <c r="C85" s="11"/>
      <c r="D85" s="6">
        <v>352.8</v>
      </c>
      <c r="E85" s="2"/>
      <c r="F85" s="7">
        <f t="shared" si="52"/>
        <v>1.696420543037295E-3</v>
      </c>
      <c r="G85" s="2"/>
      <c r="H85" s="6"/>
      <c r="I85" s="2"/>
      <c r="J85" s="7">
        <f t="shared" si="53"/>
        <v>0</v>
      </c>
      <c r="K85" s="2"/>
      <c r="L85" s="6">
        <f t="shared" si="54"/>
        <v>352.8</v>
      </c>
      <c r="M85" s="2"/>
      <c r="N85" s="7">
        <f t="shared" si="55"/>
        <v>0</v>
      </c>
      <c r="O85" s="11"/>
      <c r="P85" s="6">
        <v>1058.4000000000001</v>
      </c>
      <c r="Q85" s="2"/>
      <c r="R85" s="7">
        <f t="shared" si="56"/>
        <v>6.5060528113223431E-4</v>
      </c>
      <c r="S85" s="2"/>
      <c r="T85" s="6">
        <v>345.98</v>
      </c>
      <c r="U85" s="2"/>
      <c r="V85" s="7">
        <f t="shared" si="57"/>
        <v>2.2256371359115958E-4</v>
      </c>
      <c r="W85" s="2"/>
      <c r="X85" s="6">
        <f t="shared" si="58"/>
        <v>712.42000000000007</v>
      </c>
      <c r="Y85" s="2"/>
      <c r="Z85" s="7">
        <f t="shared" si="59"/>
        <v>2.0591363662639459</v>
      </c>
    </row>
    <row r="86" spans="1:26" s="27" customFormat="1" outlineLevel="1" collapsed="1" x14ac:dyDescent="0.25">
      <c r="A86" s="25"/>
      <c r="B86" s="13" t="str">
        <f>CONCATENATE("     ","Supplies                                          ")</f>
        <v xml:space="preserve">     Supplies                                          </v>
      </c>
      <c r="C86" s="13"/>
      <c r="D86" s="1">
        <f>SUM(OSRRefD22_18x_0)</f>
        <v>2789.7799999999997</v>
      </c>
      <c r="E86" s="1"/>
      <c r="F86" s="5">
        <f t="shared" ref="F86:F93" si="60">IF(D$12=0,0,D86/D$12)</f>
        <v>1.3414512762342925E-2</v>
      </c>
      <c r="G86" s="1"/>
      <c r="H86" s="1">
        <f>SUM(OSRRefH22_18x_0)</f>
        <v>706.02</v>
      </c>
      <c r="I86" s="1"/>
      <c r="J86" s="5">
        <f t="shared" ref="J86:J93" si="61">IF(H$12=0,0,H86/H$12)</f>
        <v>3.0307537670322144E-3</v>
      </c>
      <c r="K86" s="1"/>
      <c r="L86" s="1">
        <f t="shared" ref="L86:L93" si="62">+D86-H86</f>
        <v>2083.7599999999998</v>
      </c>
      <c r="M86" s="1"/>
      <c r="N86" s="5">
        <f t="shared" ref="N86:N93" si="63">IF(H86=0,0,L86/H86)</f>
        <v>2.9514178068609951</v>
      </c>
      <c r="O86" s="13"/>
      <c r="P86" s="1">
        <f>SUM(OSRRefP22_18x_0)</f>
        <v>37879.279999999999</v>
      </c>
      <c r="Q86" s="1"/>
      <c r="R86" s="5">
        <f t="shared" ref="R86:R93" si="64">IF(P$12=0,0,P86/P$12)</f>
        <v>2.3284636823022124E-2</v>
      </c>
      <c r="S86" s="1"/>
      <c r="T86" s="1">
        <f>SUM(OSRRefT22_18x_0)</f>
        <v>31224.74</v>
      </c>
      <c r="U86" s="1"/>
      <c r="V86" s="5">
        <f t="shared" ref="V86:V93" si="65">IF(T$12=0,0,T86/T$12)</f>
        <v>2.0086404099423159E-2</v>
      </c>
      <c r="W86" s="1"/>
      <c r="X86" s="1">
        <f t="shared" ref="X86:X93" si="66">+P86-T86</f>
        <v>6654.5399999999972</v>
      </c>
      <c r="Y86" s="1"/>
      <c r="Z86" s="5">
        <f t="shared" ref="Z86:Z93" si="67">IF(T86=0,0,X86/T86)</f>
        <v>0.213117547175733</v>
      </c>
    </row>
    <row r="87" spans="1:26" s="24" customFormat="1" hidden="1" outlineLevel="2" x14ac:dyDescent="0.25">
      <c r="A87" s="26"/>
      <c r="B87" s="11" t="str">
        <f>CONCATENATE("          ", "6234", " - ", "EXPENDABLE SUPPLIES &amp; EQUIPMEN")</f>
        <v xml:space="preserve">          6234 - EXPENDABLE SUPPLIES &amp; EQUIPMEN</v>
      </c>
      <c r="C87" s="11"/>
      <c r="D87" s="6"/>
      <c r="E87" s="2"/>
      <c r="F87" s="7">
        <f t="shared" si="60"/>
        <v>0</v>
      </c>
      <c r="G87" s="2"/>
      <c r="H87" s="6"/>
      <c r="I87" s="2"/>
      <c r="J87" s="7">
        <f t="shared" si="61"/>
        <v>0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1092.46</v>
      </c>
      <c r="Q87" s="2"/>
      <c r="R87" s="7">
        <f t="shared" si="64"/>
        <v>6.7154218199709059E-4</v>
      </c>
      <c r="S87" s="2"/>
      <c r="T87" s="6">
        <v>939.33</v>
      </c>
      <c r="U87" s="2"/>
      <c r="V87" s="7">
        <f t="shared" si="65"/>
        <v>6.0425681567600423E-4</v>
      </c>
      <c r="W87" s="2"/>
      <c r="X87" s="6">
        <f t="shared" si="66"/>
        <v>153.13</v>
      </c>
      <c r="Y87" s="2"/>
      <c r="Z87" s="7">
        <f t="shared" si="67"/>
        <v>0.16302045074680888</v>
      </c>
    </row>
    <row r="88" spans="1:26" s="24" customFormat="1" hidden="1" outlineLevel="2" x14ac:dyDescent="0.25">
      <c r="A88" s="26"/>
      <c r="B88" s="11" t="str">
        <f>CONCATENATE("          ", "6237", " - ", "JANITORIAL SUPPLIES")</f>
        <v xml:space="preserve">          6237 - JANITORIAL SUPPLIES</v>
      </c>
      <c r="C88" s="11"/>
      <c r="D88" s="6">
        <v>180.57</v>
      </c>
      <c r="E88" s="2"/>
      <c r="F88" s="7">
        <f t="shared" si="60"/>
        <v>8.6826150072631615E-4</v>
      </c>
      <c r="G88" s="2"/>
      <c r="H88" s="6">
        <v>175.25</v>
      </c>
      <c r="I88" s="2"/>
      <c r="J88" s="7">
        <f t="shared" si="61"/>
        <v>7.52301064661618E-4</v>
      </c>
      <c r="K88" s="2"/>
      <c r="L88" s="6">
        <f t="shared" si="62"/>
        <v>5.3199999999999932</v>
      </c>
      <c r="M88" s="2"/>
      <c r="N88" s="7">
        <f t="shared" si="63"/>
        <v>3.0356633380884412E-2</v>
      </c>
      <c r="O88" s="11"/>
      <c r="P88" s="6">
        <v>3004.43</v>
      </c>
      <c r="Q88" s="2"/>
      <c r="R88" s="7">
        <f t="shared" si="64"/>
        <v>1.846842427052266E-3</v>
      </c>
      <c r="S88" s="2"/>
      <c r="T88" s="6">
        <v>3662.79</v>
      </c>
      <c r="U88" s="2"/>
      <c r="V88" s="7">
        <f t="shared" si="65"/>
        <v>2.3562175400444053E-3</v>
      </c>
      <c r="W88" s="2"/>
      <c r="X88" s="6">
        <f t="shared" si="66"/>
        <v>-658.36000000000013</v>
      </c>
      <c r="Y88" s="2"/>
      <c r="Z88" s="7">
        <f t="shared" si="67"/>
        <v>-0.17974276439544723</v>
      </c>
    </row>
    <row r="89" spans="1:26" s="24" customFormat="1" hidden="1" outlineLevel="2" x14ac:dyDescent="0.25">
      <c r="A89" s="26"/>
      <c r="B89" s="11" t="str">
        <f>CONCATENATE("          ", "6241", " - ", "OFFICE EXPENSE")</f>
        <v xml:space="preserve">          6241 - OFFICE EXPENSE</v>
      </c>
      <c r="C89" s="11"/>
      <c r="D89" s="6">
        <v>212.94</v>
      </c>
      <c r="E89" s="2"/>
      <c r="F89" s="7">
        <f t="shared" si="60"/>
        <v>1.0239109706189388E-3</v>
      </c>
      <c r="G89" s="2"/>
      <c r="H89" s="6">
        <v>202.65</v>
      </c>
      <c r="I89" s="2"/>
      <c r="J89" s="7">
        <f t="shared" si="61"/>
        <v>8.6992188732483249E-4</v>
      </c>
      <c r="K89" s="2"/>
      <c r="L89" s="6">
        <f t="shared" si="62"/>
        <v>10.289999999999992</v>
      </c>
      <c r="M89" s="2"/>
      <c r="N89" s="7">
        <f t="shared" si="63"/>
        <v>5.0777202072538823E-2</v>
      </c>
      <c r="O89" s="11"/>
      <c r="P89" s="6">
        <v>1876.88</v>
      </c>
      <c r="Q89" s="2"/>
      <c r="R89" s="7">
        <f t="shared" si="64"/>
        <v>1.1537301965716816E-3</v>
      </c>
      <c r="S89" s="2"/>
      <c r="T89" s="6">
        <v>4558.74</v>
      </c>
      <c r="U89" s="2"/>
      <c r="V89" s="7">
        <f t="shared" si="65"/>
        <v>2.9325686562707751E-3</v>
      </c>
      <c r="W89" s="2"/>
      <c r="X89" s="6">
        <f t="shared" si="66"/>
        <v>-2681.8599999999997</v>
      </c>
      <c r="Y89" s="2"/>
      <c r="Z89" s="7">
        <f t="shared" si="67"/>
        <v>-0.58828974672826262</v>
      </c>
    </row>
    <row r="90" spans="1:26" s="24" customFormat="1" hidden="1" outlineLevel="2" x14ac:dyDescent="0.25">
      <c r="A90" s="26"/>
      <c r="B90" s="11" t="str">
        <f>CONCATENATE("          ", "6243", " - ", "PAPER SUPPLIES")</f>
        <v xml:space="preserve">          6243 - PAPER SUPPLIES</v>
      </c>
      <c r="C90" s="11"/>
      <c r="D90" s="6">
        <v>334.75</v>
      </c>
      <c r="E90" s="2"/>
      <c r="F90" s="7">
        <f t="shared" si="60"/>
        <v>1.6096280521024219E-3</v>
      </c>
      <c r="G90" s="2"/>
      <c r="H90" s="6">
        <v>401.67</v>
      </c>
      <c r="I90" s="2"/>
      <c r="J90" s="7">
        <f t="shared" si="61"/>
        <v>1.7242611620121662E-3</v>
      </c>
      <c r="K90" s="2"/>
      <c r="L90" s="6">
        <f t="shared" si="62"/>
        <v>-66.920000000000016</v>
      </c>
      <c r="M90" s="2"/>
      <c r="N90" s="7">
        <f t="shared" si="63"/>
        <v>-0.16660442651928203</v>
      </c>
      <c r="O90" s="11"/>
      <c r="P90" s="6">
        <v>3352.6</v>
      </c>
      <c r="Q90" s="2"/>
      <c r="R90" s="7">
        <f t="shared" si="64"/>
        <v>2.0608647633446036E-3</v>
      </c>
      <c r="S90" s="2"/>
      <c r="T90" s="6">
        <v>5904.88</v>
      </c>
      <c r="U90" s="2"/>
      <c r="V90" s="7">
        <f t="shared" si="65"/>
        <v>3.7985202066887287E-3</v>
      </c>
      <c r="W90" s="2"/>
      <c r="X90" s="6">
        <f t="shared" si="66"/>
        <v>-2552.2800000000002</v>
      </c>
      <c r="Y90" s="2"/>
      <c r="Z90" s="7">
        <f t="shared" si="67"/>
        <v>-0.4322323230954736</v>
      </c>
    </row>
    <row r="91" spans="1:26" s="24" customFormat="1" hidden="1" outlineLevel="2" x14ac:dyDescent="0.25">
      <c r="A91" s="26"/>
      <c r="B91" s="11" t="str">
        <f>CONCATENATE("          ", "6245", " - ", "PRINTING")</f>
        <v xml:space="preserve">          6245 - PRINTING</v>
      </c>
      <c r="C91" s="11"/>
      <c r="D91" s="6"/>
      <c r="E91" s="2"/>
      <c r="F91" s="7">
        <f t="shared" si="60"/>
        <v>0</v>
      </c>
      <c r="G91" s="2"/>
      <c r="H91" s="6"/>
      <c r="I91" s="2"/>
      <c r="J91" s="7">
        <f t="shared" si="61"/>
        <v>0</v>
      </c>
      <c r="K91" s="2"/>
      <c r="L91" s="6">
        <f t="shared" si="62"/>
        <v>0</v>
      </c>
      <c r="M91" s="2"/>
      <c r="N91" s="7">
        <f t="shared" si="63"/>
        <v>0</v>
      </c>
      <c r="O91" s="11"/>
      <c r="P91" s="6">
        <v>81.739999999999995</v>
      </c>
      <c r="Q91" s="2"/>
      <c r="R91" s="7">
        <f t="shared" si="64"/>
        <v>5.0246103249951645E-5</v>
      </c>
      <c r="S91" s="2"/>
      <c r="T91" s="6">
        <v>51.82</v>
      </c>
      <c r="U91" s="2"/>
      <c r="V91" s="7">
        <f t="shared" si="65"/>
        <v>3.3335024100508378E-5</v>
      </c>
      <c r="W91" s="2"/>
      <c r="X91" s="6">
        <f t="shared" si="66"/>
        <v>29.919999999999995</v>
      </c>
      <c r="Y91" s="2"/>
      <c r="Z91" s="7">
        <f t="shared" si="67"/>
        <v>0.57738324971053634</v>
      </c>
    </row>
    <row r="92" spans="1:26" s="24" customFormat="1" hidden="1" outlineLevel="2" x14ac:dyDescent="0.25">
      <c r="A92" s="26"/>
      <c r="B92" s="11" t="str">
        <f>CONCATENATE("          ", "6247", " - ", "STORE SUPPLIES")</f>
        <v xml:space="preserve">          6247 - STORE SUPPLIES</v>
      </c>
      <c r="C92" s="11"/>
      <c r="D92" s="6">
        <v>2061.52</v>
      </c>
      <c r="E92" s="2"/>
      <c r="F92" s="7">
        <f t="shared" si="60"/>
        <v>9.9127122388952497E-3</v>
      </c>
      <c r="G92" s="2"/>
      <c r="H92" s="6">
        <v>-73.55</v>
      </c>
      <c r="I92" s="2"/>
      <c r="J92" s="7">
        <f t="shared" si="61"/>
        <v>-3.1573034696640229E-4</v>
      </c>
      <c r="K92" s="2"/>
      <c r="L92" s="6">
        <f t="shared" si="62"/>
        <v>2135.0700000000002</v>
      </c>
      <c r="M92" s="2"/>
      <c r="N92" s="7">
        <f t="shared" si="63"/>
        <v>-29.028823929299801</v>
      </c>
      <c r="O92" s="11"/>
      <c r="P92" s="6">
        <v>28471.17</v>
      </c>
      <c r="Q92" s="2"/>
      <c r="R92" s="7">
        <f t="shared" si="64"/>
        <v>1.7501411150806532E-2</v>
      </c>
      <c r="S92" s="2"/>
      <c r="T92" s="6">
        <v>14956</v>
      </c>
      <c r="U92" s="2"/>
      <c r="V92" s="7">
        <f t="shared" si="65"/>
        <v>9.6209691325203264E-3</v>
      </c>
      <c r="W92" s="2"/>
      <c r="X92" s="6">
        <f t="shared" si="66"/>
        <v>13515.169999999998</v>
      </c>
      <c r="Y92" s="2"/>
      <c r="Z92" s="7">
        <f t="shared" si="67"/>
        <v>0.90366207542123556</v>
      </c>
    </row>
    <row r="93" spans="1:26" s="24" customFormat="1" hidden="1" outlineLevel="2" x14ac:dyDescent="0.25">
      <c r="A93" s="26"/>
      <c r="B93" s="11" t="str">
        <f>CONCATENATE("          ", "6248", " - ", "UNIFORMS")</f>
        <v xml:space="preserve">          6248 - UNIFORMS</v>
      </c>
      <c r="C93" s="11"/>
      <c r="D93" s="6"/>
      <c r="E93" s="2"/>
      <c r="F93" s="7">
        <f t="shared" si="60"/>
        <v>0</v>
      </c>
      <c r="G93" s="2"/>
      <c r="H93" s="6"/>
      <c r="I93" s="2"/>
      <c r="J93" s="7">
        <f t="shared" si="61"/>
        <v>0</v>
      </c>
      <c r="K93" s="2"/>
      <c r="L93" s="6">
        <f t="shared" si="62"/>
        <v>0</v>
      </c>
      <c r="M93" s="2"/>
      <c r="N93" s="7">
        <f t="shared" si="63"/>
        <v>0</v>
      </c>
      <c r="O93" s="11"/>
      <c r="P93" s="6"/>
      <c r="Q93" s="2"/>
      <c r="R93" s="7">
        <f t="shared" si="64"/>
        <v>0</v>
      </c>
      <c r="S93" s="2"/>
      <c r="T93" s="6">
        <v>1151.18</v>
      </c>
      <c r="U93" s="2"/>
      <c r="V93" s="7">
        <f t="shared" si="65"/>
        <v>7.4053672412240914E-4</v>
      </c>
      <c r="W93" s="2"/>
      <c r="X93" s="6">
        <f t="shared" si="66"/>
        <v>-1151.18</v>
      </c>
      <c r="Y93" s="2"/>
      <c r="Z93" s="7">
        <f t="shared" si="67"/>
        <v>-1</v>
      </c>
    </row>
    <row r="94" spans="1:26" s="27" customFormat="1" outlineLevel="1" collapsed="1" x14ac:dyDescent="0.25">
      <c r="A94" s="25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SUM(OSRRefD22_19x_0)</f>
        <v>348.86</v>
      </c>
      <c r="E94" s="1"/>
      <c r="F94" s="5">
        <f t="shared" ref="F94:F99" si="68">IF(D$12=0,0,D94/D$12)</f>
        <v>1.6774752569274113E-3</v>
      </c>
      <c r="G94" s="1"/>
      <c r="H94" s="1">
        <f>SUM(OSRRefH22_19x_0)</f>
        <v>346.41</v>
      </c>
      <c r="I94" s="1"/>
      <c r="J94" s="5">
        <f t="shared" ref="J94:J99" si="69">IF(H$12=0,0,H94/H$12)</f>
        <v>1.4870448605388367E-3</v>
      </c>
      <c r="K94" s="1"/>
      <c r="L94" s="1">
        <f t="shared" ref="L94:L99" si="70">+D94-H94</f>
        <v>2.4499999999999886</v>
      </c>
      <c r="M94" s="1"/>
      <c r="N94" s="5">
        <f t="shared" ref="N94:N99" si="71">IF(H94=0,0,L94/H94)</f>
        <v>7.0725440951473354E-3</v>
      </c>
      <c r="O94" s="13"/>
      <c r="P94" s="1">
        <f>SUM(OSRRefP22_19x_0)</f>
        <v>2046.26</v>
      </c>
      <c r="Q94" s="1"/>
      <c r="R94" s="5">
        <f t="shared" ref="R94:R99" si="72">IF(P$12=0,0,P94/P$12)</f>
        <v>1.2578491709841701E-3</v>
      </c>
      <c r="S94" s="1"/>
      <c r="T94" s="1">
        <f>SUM(OSRRefT22_19x_0)</f>
        <v>2151.91</v>
      </c>
      <c r="U94" s="1"/>
      <c r="V94" s="5">
        <f t="shared" ref="V94:V99" si="73">IF(T$12=0,0,T94/T$12)</f>
        <v>1.3842912333486104E-3</v>
      </c>
      <c r="W94" s="1"/>
      <c r="X94" s="1">
        <f t="shared" ref="X94:X99" si="74">+P94-T94</f>
        <v>-105.64999999999986</v>
      </c>
      <c r="Y94" s="1"/>
      <c r="Z94" s="5">
        <f t="shared" ref="Z94:Z99" si="75">IF(T94=0,0,X94/T94)</f>
        <v>-4.9095919439009934E-2</v>
      </c>
    </row>
    <row r="95" spans="1:26" s="24" customFormat="1" hidden="1" outlineLevel="2" x14ac:dyDescent="0.25">
      <c r="A95" s="26"/>
      <c r="B95" s="11" t="str">
        <f>CONCATENATE("          ", "6309", " - ", "TELEPHONE")</f>
        <v xml:space="preserve">          6309 - TELEPHONE</v>
      </c>
      <c r="C95" s="11"/>
      <c r="D95" s="6">
        <v>348.86</v>
      </c>
      <c r="E95" s="2"/>
      <c r="F95" s="7">
        <f t="shared" si="68"/>
        <v>1.6774752569274113E-3</v>
      </c>
      <c r="G95" s="2"/>
      <c r="H95" s="6">
        <v>346.41</v>
      </c>
      <c r="I95" s="2"/>
      <c r="J95" s="7">
        <f t="shared" si="69"/>
        <v>1.4870448605388367E-3</v>
      </c>
      <c r="K95" s="2"/>
      <c r="L95" s="6">
        <f t="shared" si="70"/>
        <v>2.4499999999999886</v>
      </c>
      <c r="M95" s="2"/>
      <c r="N95" s="7">
        <f t="shared" si="71"/>
        <v>7.0725440951473354E-3</v>
      </c>
      <c r="O95" s="11"/>
      <c r="P95" s="6">
        <v>2046.26</v>
      </c>
      <c r="Q95" s="2"/>
      <c r="R95" s="7">
        <f t="shared" si="72"/>
        <v>1.2578491709841701E-3</v>
      </c>
      <c r="S95" s="2"/>
      <c r="T95" s="6">
        <v>2151.91</v>
      </c>
      <c r="U95" s="2"/>
      <c r="V95" s="7">
        <f t="shared" si="73"/>
        <v>1.3842912333486104E-3</v>
      </c>
      <c r="W95" s="2"/>
      <c r="X95" s="6">
        <f t="shared" si="74"/>
        <v>-105.64999999999986</v>
      </c>
      <c r="Y95" s="2"/>
      <c r="Z95" s="7">
        <f t="shared" si="75"/>
        <v>-4.9095919439009934E-2</v>
      </c>
    </row>
    <row r="96" spans="1:26" s="27" customFormat="1" outlineLevel="1" collapsed="1" x14ac:dyDescent="0.25">
      <c r="A96" s="25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SUM(OSRRefD22_20x_0)</f>
        <v>0</v>
      </c>
      <c r="E96" s="1"/>
      <c r="F96" s="5">
        <f t="shared" si="68"/>
        <v>0</v>
      </c>
      <c r="G96" s="1"/>
      <c r="H96" s="1">
        <f>SUM(OSRRefH22_20x_0)</f>
        <v>139</v>
      </c>
      <c r="I96" s="1"/>
      <c r="J96" s="5">
        <f t="shared" si="69"/>
        <v>5.966895748243361E-4</v>
      </c>
      <c r="K96" s="1"/>
      <c r="L96" s="1">
        <f t="shared" si="70"/>
        <v>-139</v>
      </c>
      <c r="M96" s="1"/>
      <c r="N96" s="5">
        <f t="shared" si="71"/>
        <v>-1</v>
      </c>
      <c r="O96" s="13"/>
      <c r="P96" s="1">
        <f>SUM(OSRRefP22_20x_0)</f>
        <v>96</v>
      </c>
      <c r="Q96" s="1"/>
      <c r="R96" s="5">
        <f t="shared" si="72"/>
        <v>5.9011816882742332E-5</v>
      </c>
      <c r="S96" s="1"/>
      <c r="T96" s="1">
        <f>SUM(OSRRefT22_20x_0)</f>
        <v>297.82</v>
      </c>
      <c r="U96" s="1"/>
      <c r="V96" s="5">
        <f t="shared" si="73"/>
        <v>1.9158311226579323E-4</v>
      </c>
      <c r="W96" s="1"/>
      <c r="X96" s="1">
        <f t="shared" si="74"/>
        <v>-201.82</v>
      </c>
      <c r="Y96" s="1"/>
      <c r="Z96" s="5">
        <f t="shared" si="75"/>
        <v>-0.67765764555771946</v>
      </c>
    </row>
    <row r="97" spans="1:26" s="24" customFormat="1" hidden="1" outlineLevel="2" x14ac:dyDescent="0.25">
      <c r="A97" s="26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68"/>
        <v>0</v>
      </c>
      <c r="G97" s="2"/>
      <c r="H97" s="6">
        <v>139</v>
      </c>
      <c r="I97" s="2"/>
      <c r="J97" s="7">
        <f t="shared" si="69"/>
        <v>5.966895748243361E-4</v>
      </c>
      <c r="K97" s="2"/>
      <c r="L97" s="6">
        <f t="shared" si="70"/>
        <v>-139</v>
      </c>
      <c r="M97" s="2"/>
      <c r="N97" s="7">
        <f t="shared" si="71"/>
        <v>-1</v>
      </c>
      <c r="O97" s="11"/>
      <c r="P97" s="6">
        <v>96</v>
      </c>
      <c r="Q97" s="2"/>
      <c r="R97" s="7">
        <f t="shared" si="72"/>
        <v>5.9011816882742332E-5</v>
      </c>
      <c r="S97" s="2"/>
      <c r="T97" s="6">
        <v>297.82</v>
      </c>
      <c r="U97" s="2"/>
      <c r="V97" s="7">
        <f t="shared" si="73"/>
        <v>1.9158311226579323E-4</v>
      </c>
      <c r="W97" s="2"/>
      <c r="X97" s="6">
        <f t="shared" si="74"/>
        <v>-201.82</v>
      </c>
      <c r="Y97" s="2"/>
      <c r="Z97" s="7">
        <f t="shared" si="75"/>
        <v>-0.67765764555771946</v>
      </c>
    </row>
    <row r="98" spans="1:26" s="27" customFormat="1" outlineLevel="1" collapsed="1" x14ac:dyDescent="0.25">
      <c r="A98" s="25"/>
      <c r="B98" s="13" t="str">
        <f>CONCATENATE("     ","Utilities                                         ")</f>
        <v xml:space="preserve">     Utilities                                         </v>
      </c>
      <c r="C98" s="13"/>
      <c r="D98" s="1">
        <f>SUM(OSRRefD22_21x_0)</f>
        <v>2412</v>
      </c>
      <c r="E98" s="1"/>
      <c r="F98" s="5">
        <f t="shared" si="68"/>
        <v>1.1597977181989669E-2</v>
      </c>
      <c r="G98" s="1"/>
      <c r="H98" s="1">
        <f>SUM(OSRRefH22_21x_0)</f>
        <v>1089</v>
      </c>
      <c r="I98" s="1"/>
      <c r="J98" s="5">
        <f t="shared" si="69"/>
        <v>4.6747837912496553E-3</v>
      </c>
      <c r="K98" s="1"/>
      <c r="L98" s="1">
        <f t="shared" si="70"/>
        <v>1323</v>
      </c>
      <c r="M98" s="1"/>
      <c r="N98" s="5">
        <f t="shared" si="71"/>
        <v>1.2148760330578512</v>
      </c>
      <c r="O98" s="13"/>
      <c r="P98" s="1">
        <f>SUM(OSRRefP22_21x_0)</f>
        <v>5450.12</v>
      </c>
      <c r="Q98" s="1"/>
      <c r="R98" s="5">
        <f t="shared" si="72"/>
        <v>3.3502237857184545E-3</v>
      </c>
      <c r="S98" s="1"/>
      <c r="T98" s="1">
        <f>SUM(OSRRefT22_21x_0)</f>
        <v>4113.49</v>
      </c>
      <c r="U98" s="1"/>
      <c r="V98" s="5">
        <f t="shared" si="73"/>
        <v>2.646146049540722E-3</v>
      </c>
      <c r="W98" s="1"/>
      <c r="X98" s="1">
        <f t="shared" si="74"/>
        <v>1336.63</v>
      </c>
      <c r="Y98" s="1"/>
      <c r="Z98" s="5">
        <f t="shared" si="75"/>
        <v>0.32493819117100081</v>
      </c>
    </row>
    <row r="99" spans="1:26" s="24" customFormat="1" hidden="1" outlineLevel="2" x14ac:dyDescent="0.25">
      <c r="A99" s="26"/>
      <c r="B99" s="11" t="str">
        <f>CONCATENATE("          ", "6274", " - ", "UTILITIES")</f>
        <v xml:space="preserve">          6274 - UTILITIES</v>
      </c>
      <c r="C99" s="11"/>
      <c r="D99" s="6">
        <v>2412</v>
      </c>
      <c r="E99" s="2"/>
      <c r="F99" s="7">
        <f t="shared" si="68"/>
        <v>1.1597977181989669E-2</v>
      </c>
      <c r="G99" s="2"/>
      <c r="H99" s="6">
        <v>1089</v>
      </c>
      <c r="I99" s="2"/>
      <c r="J99" s="7">
        <f t="shared" si="69"/>
        <v>4.6747837912496553E-3</v>
      </c>
      <c r="K99" s="2"/>
      <c r="L99" s="6">
        <f t="shared" si="70"/>
        <v>1323</v>
      </c>
      <c r="M99" s="2"/>
      <c r="N99" s="7">
        <f t="shared" si="71"/>
        <v>1.2148760330578512</v>
      </c>
      <c r="O99" s="11"/>
      <c r="P99" s="6">
        <v>5450.12</v>
      </c>
      <c r="Q99" s="2"/>
      <c r="R99" s="7">
        <f t="shared" si="72"/>
        <v>3.3502237857184545E-3</v>
      </c>
      <c r="S99" s="2"/>
      <c r="T99" s="6">
        <v>4113.49</v>
      </c>
      <c r="U99" s="2"/>
      <c r="V99" s="7">
        <f t="shared" si="73"/>
        <v>2.646146049540722E-3</v>
      </c>
      <c r="W99" s="2"/>
      <c r="X99" s="6">
        <f t="shared" si="74"/>
        <v>1336.63</v>
      </c>
      <c r="Y99" s="2"/>
      <c r="Z99" s="7">
        <f t="shared" si="75"/>
        <v>0.32493819117100081</v>
      </c>
    </row>
    <row r="100" spans="1:26" s="61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x14ac:dyDescent="0.25">
      <c r="A101" s="10"/>
      <c r="B101" s="28" t="s">
        <v>0</v>
      </c>
      <c r="C101" s="10"/>
      <c r="D101" s="4">
        <f>SUM(0)</f>
        <v>0</v>
      </c>
      <c r="E101" s="4"/>
      <c r="F101" s="12">
        <f>IF(D$12=0,0,D101/D$12)</f>
        <v>0</v>
      </c>
      <c r="G101" s="4"/>
      <c r="H101" s="4">
        <f>SUM(0)</f>
        <v>0</v>
      </c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>
        <f>SUM(0)</f>
        <v>0</v>
      </c>
      <c r="Q101" s="4"/>
      <c r="R101" s="12">
        <f>IF(P$12=0,0,P101/P$12)</f>
        <v>0</v>
      </c>
      <c r="S101" s="4"/>
      <c r="T101" s="4">
        <f>SUM(0)</f>
        <v>0</v>
      </c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0">
        <f>+D28-D30+D101</f>
        <v>12821.210000000006</v>
      </c>
      <c r="E103" s="14"/>
      <c r="F103" s="21">
        <f>IF(D$12=0,0,D103/D$12)</f>
        <v>6.1650124803274392E-2</v>
      </c>
      <c r="G103" s="14"/>
      <c r="H103" s="20">
        <f>+H28-H30+H101</f>
        <v>32500.640000000029</v>
      </c>
      <c r="I103" s="14"/>
      <c r="J103" s="21">
        <f>IF(H$12=0,0,H103/H$12)</f>
        <v>0.13951649685696998</v>
      </c>
      <c r="K103" s="15"/>
      <c r="L103" s="20">
        <f>+D103-H103</f>
        <v>-19679.430000000022</v>
      </c>
      <c r="M103" s="15"/>
      <c r="N103" s="21">
        <f>IF(H103=0,0,L103/H103)</f>
        <v>-0.60550899920740042</v>
      </c>
      <c r="O103" s="28"/>
      <c r="P103" s="20">
        <f>+P28-P30+P101</f>
        <v>213859.7699999999</v>
      </c>
      <c r="Q103" s="14"/>
      <c r="R103" s="21">
        <f>IF(P$12=0,0,P103/P$12)</f>
        <v>0.13146097485234778</v>
      </c>
      <c r="S103" s="14"/>
      <c r="T103" s="20">
        <f>+T28-T30+T101</f>
        <v>224188.32999999996</v>
      </c>
      <c r="U103" s="14"/>
      <c r="V103" s="21">
        <f>IF(T$12=0,0,T103/T$12)</f>
        <v>0.14421696996531697</v>
      </c>
      <c r="W103" s="15"/>
      <c r="X103" s="20">
        <f>+P103-T103</f>
        <v>-10328.560000000056</v>
      </c>
      <c r="Y103" s="15"/>
      <c r="Z103" s="21">
        <f>IF(T103=0,0,X103/T103)</f>
        <v>-4.6070908329617591E-2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1"/>
      <c r="B105" s="10" t="s">
        <v>13</v>
      </c>
      <c r="C105" s="10"/>
      <c r="D105" s="4">
        <v>25462.12</v>
      </c>
      <c r="E105" s="4"/>
      <c r="F105" s="12">
        <f>IF(D$12=0,0,D105/D$12)</f>
        <v>0.12243328638685025</v>
      </c>
      <c r="G105" s="4"/>
      <c r="H105" s="4">
        <v>28697.68</v>
      </c>
      <c r="I105" s="4"/>
      <c r="J105" s="12">
        <f>IF(H$12=0,0,H105/H$12)</f>
        <v>0.12319141350823637</v>
      </c>
      <c r="K105" s="4"/>
      <c r="L105" s="4">
        <f>+D105-H105</f>
        <v>-3235.5600000000013</v>
      </c>
      <c r="M105" s="4"/>
      <c r="N105" s="12">
        <f>IF(H105=0,0,L105/H105)</f>
        <v>-0.11274639622436383</v>
      </c>
      <c r="O105" s="10"/>
      <c r="P105" s="4">
        <v>175706.16</v>
      </c>
      <c r="Q105" s="4"/>
      <c r="R105" s="12">
        <f>IF(P$12=0,0,P105/P$12)</f>
        <v>0.10800770561551902</v>
      </c>
      <c r="S105" s="4"/>
      <c r="T105" s="4">
        <v>167756.35999999999</v>
      </c>
      <c r="U105" s="4"/>
      <c r="V105" s="12">
        <f>IF(T$12=0,0,T105/T$12)</f>
        <v>0.10791513515271246</v>
      </c>
      <c r="W105" s="4"/>
      <c r="X105" s="4">
        <f>+P105-T105</f>
        <v>7949.8000000000175</v>
      </c>
      <c r="Y105" s="4"/>
      <c r="Z105" s="12">
        <f>IF(T105=0,0,X105/T105)</f>
        <v>4.7388963375218786E-2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2">
        <f>+D103-D105</f>
        <v>-12640.909999999993</v>
      </c>
      <c r="E107" s="14"/>
      <c r="F107" s="30">
        <f>IF(D$12=0,0,D107/D$12)</f>
        <v>-6.078316158357585E-2</v>
      </c>
      <c r="G107" s="14"/>
      <c r="H107" s="32">
        <f>+H103-H105</f>
        <v>3802.9600000000282</v>
      </c>
      <c r="I107" s="14"/>
      <c r="J107" s="30">
        <f>IF(H$12=0,0,H107/H$12)</f>
        <v>1.6325083348733626E-2</v>
      </c>
      <c r="K107" s="15"/>
      <c r="L107" s="32">
        <f>D107-H107</f>
        <v>-16443.870000000021</v>
      </c>
      <c r="M107" s="15"/>
      <c r="N107" s="30">
        <f>IF(H107=0,0,L107/H107)</f>
        <v>-4.3239660685360608</v>
      </c>
      <c r="O107" s="28"/>
      <c r="P107" s="32">
        <f>+P103-P105</f>
        <v>38153.609999999899</v>
      </c>
      <c r="Q107" s="14"/>
      <c r="R107" s="30">
        <f>IF(P$12=0,0,P107/P$12)</f>
        <v>2.3453269236828757E-2</v>
      </c>
      <c r="S107" s="14"/>
      <c r="T107" s="32">
        <f>+T103-T105</f>
        <v>56431.969999999972</v>
      </c>
      <c r="U107" s="14"/>
      <c r="V107" s="30">
        <f>IF(T$12=0,0,T107/T$12)</f>
        <v>3.6301834812604496E-2</v>
      </c>
      <c r="W107" s="15"/>
      <c r="X107" s="32">
        <f>P107-T107</f>
        <v>-18278.360000000073</v>
      </c>
      <c r="Y107" s="15"/>
      <c r="Z107" s="30">
        <f>IF(T107=0,0,X107/T107)</f>
        <v>-0.32390079594953147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6">
        <f>SUM(D107:D109)</f>
        <v>-12640.909999999993</v>
      </c>
      <c r="E110" s="14"/>
      <c r="F110" s="31">
        <f>IF(D$12=0,0,D110/D$12)</f>
        <v>-6.078316158357585E-2</v>
      </c>
      <c r="G110" s="14"/>
      <c r="H110" s="36">
        <f>SUM(H107:H109)</f>
        <v>3802.9600000000282</v>
      </c>
      <c r="I110" s="14"/>
      <c r="J110" s="31">
        <f>IF(H$12=0,0,H110/H$12)</f>
        <v>1.6325083348733626E-2</v>
      </c>
      <c r="K110" s="15"/>
      <c r="L110" s="36">
        <f>+D110-H110</f>
        <v>-16443.870000000021</v>
      </c>
      <c r="M110" s="15"/>
      <c r="N110" s="31">
        <f>IF(H110=0,0,L110/H110)</f>
        <v>-4.3239660685360608</v>
      </c>
      <c r="O110" s="28"/>
      <c r="P110" s="36">
        <f>SUM(P107:P109)</f>
        <v>38153.609999999899</v>
      </c>
      <c r="Q110" s="14"/>
      <c r="R110" s="31">
        <f>IF(P$12=0,0,P110/P$12)</f>
        <v>2.3453269236828757E-2</v>
      </c>
      <c r="S110" s="14"/>
      <c r="T110" s="36">
        <f>SUM(T107:T109)</f>
        <v>56431.969999999972</v>
      </c>
      <c r="U110" s="14"/>
      <c r="V110" s="31">
        <f>IF(T$12=0,0,T110/T$12)</f>
        <v>3.6301834812604496E-2</v>
      </c>
      <c r="W110" s="15"/>
      <c r="X110" s="36">
        <f>+P110-T110</f>
        <v>-18278.360000000073</v>
      </c>
      <c r="Y110" s="15"/>
      <c r="Z110" s="31">
        <f>IF(T110=0,0,X110/T110)</f>
        <v>-0.32390079594953147</v>
      </c>
    </row>
    <row r="111" spans="1:26" ht="15.75" thickTop="1" x14ac:dyDescent="0.25">
      <c r="A111" s="9"/>
      <c r="C111" s="9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62">
        <v>43847.453199965275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56" t="s">
        <v>313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54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","309", " - ", "Carts")</f>
        <v>Department 309 - Carts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21786.370000000003</v>
      </c>
      <c r="E12" s="4"/>
      <c r="F12" s="12"/>
      <c r="G12" s="4"/>
      <c r="H12" s="4">
        <f>SUM(OSRRefH13x_0)</f>
        <v>28402.92</v>
      </c>
      <c r="I12" s="4"/>
      <c r="J12" s="12"/>
      <c r="K12" s="4"/>
      <c r="L12" s="4">
        <f t="shared" ref="L12:L14" si="0">+D12-H12</f>
        <v>-6616.5499999999956</v>
      </c>
      <c r="M12" s="4"/>
      <c r="N12" s="12">
        <f t="shared" ref="N12:N14" si="1">IF(H12=0,0,L12/H12)</f>
        <v>-0.23295316115385306</v>
      </c>
      <c r="O12" s="10"/>
      <c r="P12" s="4">
        <f>SUM(OSRRefP13x_0)</f>
        <v>199194.84</v>
      </c>
      <c r="Q12" s="4"/>
      <c r="R12" s="12"/>
      <c r="S12" s="4"/>
      <c r="T12" s="4">
        <f>SUM(OSRRefT13x_0)</f>
        <v>205364.88</v>
      </c>
      <c r="U12" s="4"/>
      <c r="V12" s="12"/>
      <c r="W12" s="4"/>
      <c r="X12" s="4">
        <f t="shared" ref="X12:X14" si="2">+P12-T12</f>
        <v>-6170.0400000000081</v>
      </c>
      <c r="Y12" s="4"/>
      <c r="Z12" s="12">
        <f t="shared" ref="Z12:Z14" si="3">IF(T12=0,0,X12/T12)</f>
        <v>-3.0044280209936616E-2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--6300.58</f>
        <v>6300.58</v>
      </c>
      <c r="E13" s="2"/>
      <c r="F13" s="19"/>
      <c r="G13" s="2"/>
      <c r="H13" s="2">
        <f>--7595.03</f>
        <v>7595.03</v>
      </c>
      <c r="I13" s="2"/>
      <c r="J13" s="19"/>
      <c r="K13" s="2"/>
      <c r="L13" s="2">
        <f t="shared" si="0"/>
        <v>-1294.4499999999998</v>
      </c>
      <c r="M13" s="2"/>
      <c r="N13" s="19">
        <f t="shared" si="1"/>
        <v>-0.17043382317120537</v>
      </c>
      <c r="O13" s="11"/>
      <c r="P13" s="2">
        <f>--45239.69</f>
        <v>45239.69</v>
      </c>
      <c r="Q13" s="2"/>
      <c r="R13" s="19"/>
      <c r="S13" s="2"/>
      <c r="T13" s="2">
        <f>--45229.78</f>
        <v>45229.78</v>
      </c>
      <c r="U13" s="2"/>
      <c r="V13" s="19"/>
      <c r="W13" s="2"/>
      <c r="X13" s="2">
        <f t="shared" si="2"/>
        <v>9.9100000000034925</v>
      </c>
      <c r="Y13" s="2"/>
      <c r="Z13" s="19">
        <f t="shared" si="3"/>
        <v>2.1910343141185945E-4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--15485.79</f>
        <v>15485.79</v>
      </c>
      <c r="E14" s="2"/>
      <c r="F14" s="19"/>
      <c r="G14" s="2"/>
      <c r="H14" s="2">
        <f>--20807.89</f>
        <v>20807.89</v>
      </c>
      <c r="I14" s="2"/>
      <c r="J14" s="19"/>
      <c r="K14" s="2"/>
      <c r="L14" s="2">
        <f t="shared" si="0"/>
        <v>-5322.0999999999985</v>
      </c>
      <c r="M14" s="2"/>
      <c r="N14" s="19">
        <f t="shared" si="1"/>
        <v>-0.25577317065786098</v>
      </c>
      <c r="O14" s="11"/>
      <c r="P14" s="2">
        <f>--153955.15</f>
        <v>153955.15</v>
      </c>
      <c r="Q14" s="2"/>
      <c r="R14" s="19"/>
      <c r="S14" s="2"/>
      <c r="T14" s="2">
        <f>--160135.1</f>
        <v>160135.1</v>
      </c>
      <c r="U14" s="2"/>
      <c r="V14" s="19"/>
      <c r="W14" s="2"/>
      <c r="X14" s="2">
        <f t="shared" si="2"/>
        <v>-6179.9500000000116</v>
      </c>
      <c r="Y14" s="2"/>
      <c r="Z14" s="19">
        <f t="shared" si="3"/>
        <v>-3.8592101294469557E-2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9653.27</v>
      </c>
      <c r="E16" s="4"/>
      <c r="F16" s="12">
        <f t="shared" ref="F16:F18" si="4">IF(D$12=0,0,D16/D$12)</f>
        <v>0.44308758182294705</v>
      </c>
      <c r="G16" s="4"/>
      <c r="H16" s="4">
        <f>SUM(OSRRefH16x_0)</f>
        <v>12823.84</v>
      </c>
      <c r="I16" s="4"/>
      <c r="J16" s="12">
        <f t="shared" ref="J16:J18" si="5">IF(H$12=0,0,H16/H$12)</f>
        <v>0.45149724042457612</v>
      </c>
      <c r="K16" s="4"/>
      <c r="L16" s="4">
        <f t="shared" ref="L16:L18" si="6">+D16-H16</f>
        <v>-3170.5699999999997</v>
      </c>
      <c r="M16" s="4"/>
      <c r="N16" s="12">
        <f t="shared" ref="N16:N18" si="7">IF(H16=0,0,L16/H16)</f>
        <v>-0.24724029619833057</v>
      </c>
      <c r="O16" s="10"/>
      <c r="P16" s="4">
        <f>SUM(OSRRefP16x_0)</f>
        <v>91487.049999999988</v>
      </c>
      <c r="Q16" s="4"/>
      <c r="R16" s="12">
        <f t="shared" ref="R16:R18" si="8">IF(P$12=0,0,P16/P$12)</f>
        <v>0.45928423647921801</v>
      </c>
      <c r="S16" s="4"/>
      <c r="T16" s="4">
        <f>SUM(OSRRefT16x_0)</f>
        <v>102229.84999999999</v>
      </c>
      <c r="U16" s="4"/>
      <c r="V16" s="12">
        <f t="shared" ref="V16:V18" si="9">IF(T$12=0,0,T16/T$12)</f>
        <v>0.49779616651104119</v>
      </c>
      <c r="W16" s="4"/>
      <c r="X16" s="4">
        <f t="shared" ref="X16:X18" si="10">+P16-T16</f>
        <v>-10742.800000000003</v>
      </c>
      <c r="Y16" s="4"/>
      <c r="Z16" s="12">
        <f t="shared" ref="Z16:Z18" si="11">IF(T16=0,0,X16/T16)</f>
        <v>-0.10508476731600412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6780.27</v>
      </c>
      <c r="E17" s="2"/>
      <c r="F17" s="19">
        <f t="shared" si="4"/>
        <v>0.31121614110106455</v>
      </c>
      <c r="G17" s="2"/>
      <c r="H17" s="2">
        <v>7458.48</v>
      </c>
      <c r="I17" s="2"/>
      <c r="J17" s="19">
        <f t="shared" si="5"/>
        <v>0.26259553595193735</v>
      </c>
      <c r="K17" s="2"/>
      <c r="L17" s="2">
        <f t="shared" si="6"/>
        <v>-678.20999999999913</v>
      </c>
      <c r="M17" s="2"/>
      <c r="N17" s="19">
        <f t="shared" si="7"/>
        <v>-9.0931396209415205E-2</v>
      </c>
      <c r="O17" s="11"/>
      <c r="P17" s="2">
        <v>94356.739999999991</v>
      </c>
      <c r="Q17" s="2"/>
      <c r="R17" s="19">
        <f t="shared" si="8"/>
        <v>0.47369068395546787</v>
      </c>
      <c r="S17" s="2"/>
      <c r="T17" s="2">
        <v>93354.26</v>
      </c>
      <c r="U17" s="2"/>
      <c r="V17" s="19">
        <f t="shared" si="9"/>
        <v>0.45457753049109462</v>
      </c>
      <c r="W17" s="2"/>
      <c r="X17" s="2">
        <f t="shared" si="10"/>
        <v>1002.4799999999959</v>
      </c>
      <c r="Y17" s="2"/>
      <c r="Z17" s="19">
        <f t="shared" si="11"/>
        <v>1.0738449429088678E-2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2873</v>
      </c>
      <c r="E18" s="2"/>
      <c r="F18" s="19">
        <f t="shared" si="4"/>
        <v>0.13187144072188253</v>
      </c>
      <c r="G18" s="2"/>
      <c r="H18" s="2">
        <v>5365.36</v>
      </c>
      <c r="I18" s="2"/>
      <c r="J18" s="19">
        <f t="shared" si="5"/>
        <v>0.18890170447263874</v>
      </c>
      <c r="K18" s="2"/>
      <c r="L18" s="2">
        <f t="shared" si="6"/>
        <v>-2492.3599999999997</v>
      </c>
      <c r="M18" s="2"/>
      <c r="N18" s="19">
        <f t="shared" si="7"/>
        <v>-0.46452800930412869</v>
      </c>
      <c r="O18" s="11"/>
      <c r="P18" s="2">
        <v>-2869.69</v>
      </c>
      <c r="Q18" s="2"/>
      <c r="R18" s="19">
        <f t="shared" si="8"/>
        <v>-1.4406447476249888E-2</v>
      </c>
      <c r="S18" s="2"/>
      <c r="T18" s="2">
        <v>8875.59</v>
      </c>
      <c r="U18" s="2"/>
      <c r="V18" s="19">
        <f t="shared" si="9"/>
        <v>4.3218636019946542E-2</v>
      </c>
      <c r="W18" s="2"/>
      <c r="X18" s="2">
        <f t="shared" si="10"/>
        <v>-11745.28</v>
      </c>
      <c r="Y18" s="2"/>
      <c r="Z18" s="19">
        <f t="shared" si="11"/>
        <v>-1.3233238579069111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12133.100000000002</v>
      </c>
      <c r="E20" s="14"/>
      <c r="F20" s="21">
        <f>IF(D$12=0,0,D20/D$12)</f>
        <v>0.55691241817705295</v>
      </c>
      <c r="G20" s="14"/>
      <c r="H20" s="20">
        <f>H12-H16</f>
        <v>15579.079999999998</v>
      </c>
      <c r="I20" s="14"/>
      <c r="J20" s="21">
        <f>IF(H$12=0,0,H20/H$12)</f>
        <v>0.54850275957542394</v>
      </c>
      <c r="K20" s="15"/>
      <c r="L20" s="20">
        <f>+D20-H20</f>
        <v>-3445.9799999999959</v>
      </c>
      <c r="M20" s="15"/>
      <c r="N20" s="21">
        <f>IF(H20=0,0,L20/H20)</f>
        <v>-0.22119277903444853</v>
      </c>
      <c r="O20" s="28"/>
      <c r="P20" s="20">
        <f>P12-P16</f>
        <v>107707.79000000001</v>
      </c>
      <c r="Q20" s="14"/>
      <c r="R20" s="21">
        <f>IF(P$12=0,0,P20/P$12)</f>
        <v>0.54071576352078199</v>
      </c>
      <c r="S20" s="14"/>
      <c r="T20" s="20">
        <f>T12-T16</f>
        <v>103135.03000000001</v>
      </c>
      <c r="U20" s="14"/>
      <c r="V20" s="21">
        <f>IF(T$12=0,0,T20/T$12)</f>
        <v>0.50220383348895881</v>
      </c>
      <c r="W20" s="15"/>
      <c r="X20" s="20">
        <f>+P20-T20</f>
        <v>4572.7599999999948</v>
      </c>
      <c r="Y20" s="15"/>
      <c r="Z20" s="21">
        <f>IF(T20=0,0,X20/T20)</f>
        <v>4.4337602849390687E-2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9850.85</v>
      </c>
      <c r="E22" s="22"/>
      <c r="F22" s="33">
        <f t="shared" ref="F22:F31" si="12">IF(D$12=0,0,D22/D$12)</f>
        <v>0.45215655476336808</v>
      </c>
      <c r="G22" s="22"/>
      <c r="H22" s="22">
        <f>SUM(OSRRefH22x_0)</f>
        <v>14009.479999999998</v>
      </c>
      <c r="I22" s="22"/>
      <c r="J22" s="33">
        <f t="shared" ref="J22:J31" si="13">IF(H$12=0,0,H22/H$12)</f>
        <v>0.49324083580138939</v>
      </c>
      <c r="K22" s="4"/>
      <c r="L22" s="22">
        <f t="shared" ref="L22:L31" si="14">+D22-H22</f>
        <v>-4158.6299999999974</v>
      </c>
      <c r="M22" s="4"/>
      <c r="N22" s="33">
        <f t="shared" ref="N22:N31" si="15">IF(H22=0,0,L22/H22)</f>
        <v>-0.29684399420963503</v>
      </c>
      <c r="O22" s="10"/>
      <c r="P22" s="22">
        <f>SUM(OSRRefP22x_0)</f>
        <v>89360.33</v>
      </c>
      <c r="Q22" s="22"/>
      <c r="R22" s="33">
        <f t="shared" ref="R22:R31" si="16">IF(P$12=0,0,P22/P$12)</f>
        <v>0.44860765469627628</v>
      </c>
      <c r="S22" s="22"/>
      <c r="T22" s="22">
        <f>SUM(OSRRefT22x_0)</f>
        <v>91594.050000000017</v>
      </c>
      <c r="U22" s="22"/>
      <c r="V22" s="33">
        <f t="shared" ref="V22:V31" si="17">IF(T$12=0,0,T22/T$12)</f>
        <v>0.44600639603032427</v>
      </c>
      <c r="W22" s="4"/>
      <c r="X22" s="22">
        <f t="shared" ref="X22:X31" si="18">+P22-T22</f>
        <v>-2233.7200000000157</v>
      </c>
      <c r="Y22" s="4"/>
      <c r="Z22" s="33">
        <f t="shared" ref="Z22:Z31" si="19">IF(T22=0,0,X22/T22)</f>
        <v>-2.4387173620994108E-2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654.78</v>
      </c>
      <c r="E23" s="1"/>
      <c r="F23" s="5">
        <f t="shared" si="12"/>
        <v>3.0054570816524271E-2</v>
      </c>
      <c r="G23" s="1"/>
      <c r="H23" s="1">
        <f>SUM(OSRRefH22_0x_0)</f>
        <v>3292.099999999999</v>
      </c>
      <c r="I23" s="1"/>
      <c r="J23" s="5">
        <f t="shared" si="13"/>
        <v>0.11590709687595498</v>
      </c>
      <c r="K23" s="1"/>
      <c r="L23" s="1">
        <f t="shared" si="14"/>
        <v>-2637.3199999999988</v>
      </c>
      <c r="M23" s="1"/>
      <c r="N23" s="5">
        <f t="shared" si="15"/>
        <v>-0.80110567722730164</v>
      </c>
      <c r="O23" s="13"/>
      <c r="P23" s="1">
        <f>SUM(OSRRefP22_0x_0)</f>
        <v>11123.479999999998</v>
      </c>
      <c r="Q23" s="1"/>
      <c r="R23" s="5">
        <f t="shared" si="16"/>
        <v>5.5842209567275931E-2</v>
      </c>
      <c r="S23" s="1"/>
      <c r="T23" s="1">
        <f>SUM(OSRRefT22_0x_0)</f>
        <v>19026.670000000002</v>
      </c>
      <c r="U23" s="1"/>
      <c r="V23" s="5">
        <f t="shared" si="17"/>
        <v>9.2648119775883789E-2</v>
      </c>
      <c r="W23" s="1"/>
      <c r="X23" s="1">
        <f t="shared" si="18"/>
        <v>-7903.1900000000041</v>
      </c>
      <c r="Y23" s="1"/>
      <c r="Z23" s="5">
        <f t="shared" si="19"/>
        <v>-0.41537431405495567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197.98</v>
      </c>
      <c r="E24" s="2"/>
      <c r="F24" s="7">
        <f t="shared" si="12"/>
        <v>9.0873330435497033E-3</v>
      </c>
      <c r="G24" s="2"/>
      <c r="H24" s="6">
        <v>393.06</v>
      </c>
      <c r="I24" s="2"/>
      <c r="J24" s="7">
        <f t="shared" si="13"/>
        <v>1.3838717990967126E-2</v>
      </c>
      <c r="K24" s="2"/>
      <c r="L24" s="6">
        <f t="shared" si="14"/>
        <v>-195.08</v>
      </c>
      <c r="M24" s="2"/>
      <c r="N24" s="7">
        <f t="shared" si="15"/>
        <v>-0.49631099577672622</v>
      </c>
      <c r="O24" s="11"/>
      <c r="P24" s="6">
        <v>2378.39</v>
      </c>
      <c r="Q24" s="2"/>
      <c r="R24" s="7">
        <f t="shared" si="16"/>
        <v>1.1940018124967493E-2</v>
      </c>
      <c r="S24" s="2"/>
      <c r="T24" s="6">
        <v>2793.99</v>
      </c>
      <c r="U24" s="2"/>
      <c r="V24" s="7">
        <f t="shared" si="17"/>
        <v>1.3605003932512705E-2</v>
      </c>
      <c r="W24" s="2"/>
      <c r="X24" s="6">
        <f t="shared" si="18"/>
        <v>-415.59999999999991</v>
      </c>
      <c r="Y24" s="2"/>
      <c r="Z24" s="7">
        <f t="shared" si="19"/>
        <v>-0.14874784805958502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198.17</v>
      </c>
      <c r="E25" s="2"/>
      <c r="F25" s="7">
        <f t="shared" si="12"/>
        <v>9.0960540925358359E-3</v>
      </c>
      <c r="G25" s="2"/>
      <c r="H25" s="6">
        <v>156.26</v>
      </c>
      <c r="I25" s="2"/>
      <c r="J25" s="7">
        <f t="shared" si="13"/>
        <v>5.5015470240383736E-3</v>
      </c>
      <c r="K25" s="2"/>
      <c r="L25" s="6">
        <f t="shared" si="14"/>
        <v>41.91</v>
      </c>
      <c r="M25" s="2"/>
      <c r="N25" s="7">
        <f t="shared" si="15"/>
        <v>0.26820683476257517</v>
      </c>
      <c r="O25" s="11"/>
      <c r="P25" s="6">
        <v>897.63</v>
      </c>
      <c r="Q25" s="2"/>
      <c r="R25" s="7">
        <f t="shared" si="16"/>
        <v>4.5062914280309674E-3</v>
      </c>
      <c r="S25" s="2"/>
      <c r="T25" s="6">
        <v>739.24</v>
      </c>
      <c r="U25" s="2"/>
      <c r="V25" s="7">
        <f t="shared" si="17"/>
        <v>3.5996417693229727E-3</v>
      </c>
      <c r="W25" s="2"/>
      <c r="X25" s="6">
        <f t="shared" si="18"/>
        <v>158.38999999999999</v>
      </c>
      <c r="Y25" s="2"/>
      <c r="Z25" s="7">
        <f t="shared" si="19"/>
        <v>0.21426059195930955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2"/>
        <v>0</v>
      </c>
      <c r="G26" s="2"/>
      <c r="H26" s="6">
        <v>2005.79</v>
      </c>
      <c r="I26" s="2"/>
      <c r="J26" s="7">
        <f t="shared" si="13"/>
        <v>7.0619147608766988E-2</v>
      </c>
      <c r="K26" s="2"/>
      <c r="L26" s="6">
        <f t="shared" si="14"/>
        <v>-2005.79</v>
      </c>
      <c r="M26" s="2"/>
      <c r="N26" s="7">
        <f t="shared" si="15"/>
        <v>-1</v>
      </c>
      <c r="O26" s="11"/>
      <c r="P26" s="6">
        <v>4829.7</v>
      </c>
      <c r="Q26" s="2"/>
      <c r="R26" s="7">
        <f t="shared" si="16"/>
        <v>2.4246109989596115E-2</v>
      </c>
      <c r="S26" s="2"/>
      <c r="T26" s="6">
        <v>10764.66</v>
      </c>
      <c r="U26" s="2"/>
      <c r="V26" s="7">
        <f t="shared" si="17"/>
        <v>5.2417239013798266E-2</v>
      </c>
      <c r="W26" s="2"/>
      <c r="X26" s="6">
        <f t="shared" si="18"/>
        <v>-5934.96</v>
      </c>
      <c r="Y26" s="2"/>
      <c r="Z26" s="7">
        <f t="shared" si="19"/>
        <v>-0.5513374319300377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24.52</v>
      </c>
      <c r="E27" s="2"/>
      <c r="F27" s="7">
        <f t="shared" si="12"/>
        <v>1.1254743217892654E-3</v>
      </c>
      <c r="G27" s="2"/>
      <c r="H27" s="6">
        <v>34.14</v>
      </c>
      <c r="I27" s="2"/>
      <c r="J27" s="7">
        <f t="shared" si="13"/>
        <v>1.2019890912624478E-3</v>
      </c>
      <c r="K27" s="2"/>
      <c r="L27" s="6">
        <f t="shared" si="14"/>
        <v>-9.620000000000001</v>
      </c>
      <c r="M27" s="2"/>
      <c r="N27" s="7">
        <f t="shared" si="15"/>
        <v>-0.28178090216754542</v>
      </c>
      <c r="O27" s="11"/>
      <c r="P27" s="6">
        <v>135.88999999999999</v>
      </c>
      <c r="Q27" s="2"/>
      <c r="R27" s="7">
        <f t="shared" si="16"/>
        <v>6.8219638621161069E-4</v>
      </c>
      <c r="S27" s="2"/>
      <c r="T27" s="6">
        <v>161.52000000000001</v>
      </c>
      <c r="U27" s="2"/>
      <c r="V27" s="7">
        <f t="shared" si="17"/>
        <v>7.8650254123295083E-4</v>
      </c>
      <c r="W27" s="2"/>
      <c r="X27" s="6">
        <f t="shared" si="18"/>
        <v>-25.630000000000024</v>
      </c>
      <c r="Y27" s="2"/>
      <c r="Z27" s="7">
        <f t="shared" si="19"/>
        <v>-0.15868003962357616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134.11000000000001</v>
      </c>
      <c r="E28" s="2"/>
      <c r="F28" s="7">
        <f t="shared" si="12"/>
        <v>6.1556835764746487E-3</v>
      </c>
      <c r="G28" s="2"/>
      <c r="H28" s="6">
        <v>248.06</v>
      </c>
      <c r="I28" s="2"/>
      <c r="J28" s="7">
        <f t="shared" si="13"/>
        <v>8.7336090796298407E-3</v>
      </c>
      <c r="K28" s="2"/>
      <c r="L28" s="6">
        <f t="shared" si="14"/>
        <v>-113.94999999999999</v>
      </c>
      <c r="M28" s="2"/>
      <c r="N28" s="7">
        <f t="shared" si="15"/>
        <v>-0.45936466983794239</v>
      </c>
      <c r="O28" s="11"/>
      <c r="P28" s="6">
        <v>938.77</v>
      </c>
      <c r="Q28" s="2"/>
      <c r="R28" s="7">
        <f t="shared" si="16"/>
        <v>4.7128228823598043E-3</v>
      </c>
      <c r="S28" s="2"/>
      <c r="T28" s="6">
        <v>1608.78</v>
      </c>
      <c r="U28" s="2"/>
      <c r="V28" s="7">
        <f t="shared" si="17"/>
        <v>7.8337639814558355E-3</v>
      </c>
      <c r="W28" s="2"/>
      <c r="X28" s="6">
        <f t="shared" si="18"/>
        <v>-670.01</v>
      </c>
      <c r="Y28" s="2"/>
      <c r="Z28" s="7">
        <f t="shared" si="19"/>
        <v>-0.41647086612215467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2"/>
        <v>0</v>
      </c>
      <c r="G29" s="2"/>
      <c r="H29" s="6">
        <v>139.58000000000001</v>
      </c>
      <c r="I29" s="2"/>
      <c r="J29" s="7">
        <f t="shared" si="13"/>
        <v>4.9142834609962648E-3</v>
      </c>
      <c r="K29" s="2"/>
      <c r="L29" s="6">
        <f t="shared" si="14"/>
        <v>-139.58000000000001</v>
      </c>
      <c r="M29" s="2"/>
      <c r="N29" s="7">
        <f t="shared" si="15"/>
        <v>-1</v>
      </c>
      <c r="O29" s="11"/>
      <c r="P29" s="6">
        <v>480.48</v>
      </c>
      <c r="Q29" s="2"/>
      <c r="R29" s="7">
        <f t="shared" si="16"/>
        <v>2.4121106751560433E-3</v>
      </c>
      <c r="S29" s="2"/>
      <c r="T29" s="6">
        <v>915.85</v>
      </c>
      <c r="U29" s="2"/>
      <c r="V29" s="7">
        <f t="shared" si="17"/>
        <v>4.4596232812543213E-3</v>
      </c>
      <c r="W29" s="2"/>
      <c r="X29" s="6">
        <f t="shared" si="18"/>
        <v>-435.37</v>
      </c>
      <c r="Y29" s="2"/>
      <c r="Z29" s="7">
        <f t="shared" si="19"/>
        <v>-0.47537260468417314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2"/>
        <v>0</v>
      </c>
      <c r="G30" s="2"/>
      <c r="H30" s="6">
        <v>167.24</v>
      </c>
      <c r="I30" s="2"/>
      <c r="J30" s="7">
        <f t="shared" si="13"/>
        <v>5.8881269953934322E-3</v>
      </c>
      <c r="K30" s="2"/>
      <c r="L30" s="6">
        <f t="shared" si="14"/>
        <v>-167.24</v>
      </c>
      <c r="M30" s="2"/>
      <c r="N30" s="7">
        <f t="shared" si="15"/>
        <v>-1</v>
      </c>
      <c r="O30" s="11"/>
      <c r="P30" s="6">
        <v>575.64</v>
      </c>
      <c r="Q30" s="2"/>
      <c r="R30" s="7">
        <f t="shared" si="16"/>
        <v>2.8898338932875972E-3</v>
      </c>
      <c r="S30" s="2"/>
      <c r="T30" s="6">
        <v>1148.6099999999999</v>
      </c>
      <c r="U30" s="2"/>
      <c r="V30" s="7">
        <f t="shared" si="17"/>
        <v>5.5930205787864014E-3</v>
      </c>
      <c r="W30" s="2"/>
      <c r="X30" s="6">
        <f t="shared" si="18"/>
        <v>-572.96999999999991</v>
      </c>
      <c r="Y30" s="2"/>
      <c r="Z30" s="7">
        <f t="shared" si="19"/>
        <v>-0.49883772559876716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100</v>
      </c>
      <c r="E31" s="2"/>
      <c r="F31" s="7">
        <f t="shared" si="12"/>
        <v>4.5900257821748182E-3</v>
      </c>
      <c r="G31" s="2"/>
      <c r="H31" s="6">
        <v>147.97</v>
      </c>
      <c r="I31" s="2"/>
      <c r="J31" s="7">
        <f t="shared" si="13"/>
        <v>5.2096756249005388E-3</v>
      </c>
      <c r="K31" s="2"/>
      <c r="L31" s="6">
        <f t="shared" si="14"/>
        <v>-47.97</v>
      </c>
      <c r="M31" s="2"/>
      <c r="N31" s="7">
        <f t="shared" si="15"/>
        <v>-0.32418733527066296</v>
      </c>
      <c r="O31" s="11"/>
      <c r="P31" s="6">
        <v>886.98</v>
      </c>
      <c r="Q31" s="2"/>
      <c r="R31" s="7">
        <f t="shared" si="16"/>
        <v>4.452826187666307E-3</v>
      </c>
      <c r="S31" s="2"/>
      <c r="T31" s="6">
        <v>894.02</v>
      </c>
      <c r="U31" s="2"/>
      <c r="V31" s="7">
        <f t="shared" si="17"/>
        <v>4.3533246775203233E-3</v>
      </c>
      <c r="W31" s="2"/>
      <c r="X31" s="6">
        <f t="shared" si="18"/>
        <v>-7.0399999999999636</v>
      </c>
      <c r="Y31" s="2"/>
      <c r="Z31" s="7">
        <f t="shared" si="19"/>
        <v>-7.8745441936421603E-3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6269.02</v>
      </c>
      <c r="E32" s="1"/>
      <c r="F32" s="5">
        <f t="shared" ref="F32:F37" si="20">IF(D$12=0,0,D32/D$12)</f>
        <v>0.2877496342896958</v>
      </c>
      <c r="G32" s="1"/>
      <c r="H32" s="1">
        <f>SUM(OSRRefH22_1x_0)</f>
        <v>9017.73</v>
      </c>
      <c r="I32" s="1"/>
      <c r="J32" s="5">
        <f t="shared" ref="J32:J37" si="21">IF(H$12=0,0,H32/H$12)</f>
        <v>0.31749306057264537</v>
      </c>
      <c r="K32" s="1"/>
      <c r="L32" s="1">
        <f t="shared" ref="L32:L37" si="22">+D32-H32</f>
        <v>-2748.7099999999991</v>
      </c>
      <c r="M32" s="1"/>
      <c r="N32" s="5">
        <f t="shared" ref="N32:N37" si="23">IF(H32=0,0,L32/H32)</f>
        <v>-0.30481174308833814</v>
      </c>
      <c r="O32" s="13"/>
      <c r="P32" s="1">
        <f>SUM(OSRRefP22_1x_0)</f>
        <v>51637.380000000005</v>
      </c>
      <c r="Q32" s="1"/>
      <c r="R32" s="5">
        <f t="shared" ref="R32:R37" si="24">IF(P$12=0,0,P32/P$12)</f>
        <v>0.25923051018791454</v>
      </c>
      <c r="S32" s="1"/>
      <c r="T32" s="1">
        <f>SUM(OSRRefT22_1x_0)</f>
        <v>54680.59</v>
      </c>
      <c r="U32" s="1"/>
      <c r="V32" s="5">
        <f t="shared" ref="V32:V37" si="25">IF(T$12=0,0,T32/T$12)</f>
        <v>0.2662606673546129</v>
      </c>
      <c r="W32" s="1"/>
      <c r="X32" s="1">
        <f t="shared" ref="X32:X37" si="26">+P32-T32</f>
        <v>-3043.2099999999919</v>
      </c>
      <c r="Y32" s="1"/>
      <c r="Z32" s="5">
        <f t="shared" ref="Z32:Z37" si="27">IF(T32=0,0,X32/T32)</f>
        <v>-5.5654300730844201E-2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3625.6</v>
      </c>
      <c r="I33" s="2"/>
      <c r="J33" s="7">
        <f t="shared" si="21"/>
        <v>0.12764884737203078</v>
      </c>
      <c r="K33" s="2"/>
      <c r="L33" s="6">
        <f t="shared" si="22"/>
        <v>-3625.6</v>
      </c>
      <c r="M33" s="2"/>
      <c r="N33" s="7">
        <f t="shared" si="23"/>
        <v>-1</v>
      </c>
      <c r="O33" s="11"/>
      <c r="P33" s="6">
        <v>9840</v>
      </c>
      <c r="Q33" s="2"/>
      <c r="R33" s="7">
        <f t="shared" si="24"/>
        <v>4.9398869970728156E-2</v>
      </c>
      <c r="S33" s="2"/>
      <c r="T33" s="6">
        <v>21572.32</v>
      </c>
      <c r="U33" s="2"/>
      <c r="V33" s="7">
        <f t="shared" si="25"/>
        <v>0.10504386144310555</v>
      </c>
      <c r="W33" s="2"/>
      <c r="X33" s="6">
        <f t="shared" si="26"/>
        <v>-11732.32</v>
      </c>
      <c r="Y33" s="2"/>
      <c r="Z33" s="7">
        <f t="shared" si="27"/>
        <v>-0.54385990936533479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2476.2800000000002</v>
      </c>
      <c r="E34" s="2"/>
      <c r="F34" s="7">
        <f t="shared" si="20"/>
        <v>0.11366189043883859</v>
      </c>
      <c r="G34" s="2"/>
      <c r="H34" s="6">
        <v>692.95</v>
      </c>
      <c r="I34" s="2"/>
      <c r="J34" s="7">
        <f t="shared" si="21"/>
        <v>2.4397139449042565E-2</v>
      </c>
      <c r="K34" s="2"/>
      <c r="L34" s="6">
        <f t="shared" si="22"/>
        <v>1783.3300000000002</v>
      </c>
      <c r="M34" s="2"/>
      <c r="N34" s="7">
        <f t="shared" si="23"/>
        <v>2.5735334439714266</v>
      </c>
      <c r="O34" s="11"/>
      <c r="P34" s="6">
        <v>14988.76</v>
      </c>
      <c r="Q34" s="2"/>
      <c r="R34" s="7">
        <f t="shared" si="24"/>
        <v>7.5246728278704406E-2</v>
      </c>
      <c r="S34" s="2"/>
      <c r="T34" s="6">
        <v>3563.23</v>
      </c>
      <c r="U34" s="2"/>
      <c r="V34" s="7">
        <f t="shared" si="25"/>
        <v>1.7350727154516389E-2</v>
      </c>
      <c r="W34" s="2"/>
      <c r="X34" s="6">
        <f t="shared" si="26"/>
        <v>11425.53</v>
      </c>
      <c r="Y34" s="2"/>
      <c r="Z34" s="7">
        <f t="shared" si="27"/>
        <v>3.2065092626633702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>
        <v>111.56</v>
      </c>
      <c r="E35" s="2"/>
      <c r="F35" s="7">
        <f t="shared" si="20"/>
        <v>5.1206327625942273E-3</v>
      </c>
      <c r="G35" s="2"/>
      <c r="H35" s="6">
        <v>819.56</v>
      </c>
      <c r="I35" s="2"/>
      <c r="J35" s="7">
        <f t="shared" si="21"/>
        <v>2.8854779719831622E-2</v>
      </c>
      <c r="K35" s="2"/>
      <c r="L35" s="6">
        <f t="shared" si="22"/>
        <v>-708</v>
      </c>
      <c r="M35" s="2"/>
      <c r="N35" s="7">
        <f t="shared" si="23"/>
        <v>-0.86387817853482363</v>
      </c>
      <c r="O35" s="11"/>
      <c r="P35" s="6">
        <v>285.19</v>
      </c>
      <c r="Q35" s="2"/>
      <c r="R35" s="7">
        <f t="shared" si="24"/>
        <v>1.4317137933894271E-3</v>
      </c>
      <c r="S35" s="2"/>
      <c r="T35" s="6">
        <v>4599.87</v>
      </c>
      <c r="U35" s="2"/>
      <c r="V35" s="7">
        <f t="shared" si="25"/>
        <v>2.2398523058080815E-2</v>
      </c>
      <c r="W35" s="2"/>
      <c r="X35" s="6">
        <f t="shared" si="26"/>
        <v>-4314.68</v>
      </c>
      <c r="Y35" s="2"/>
      <c r="Z35" s="7">
        <f t="shared" si="27"/>
        <v>-0.93800042175104958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3681.18</v>
      </c>
      <c r="E36" s="2"/>
      <c r="F36" s="7">
        <f t="shared" si="20"/>
        <v>0.16896711108826296</v>
      </c>
      <c r="G36" s="2"/>
      <c r="H36" s="6">
        <v>3879.62</v>
      </c>
      <c r="I36" s="2"/>
      <c r="J36" s="7">
        <f t="shared" si="21"/>
        <v>0.13659229403174039</v>
      </c>
      <c r="K36" s="2"/>
      <c r="L36" s="6">
        <f t="shared" si="22"/>
        <v>-198.44000000000005</v>
      </c>
      <c r="M36" s="2"/>
      <c r="N36" s="7">
        <f t="shared" si="23"/>
        <v>-5.1149339368288665E-2</v>
      </c>
      <c r="O36" s="11"/>
      <c r="P36" s="6">
        <v>26466.43</v>
      </c>
      <c r="Q36" s="2"/>
      <c r="R36" s="7">
        <f t="shared" si="24"/>
        <v>0.13286704615440842</v>
      </c>
      <c r="S36" s="2"/>
      <c r="T36" s="6">
        <v>23559.17</v>
      </c>
      <c r="U36" s="2"/>
      <c r="V36" s="7">
        <f t="shared" si="25"/>
        <v>0.11471859258506127</v>
      </c>
      <c r="W36" s="2"/>
      <c r="X36" s="6">
        <f t="shared" si="26"/>
        <v>2907.260000000002</v>
      </c>
      <c r="Y36" s="2"/>
      <c r="Z36" s="7">
        <f t="shared" si="27"/>
        <v>0.12340247979873664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57</v>
      </c>
      <c r="Q37" s="2"/>
      <c r="R37" s="7">
        <f t="shared" si="24"/>
        <v>2.8615199068409602E-4</v>
      </c>
      <c r="S37" s="2"/>
      <c r="T37" s="6">
        <v>1386</v>
      </c>
      <c r="U37" s="2"/>
      <c r="V37" s="7">
        <f t="shared" si="25"/>
        <v>6.7489631138488724E-3</v>
      </c>
      <c r="W37" s="2"/>
      <c r="X37" s="6">
        <f t="shared" si="26"/>
        <v>-1329</v>
      </c>
      <c r="Y37" s="2"/>
      <c r="Z37" s="7">
        <f t="shared" si="27"/>
        <v>-0.95887445887445888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452.25</v>
      </c>
      <c r="E38" s="1"/>
      <c r="F38" s="5">
        <f t="shared" ref="F38:F54" si="28">IF(D$12=0,0,D38/D$12)</f>
        <v>2.0758391599885614E-2</v>
      </c>
      <c r="G38" s="1"/>
      <c r="H38" s="1">
        <f>SUM(OSRRefH22_2x_0)</f>
        <v>142.5</v>
      </c>
      <c r="I38" s="1"/>
      <c r="J38" s="5">
        <f t="shared" ref="J38:J54" si="29">IF(H$12=0,0,H38/H$12)</f>
        <v>5.0170897921762974E-3</v>
      </c>
      <c r="K38" s="1"/>
      <c r="L38" s="1">
        <f t="shared" ref="L38:L54" si="30">+D38-H38</f>
        <v>309.75</v>
      </c>
      <c r="M38" s="1"/>
      <c r="N38" s="5">
        <f t="shared" ref="N38:N54" si="31">IF(H38=0,0,L38/H38)</f>
        <v>2.1736842105263157</v>
      </c>
      <c r="O38" s="13"/>
      <c r="P38" s="1">
        <f>SUM(OSRRefP22_2x_0)</f>
        <v>856.19</v>
      </c>
      <c r="Q38" s="1"/>
      <c r="R38" s="5">
        <f t="shared" ref="R38:R54" si="32">IF(P$12=0,0,P38/P$12)</f>
        <v>4.2982539105932667E-3</v>
      </c>
      <c r="S38" s="1"/>
      <c r="T38" s="1">
        <f>SUM(OSRRefT22_2x_0)</f>
        <v>575</v>
      </c>
      <c r="U38" s="1"/>
      <c r="V38" s="5">
        <f t="shared" ref="V38:V54" si="33">IF(T$12=0,0,T38/T$12)</f>
        <v>2.7998945097136374E-3</v>
      </c>
      <c r="W38" s="1"/>
      <c r="X38" s="1">
        <f t="shared" ref="X38:X54" si="34">+P38-T38</f>
        <v>281.19000000000005</v>
      </c>
      <c r="Y38" s="1"/>
      <c r="Z38" s="5">
        <f t="shared" ref="Z38:Z54" si="35">IF(T38=0,0,X38/T38)</f>
        <v>0.48902608695652183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452.25</v>
      </c>
      <c r="E39" s="2"/>
      <c r="F39" s="7">
        <f t="shared" si="28"/>
        <v>2.0758391599885614E-2</v>
      </c>
      <c r="G39" s="2"/>
      <c r="H39" s="6">
        <v>142.5</v>
      </c>
      <c r="I39" s="2"/>
      <c r="J39" s="7">
        <f t="shared" si="29"/>
        <v>5.0170897921762974E-3</v>
      </c>
      <c r="K39" s="2"/>
      <c r="L39" s="6">
        <f t="shared" si="30"/>
        <v>309.75</v>
      </c>
      <c r="M39" s="2"/>
      <c r="N39" s="7">
        <f t="shared" si="31"/>
        <v>2.1736842105263157</v>
      </c>
      <c r="O39" s="11"/>
      <c r="P39" s="6">
        <v>856.19</v>
      </c>
      <c r="Q39" s="2"/>
      <c r="R39" s="7">
        <f t="shared" si="32"/>
        <v>4.2982539105932667E-3</v>
      </c>
      <c r="S39" s="2"/>
      <c r="T39" s="6">
        <v>575</v>
      </c>
      <c r="U39" s="2"/>
      <c r="V39" s="7">
        <f t="shared" si="33"/>
        <v>2.7998945097136374E-3</v>
      </c>
      <c r="W39" s="2"/>
      <c r="X39" s="6">
        <f t="shared" si="34"/>
        <v>281.19000000000005</v>
      </c>
      <c r="Y39" s="2"/>
      <c r="Z39" s="7">
        <f t="shared" si="35"/>
        <v>0.48902608695652183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-11.89</v>
      </c>
      <c r="E40" s="1"/>
      <c r="F40" s="5">
        <f t="shared" si="28"/>
        <v>-5.4575406550058582E-4</v>
      </c>
      <c r="G40" s="1"/>
      <c r="H40" s="1">
        <f>SUM(OSRRefH22_3x_0)</f>
        <v>-13.2</v>
      </c>
      <c r="I40" s="1"/>
      <c r="J40" s="5">
        <f t="shared" si="29"/>
        <v>-4.6474094917001494E-4</v>
      </c>
      <c r="K40" s="1"/>
      <c r="L40" s="1">
        <f t="shared" si="30"/>
        <v>1.3099999999999987</v>
      </c>
      <c r="M40" s="1"/>
      <c r="N40" s="5">
        <f t="shared" si="31"/>
        <v>-9.9242424242424146E-2</v>
      </c>
      <c r="O40" s="13"/>
      <c r="P40" s="1">
        <f>SUM(OSRRefP22_3x_0)</f>
        <v>-11.14</v>
      </c>
      <c r="Q40" s="1"/>
      <c r="R40" s="5">
        <f t="shared" si="32"/>
        <v>-5.5925143442470701E-5</v>
      </c>
      <c r="S40" s="1"/>
      <c r="T40" s="1">
        <f>SUM(OSRRefT22_3x_0)</f>
        <v>-161.97999999999999</v>
      </c>
      <c r="U40" s="1"/>
      <c r="V40" s="5">
        <f t="shared" si="33"/>
        <v>-7.8874245684072166E-4</v>
      </c>
      <c r="W40" s="1"/>
      <c r="X40" s="1">
        <f t="shared" si="34"/>
        <v>150.83999999999997</v>
      </c>
      <c r="Y40" s="1"/>
      <c r="Z40" s="5">
        <f t="shared" si="35"/>
        <v>-0.93122607729349294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-11.89</v>
      </c>
      <c r="E41" s="2"/>
      <c r="F41" s="7">
        <f t="shared" si="28"/>
        <v>-5.4575406550058582E-4</v>
      </c>
      <c r="G41" s="2"/>
      <c r="H41" s="6">
        <v>-13.2</v>
      </c>
      <c r="I41" s="2"/>
      <c r="J41" s="7">
        <f t="shared" si="29"/>
        <v>-4.6474094917001494E-4</v>
      </c>
      <c r="K41" s="2"/>
      <c r="L41" s="6">
        <f t="shared" si="30"/>
        <v>1.3099999999999987</v>
      </c>
      <c r="M41" s="2"/>
      <c r="N41" s="7">
        <f t="shared" si="31"/>
        <v>-9.9242424242424146E-2</v>
      </c>
      <c r="O41" s="11"/>
      <c r="P41" s="6">
        <v>-11.14</v>
      </c>
      <c r="Q41" s="2"/>
      <c r="R41" s="7">
        <f t="shared" si="32"/>
        <v>-5.5925143442470701E-5</v>
      </c>
      <c r="S41" s="2"/>
      <c r="T41" s="6">
        <v>-161.97999999999999</v>
      </c>
      <c r="U41" s="2"/>
      <c r="V41" s="7">
        <f t="shared" si="33"/>
        <v>-7.8874245684072166E-4</v>
      </c>
      <c r="W41" s="2"/>
      <c r="X41" s="6">
        <f t="shared" si="34"/>
        <v>150.83999999999997</v>
      </c>
      <c r="Y41" s="2"/>
      <c r="Z41" s="7">
        <f t="shared" si="35"/>
        <v>-0.93122607729349294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727.26</v>
      </c>
      <c r="E42" s="1"/>
      <c r="F42" s="5">
        <f t="shared" si="28"/>
        <v>3.3381421503444579E-2</v>
      </c>
      <c r="G42" s="1"/>
      <c r="H42" s="1">
        <f>SUM(OSRRefH22_4x_0)</f>
        <v>975.9</v>
      </c>
      <c r="I42" s="1"/>
      <c r="J42" s="5">
        <f t="shared" si="29"/>
        <v>3.4359143355683151E-2</v>
      </c>
      <c r="K42" s="1"/>
      <c r="L42" s="1">
        <f t="shared" si="30"/>
        <v>-248.64</v>
      </c>
      <c r="M42" s="1"/>
      <c r="N42" s="5">
        <f t="shared" si="31"/>
        <v>-0.25478020288964032</v>
      </c>
      <c r="O42" s="13"/>
      <c r="P42" s="1">
        <f>SUM(OSRRefP22_4x_0)</f>
        <v>6715.12</v>
      </c>
      <c r="Q42" s="1"/>
      <c r="R42" s="5">
        <f t="shared" si="32"/>
        <v>3.3711315011975211E-2</v>
      </c>
      <c r="S42" s="1"/>
      <c r="T42" s="1">
        <f>SUM(OSRRefT22_4x_0)</f>
        <v>6745.6</v>
      </c>
      <c r="U42" s="1"/>
      <c r="V42" s="5">
        <f t="shared" si="33"/>
        <v>3.284690157343359E-2</v>
      </c>
      <c r="W42" s="1"/>
      <c r="X42" s="1">
        <f t="shared" si="34"/>
        <v>-30.480000000000473</v>
      </c>
      <c r="Y42" s="1"/>
      <c r="Z42" s="5">
        <f t="shared" si="35"/>
        <v>-4.5185009487666737E-3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727.26</v>
      </c>
      <c r="E43" s="2"/>
      <c r="F43" s="7">
        <f t="shared" si="28"/>
        <v>3.3381421503444579E-2</v>
      </c>
      <c r="G43" s="2"/>
      <c r="H43" s="6">
        <v>975.9</v>
      </c>
      <c r="I43" s="2"/>
      <c r="J43" s="7">
        <f t="shared" si="29"/>
        <v>3.4359143355683151E-2</v>
      </c>
      <c r="K43" s="2"/>
      <c r="L43" s="6">
        <f t="shared" si="30"/>
        <v>-248.64</v>
      </c>
      <c r="M43" s="2"/>
      <c r="N43" s="7">
        <f t="shared" si="31"/>
        <v>-0.25478020288964032</v>
      </c>
      <c r="O43" s="11"/>
      <c r="P43" s="6">
        <v>6715.12</v>
      </c>
      <c r="Q43" s="2"/>
      <c r="R43" s="7">
        <f t="shared" si="32"/>
        <v>3.3711315011975211E-2</v>
      </c>
      <c r="S43" s="2"/>
      <c r="T43" s="6">
        <v>6745.6</v>
      </c>
      <c r="U43" s="2"/>
      <c r="V43" s="7">
        <f t="shared" si="33"/>
        <v>3.284690157343359E-2</v>
      </c>
      <c r="W43" s="2"/>
      <c r="X43" s="6">
        <f t="shared" si="34"/>
        <v>-30.480000000000473</v>
      </c>
      <c r="Y43" s="2"/>
      <c r="Z43" s="7">
        <f t="shared" si="35"/>
        <v>-4.5185009487666737E-3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155.66999999999999</v>
      </c>
      <c r="E44" s="1"/>
      <c r="F44" s="5">
        <f t="shared" si="28"/>
        <v>7.1452931351115388E-3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155.66999999999999</v>
      </c>
      <c r="M44" s="1"/>
      <c r="N44" s="5">
        <f t="shared" si="31"/>
        <v>0</v>
      </c>
      <c r="O44" s="13"/>
      <c r="P44" s="1">
        <f>SUM(OSRRefP22_5x_0)</f>
        <v>934.02</v>
      </c>
      <c r="Q44" s="1"/>
      <c r="R44" s="5">
        <f t="shared" si="32"/>
        <v>4.6889768831361294E-3</v>
      </c>
      <c r="S44" s="1"/>
      <c r="T44" s="1">
        <f>SUM(OSRRefT22_5x_0)</f>
        <v>0</v>
      </c>
      <c r="U44" s="1"/>
      <c r="V44" s="5">
        <f t="shared" si="33"/>
        <v>0</v>
      </c>
      <c r="W44" s="1"/>
      <c r="X44" s="1">
        <f t="shared" si="34"/>
        <v>934.02</v>
      </c>
      <c r="Y44" s="1"/>
      <c r="Z44" s="5">
        <f t="shared" si="35"/>
        <v>0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155.66999999999999</v>
      </c>
      <c r="E45" s="2"/>
      <c r="F45" s="7">
        <f t="shared" si="28"/>
        <v>7.1452931351115388E-3</v>
      </c>
      <c r="G45" s="2"/>
      <c r="H45" s="6"/>
      <c r="I45" s="2"/>
      <c r="J45" s="7">
        <f t="shared" si="29"/>
        <v>0</v>
      </c>
      <c r="K45" s="2"/>
      <c r="L45" s="6">
        <f t="shared" si="30"/>
        <v>155.66999999999999</v>
      </c>
      <c r="M45" s="2"/>
      <c r="N45" s="7">
        <f t="shared" si="31"/>
        <v>0</v>
      </c>
      <c r="O45" s="11"/>
      <c r="P45" s="6">
        <v>934.02</v>
      </c>
      <c r="Q45" s="2"/>
      <c r="R45" s="7">
        <f t="shared" si="32"/>
        <v>4.6889768831361294E-3</v>
      </c>
      <c r="S45" s="2"/>
      <c r="T45" s="6"/>
      <c r="U45" s="2"/>
      <c r="V45" s="7">
        <f t="shared" si="33"/>
        <v>0</v>
      </c>
      <c r="W45" s="2"/>
      <c r="X45" s="6">
        <f t="shared" si="34"/>
        <v>934.02</v>
      </c>
      <c r="Y45" s="2"/>
      <c r="Z45" s="7">
        <f t="shared" si="35"/>
        <v>0</v>
      </c>
    </row>
    <row r="46" spans="1:26" s="27" customFormat="1" outlineLevel="1" collapsed="1" x14ac:dyDescent="0.25">
      <c r="A46" s="25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22.35</v>
      </c>
      <c r="E46" s="1"/>
      <c r="F46" s="5">
        <f t="shared" si="28"/>
        <v>1.0258707623160719E-3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22.35</v>
      </c>
      <c r="M46" s="1"/>
      <c r="N46" s="5">
        <f t="shared" si="31"/>
        <v>0</v>
      </c>
      <c r="O46" s="13"/>
      <c r="P46" s="1">
        <f>SUM(OSRRefP22_6x_0)</f>
        <v>22.35</v>
      </c>
      <c r="Q46" s="1"/>
      <c r="R46" s="5">
        <f t="shared" si="32"/>
        <v>1.1220170161034292E-4</v>
      </c>
      <c r="S46" s="1"/>
      <c r="T46" s="1">
        <f>SUM(OSRRefT22_6x_0)</f>
        <v>0</v>
      </c>
      <c r="U46" s="1"/>
      <c r="V46" s="5">
        <f t="shared" si="33"/>
        <v>0</v>
      </c>
      <c r="W46" s="1"/>
      <c r="X46" s="1">
        <f t="shared" si="34"/>
        <v>22.35</v>
      </c>
      <c r="Y46" s="1"/>
      <c r="Z46" s="5">
        <f t="shared" si="35"/>
        <v>0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>
        <v>22.35</v>
      </c>
      <c r="E47" s="2"/>
      <c r="F47" s="7">
        <f t="shared" si="28"/>
        <v>1.0258707623160719E-3</v>
      </c>
      <c r="G47" s="2"/>
      <c r="H47" s="6"/>
      <c r="I47" s="2"/>
      <c r="J47" s="7">
        <f t="shared" si="29"/>
        <v>0</v>
      </c>
      <c r="K47" s="2"/>
      <c r="L47" s="6">
        <f t="shared" si="30"/>
        <v>22.35</v>
      </c>
      <c r="M47" s="2"/>
      <c r="N47" s="7">
        <f t="shared" si="31"/>
        <v>0</v>
      </c>
      <c r="O47" s="11"/>
      <c r="P47" s="6">
        <v>22.35</v>
      </c>
      <c r="Q47" s="2"/>
      <c r="R47" s="7">
        <f t="shared" si="32"/>
        <v>1.1220170161034292E-4</v>
      </c>
      <c r="S47" s="2"/>
      <c r="T47" s="6"/>
      <c r="U47" s="2"/>
      <c r="V47" s="7">
        <f t="shared" si="33"/>
        <v>0</v>
      </c>
      <c r="W47" s="2"/>
      <c r="X47" s="6">
        <f t="shared" si="34"/>
        <v>22.35</v>
      </c>
      <c r="Y47" s="2"/>
      <c r="Z47" s="7">
        <f t="shared" si="35"/>
        <v>0</v>
      </c>
    </row>
    <row r="48" spans="1:26" s="27" customFormat="1" outlineLevel="1" collapsed="1" x14ac:dyDescent="0.25">
      <c r="A48" s="25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12</v>
      </c>
      <c r="E48" s="1"/>
      <c r="F48" s="5">
        <f t="shared" si="28"/>
        <v>5.5080309386097812E-4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12</v>
      </c>
      <c r="M48" s="1"/>
      <c r="N48" s="5">
        <f t="shared" si="31"/>
        <v>0</v>
      </c>
      <c r="O48" s="13"/>
      <c r="P48" s="1">
        <f>SUM(OSRRefP22_7x_0)</f>
        <v>12</v>
      </c>
      <c r="Q48" s="1"/>
      <c r="R48" s="5">
        <f t="shared" si="32"/>
        <v>6.0242524354546535E-5</v>
      </c>
      <c r="S48" s="1"/>
      <c r="T48" s="1">
        <f>SUM(OSRRefT22_7x_0)</f>
        <v>0</v>
      </c>
      <c r="U48" s="1"/>
      <c r="V48" s="5">
        <f t="shared" si="33"/>
        <v>0</v>
      </c>
      <c r="W48" s="1"/>
      <c r="X48" s="1">
        <f t="shared" si="34"/>
        <v>12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>
        <v>12</v>
      </c>
      <c r="E49" s="2"/>
      <c r="F49" s="7">
        <f t="shared" si="28"/>
        <v>5.5080309386097812E-4</v>
      </c>
      <c r="G49" s="2"/>
      <c r="H49" s="6"/>
      <c r="I49" s="2"/>
      <c r="J49" s="7">
        <f t="shared" si="29"/>
        <v>0</v>
      </c>
      <c r="K49" s="2"/>
      <c r="L49" s="6">
        <f t="shared" si="30"/>
        <v>12</v>
      </c>
      <c r="M49" s="2"/>
      <c r="N49" s="7">
        <f t="shared" si="31"/>
        <v>0</v>
      </c>
      <c r="O49" s="11"/>
      <c r="P49" s="6">
        <v>12</v>
      </c>
      <c r="Q49" s="2"/>
      <c r="R49" s="7">
        <f t="shared" si="32"/>
        <v>6.0242524354546535E-5</v>
      </c>
      <c r="S49" s="2"/>
      <c r="T49" s="6"/>
      <c r="U49" s="2"/>
      <c r="V49" s="7">
        <f t="shared" si="33"/>
        <v>0</v>
      </c>
      <c r="W49" s="2"/>
      <c r="X49" s="6">
        <f t="shared" si="34"/>
        <v>12</v>
      </c>
      <c r="Y49" s="2"/>
      <c r="Z49" s="7">
        <f t="shared" si="35"/>
        <v>0</v>
      </c>
    </row>
    <row r="50" spans="1:26" s="27" customFormat="1" outlineLevel="1" collapsed="1" x14ac:dyDescent="0.25">
      <c r="A50" s="25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161.5</v>
      </c>
      <c r="E50" s="1"/>
      <c r="F50" s="5">
        <f t="shared" si="28"/>
        <v>7.4128916382123307E-3</v>
      </c>
      <c r="G50" s="1"/>
      <c r="H50" s="1">
        <f>SUM(OSRRefH22_8x_0)</f>
        <v>208.23</v>
      </c>
      <c r="I50" s="1"/>
      <c r="J50" s="5">
        <f t="shared" si="29"/>
        <v>7.331288473156985E-3</v>
      </c>
      <c r="K50" s="1"/>
      <c r="L50" s="1">
        <f t="shared" si="30"/>
        <v>-46.72999999999999</v>
      </c>
      <c r="M50" s="1"/>
      <c r="N50" s="5">
        <f t="shared" si="31"/>
        <v>-0.22441530999375686</v>
      </c>
      <c r="O50" s="13"/>
      <c r="P50" s="1">
        <f>SUM(OSRRefP22_8x_0)</f>
        <v>2057.59</v>
      </c>
      <c r="Q50" s="1"/>
      <c r="R50" s="5">
        <f t="shared" si="32"/>
        <v>1.0329534640555952E-2</v>
      </c>
      <c r="S50" s="1"/>
      <c r="T50" s="1">
        <f>SUM(OSRRefT22_8x_0)</f>
        <v>2501.96</v>
      </c>
      <c r="U50" s="1"/>
      <c r="V50" s="5">
        <f t="shared" si="33"/>
        <v>1.2182998378301099E-2</v>
      </c>
      <c r="W50" s="1"/>
      <c r="X50" s="1">
        <f t="shared" si="34"/>
        <v>-444.36999999999989</v>
      </c>
      <c r="Y50" s="1"/>
      <c r="Z50" s="5">
        <f t="shared" si="35"/>
        <v>-0.17760875473628671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>
        <v>161.5</v>
      </c>
      <c r="E51" s="2"/>
      <c r="F51" s="7">
        <f t="shared" si="28"/>
        <v>7.4128916382123307E-3</v>
      </c>
      <c r="G51" s="2"/>
      <c r="H51" s="6">
        <v>208.23</v>
      </c>
      <c r="I51" s="2"/>
      <c r="J51" s="7">
        <f t="shared" si="29"/>
        <v>7.331288473156985E-3</v>
      </c>
      <c r="K51" s="2"/>
      <c r="L51" s="6">
        <f t="shared" si="30"/>
        <v>-46.72999999999999</v>
      </c>
      <c r="M51" s="2"/>
      <c r="N51" s="7">
        <f t="shared" si="31"/>
        <v>-0.22441530999375686</v>
      </c>
      <c r="O51" s="11"/>
      <c r="P51" s="6">
        <v>2057.59</v>
      </c>
      <c r="Q51" s="2"/>
      <c r="R51" s="7">
        <f t="shared" si="32"/>
        <v>1.0329534640555952E-2</v>
      </c>
      <c r="S51" s="2"/>
      <c r="T51" s="6">
        <v>2501.96</v>
      </c>
      <c r="U51" s="2"/>
      <c r="V51" s="7">
        <f t="shared" si="33"/>
        <v>1.2182998378301099E-2</v>
      </c>
      <c r="W51" s="2"/>
      <c r="X51" s="6">
        <f t="shared" si="34"/>
        <v>-444.36999999999989</v>
      </c>
      <c r="Y51" s="2"/>
      <c r="Z51" s="7">
        <f t="shared" si="35"/>
        <v>-0.17760875473628671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200.85999999999999</v>
      </c>
      <c r="E52" s="1"/>
      <c r="F52" s="5">
        <f t="shared" si="28"/>
        <v>9.2195257860763387E-3</v>
      </c>
      <c r="G52" s="1"/>
      <c r="H52" s="1">
        <f>SUM(OSRRefH22_9x_0)</f>
        <v>219.31</v>
      </c>
      <c r="I52" s="1"/>
      <c r="J52" s="5">
        <f t="shared" si="29"/>
        <v>7.7213892092784829E-3</v>
      </c>
      <c r="K52" s="1"/>
      <c r="L52" s="1">
        <f t="shared" si="30"/>
        <v>-18.450000000000017</v>
      </c>
      <c r="M52" s="1"/>
      <c r="N52" s="5">
        <f t="shared" si="31"/>
        <v>-8.4127490766494992E-2</v>
      </c>
      <c r="O52" s="13"/>
      <c r="P52" s="1">
        <f>SUM(OSRRefP22_9x_0)</f>
        <v>5955.66</v>
      </c>
      <c r="Q52" s="1"/>
      <c r="R52" s="5">
        <f t="shared" si="32"/>
        <v>2.9898666049783217E-2</v>
      </c>
      <c r="S52" s="1"/>
      <c r="T52" s="1">
        <f>SUM(OSRRefT22_9x_0)</f>
        <v>2217.94</v>
      </c>
      <c r="U52" s="1"/>
      <c r="V52" s="5">
        <f t="shared" si="33"/>
        <v>1.0799996571955245E-2</v>
      </c>
      <c r="W52" s="1"/>
      <c r="X52" s="1">
        <f t="shared" si="34"/>
        <v>3737.72</v>
      </c>
      <c r="Y52" s="1"/>
      <c r="Z52" s="5">
        <f t="shared" si="35"/>
        <v>1.6852214216795764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>
        <v>47.57</v>
      </c>
      <c r="E53" s="2"/>
      <c r="F53" s="7">
        <f t="shared" si="28"/>
        <v>2.1834752645805608E-3</v>
      </c>
      <c r="G53" s="2"/>
      <c r="H53" s="6">
        <v>166.54</v>
      </c>
      <c r="I53" s="2"/>
      <c r="J53" s="7">
        <f t="shared" si="29"/>
        <v>5.8634816420283552E-3</v>
      </c>
      <c r="K53" s="2"/>
      <c r="L53" s="6">
        <f t="shared" si="30"/>
        <v>-118.97</v>
      </c>
      <c r="M53" s="2"/>
      <c r="N53" s="7">
        <f t="shared" si="31"/>
        <v>-0.71436291581602018</v>
      </c>
      <c r="O53" s="11"/>
      <c r="P53" s="6">
        <v>93.22</v>
      </c>
      <c r="Q53" s="2"/>
      <c r="R53" s="7">
        <f t="shared" si="32"/>
        <v>4.6798401002756901E-4</v>
      </c>
      <c r="S53" s="2"/>
      <c r="T53" s="6">
        <v>333.08</v>
      </c>
      <c r="U53" s="2"/>
      <c r="V53" s="7">
        <f t="shared" si="33"/>
        <v>1.6218936752963797E-3</v>
      </c>
      <c r="W53" s="2"/>
      <c r="X53" s="6">
        <f t="shared" si="34"/>
        <v>-239.85999999999999</v>
      </c>
      <c r="Y53" s="2"/>
      <c r="Z53" s="7">
        <f t="shared" si="35"/>
        <v>-0.72012729674552656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>
        <v>153.29</v>
      </c>
      <c r="E54" s="2"/>
      <c r="F54" s="7">
        <f t="shared" si="28"/>
        <v>7.0360505214957783E-3</v>
      </c>
      <c r="G54" s="2"/>
      <c r="H54" s="6">
        <v>52.77</v>
      </c>
      <c r="I54" s="2"/>
      <c r="J54" s="7">
        <f t="shared" si="29"/>
        <v>1.857907567250128E-3</v>
      </c>
      <c r="K54" s="2"/>
      <c r="L54" s="6">
        <f t="shared" si="30"/>
        <v>100.51999999999998</v>
      </c>
      <c r="M54" s="2"/>
      <c r="N54" s="7">
        <f t="shared" si="31"/>
        <v>1.9048701913966264</v>
      </c>
      <c r="O54" s="11"/>
      <c r="P54" s="6">
        <v>5862.44</v>
      </c>
      <c r="Q54" s="2"/>
      <c r="R54" s="7">
        <f t="shared" si="32"/>
        <v>2.9430682039755646E-2</v>
      </c>
      <c r="S54" s="2"/>
      <c r="T54" s="6">
        <v>1884.86</v>
      </c>
      <c r="U54" s="2"/>
      <c r="V54" s="7">
        <f t="shared" si="33"/>
        <v>9.178102896658864E-3</v>
      </c>
      <c r="W54" s="2"/>
      <c r="X54" s="6">
        <f t="shared" si="34"/>
        <v>3977.58</v>
      </c>
      <c r="Y54" s="2"/>
      <c r="Z54" s="7">
        <f t="shared" si="35"/>
        <v>2.1102787474931826</v>
      </c>
    </row>
    <row r="55" spans="1:26" s="27" customFormat="1" outlineLevel="1" collapsed="1" x14ac:dyDescent="0.25">
      <c r="A55" s="25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354.86</v>
      </c>
      <c r="E55" s="1"/>
      <c r="F55" s="5">
        <f t="shared" ref="F55:F58" si="36">IF(D$12=0,0,D55/D$12)</f>
        <v>1.6288165490625558E-2</v>
      </c>
      <c r="G55" s="1"/>
      <c r="H55" s="1">
        <f>SUM(OSRRefH22_10x_0)</f>
        <v>0</v>
      </c>
      <c r="I55" s="1"/>
      <c r="J55" s="5">
        <f t="shared" ref="J55:J58" si="37">IF(H$12=0,0,H55/H$12)</f>
        <v>0</v>
      </c>
      <c r="K55" s="1"/>
      <c r="L55" s="1">
        <f t="shared" ref="L55:L58" si="38">+D55-H55</f>
        <v>354.86</v>
      </c>
      <c r="M55" s="1"/>
      <c r="N55" s="5">
        <f t="shared" ref="N55:N58" si="39">IF(H55=0,0,L55/H55)</f>
        <v>0</v>
      </c>
      <c r="O55" s="13"/>
      <c r="P55" s="1">
        <f>SUM(OSRRefP22_10x_0)</f>
        <v>2457.09</v>
      </c>
      <c r="Q55" s="1"/>
      <c r="R55" s="5">
        <f t="shared" ref="R55:R58" si="40">IF(P$12=0,0,P55/P$12)</f>
        <v>1.2335108680526063E-2</v>
      </c>
      <c r="S55" s="1"/>
      <c r="T55" s="1">
        <f>SUM(OSRRefT22_10x_0)</f>
        <v>1739.65</v>
      </c>
      <c r="U55" s="1"/>
      <c r="V55" s="5">
        <f t="shared" ref="V55:V58" si="41">IF(T$12=0,0,T55/T$12)</f>
        <v>8.4710199718666598E-3</v>
      </c>
      <c r="W55" s="1"/>
      <c r="X55" s="1">
        <f t="shared" ref="X55:X58" si="42">+P55-T55</f>
        <v>717.44</v>
      </c>
      <c r="Y55" s="1"/>
      <c r="Z55" s="5">
        <f t="shared" ref="Z55:Z58" si="43">IF(T55=0,0,X55/T55)</f>
        <v>0.41240479406777225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6">
        <v>327.93</v>
      </c>
      <c r="E56" s="2"/>
      <c r="F56" s="7">
        <f t="shared" si="36"/>
        <v>1.5052071547485881E-2</v>
      </c>
      <c r="G56" s="2"/>
      <c r="H56" s="6"/>
      <c r="I56" s="2"/>
      <c r="J56" s="7">
        <f t="shared" si="37"/>
        <v>0</v>
      </c>
      <c r="K56" s="2"/>
      <c r="L56" s="6">
        <f t="shared" si="38"/>
        <v>327.93</v>
      </c>
      <c r="M56" s="2"/>
      <c r="N56" s="7">
        <f t="shared" si="39"/>
        <v>0</v>
      </c>
      <c r="O56" s="11"/>
      <c r="P56" s="6">
        <v>2109.5100000000002</v>
      </c>
      <c r="Q56" s="2"/>
      <c r="R56" s="7">
        <f t="shared" si="40"/>
        <v>1.0590183962596623E-2</v>
      </c>
      <c r="S56" s="2"/>
      <c r="T56" s="6">
        <v>1639.65</v>
      </c>
      <c r="U56" s="2"/>
      <c r="V56" s="7">
        <f t="shared" si="41"/>
        <v>7.9840817962642877E-3</v>
      </c>
      <c r="W56" s="2"/>
      <c r="X56" s="6">
        <f t="shared" si="42"/>
        <v>469.86000000000013</v>
      </c>
      <c r="Y56" s="2"/>
      <c r="Z56" s="7">
        <f t="shared" si="43"/>
        <v>0.28656115634434182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>
        <v>26.93</v>
      </c>
      <c r="E57" s="2"/>
      <c r="F57" s="7">
        <f t="shared" si="36"/>
        <v>1.2360939431396785E-3</v>
      </c>
      <c r="G57" s="2"/>
      <c r="H57" s="6"/>
      <c r="I57" s="2"/>
      <c r="J57" s="7">
        <f t="shared" si="37"/>
        <v>0</v>
      </c>
      <c r="K57" s="2"/>
      <c r="L57" s="6">
        <f t="shared" si="38"/>
        <v>26.93</v>
      </c>
      <c r="M57" s="2"/>
      <c r="N57" s="7">
        <f t="shared" si="39"/>
        <v>0</v>
      </c>
      <c r="O57" s="11"/>
      <c r="P57" s="6">
        <v>161.58000000000001</v>
      </c>
      <c r="Q57" s="2"/>
      <c r="R57" s="7">
        <f t="shared" si="40"/>
        <v>8.1116559043396916E-4</v>
      </c>
      <c r="S57" s="2"/>
      <c r="T57" s="6">
        <v>100</v>
      </c>
      <c r="U57" s="2"/>
      <c r="V57" s="7">
        <f t="shared" si="41"/>
        <v>4.8693817560237175E-4</v>
      </c>
      <c r="W57" s="2"/>
      <c r="X57" s="6">
        <f t="shared" si="42"/>
        <v>61.580000000000013</v>
      </c>
      <c r="Y57" s="2"/>
      <c r="Z57" s="7">
        <f t="shared" si="43"/>
        <v>0.61580000000000013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186</v>
      </c>
      <c r="Q58" s="2"/>
      <c r="R58" s="7">
        <f t="shared" si="40"/>
        <v>9.3375912749547125E-4</v>
      </c>
      <c r="S58" s="2"/>
      <c r="T58" s="6"/>
      <c r="U58" s="2"/>
      <c r="V58" s="7">
        <f t="shared" si="41"/>
        <v>0</v>
      </c>
      <c r="W58" s="2"/>
      <c r="X58" s="6">
        <f t="shared" si="42"/>
        <v>186</v>
      </c>
      <c r="Y58" s="2"/>
      <c r="Z58" s="7">
        <f t="shared" si="43"/>
        <v>0</v>
      </c>
    </row>
    <row r="59" spans="1:26" s="27" customFormat="1" outlineLevel="1" collapsed="1" x14ac:dyDescent="0.25">
      <c r="A59" s="25"/>
      <c r="B59" s="13" t="str">
        <f>CONCATENATE("     ","Subscriptions &amp; Dues                              ")</f>
        <v xml:space="preserve">     Subscriptions &amp; Dues                              </v>
      </c>
      <c r="C59" s="13"/>
      <c r="D59" s="1">
        <f>SUM(OSRRefD22_11x_0)</f>
        <v>0</v>
      </c>
      <c r="E59" s="1"/>
      <c r="F59" s="5">
        <f t="shared" ref="F59:F67" si="44">IF(D$12=0,0,D59/D$12)</f>
        <v>0</v>
      </c>
      <c r="G59" s="1"/>
      <c r="H59" s="1">
        <f>SUM(OSRRefH22_11x_0)</f>
        <v>0</v>
      </c>
      <c r="I59" s="1"/>
      <c r="J59" s="5">
        <f t="shared" ref="J59:J67" si="45">IF(H$12=0,0,H59/H$12)</f>
        <v>0</v>
      </c>
      <c r="K59" s="1"/>
      <c r="L59" s="1">
        <f t="shared" ref="L59:L67" si="46">+D59-H59</f>
        <v>0</v>
      </c>
      <c r="M59" s="1"/>
      <c r="N59" s="5">
        <f t="shared" ref="N59:N67" si="47">IF(H59=0,0,L59/H59)</f>
        <v>0</v>
      </c>
      <c r="O59" s="13"/>
      <c r="P59" s="1">
        <f>SUM(OSRRefP22_11x_0)</f>
        <v>0</v>
      </c>
      <c r="Q59" s="1"/>
      <c r="R59" s="5">
        <f t="shared" ref="R59:R67" si="48">IF(P$12=0,0,P59/P$12)</f>
        <v>0</v>
      </c>
      <c r="S59" s="1"/>
      <c r="T59" s="1">
        <f>SUM(OSRRefT22_11x_0)</f>
        <v>31.8</v>
      </c>
      <c r="U59" s="1"/>
      <c r="V59" s="5">
        <f t="shared" ref="V59:V67" si="49">IF(T$12=0,0,T59/T$12)</f>
        <v>1.5484633984155422E-4</v>
      </c>
      <c r="W59" s="1"/>
      <c r="X59" s="1">
        <f t="shared" ref="X59:X67" si="50">+P59-T59</f>
        <v>-31.8</v>
      </c>
      <c r="Y59" s="1"/>
      <c r="Z59" s="5">
        <f t="shared" ref="Z59:Z67" si="51">IF(T59=0,0,X59/T59)</f>
        <v>-1</v>
      </c>
    </row>
    <row r="60" spans="1:26" s="24" customFormat="1" hidden="1" outlineLevel="2" x14ac:dyDescent="0.25">
      <c r="A60" s="26"/>
      <c r="B60" s="11" t="str">
        <f>CONCATENATE("          ", "6258", " - ", "MEMBERSHIP DUES")</f>
        <v xml:space="preserve">          6258 - MEMBERSHIP DUES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31.8</v>
      </c>
      <c r="U60" s="2"/>
      <c r="V60" s="7">
        <f t="shared" si="49"/>
        <v>1.5484633984155422E-4</v>
      </c>
      <c r="W60" s="2"/>
      <c r="X60" s="6">
        <f t="shared" si="50"/>
        <v>-31.8</v>
      </c>
      <c r="Y60" s="2"/>
      <c r="Z60" s="7">
        <f t="shared" si="51"/>
        <v>-1</v>
      </c>
    </row>
    <row r="61" spans="1:26" s="27" customFormat="1" outlineLevel="1" collapsed="1" x14ac:dyDescent="0.25">
      <c r="A61" s="25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761.18000000000006</v>
      </c>
      <c r="E61" s="1"/>
      <c r="F61" s="5">
        <f t="shared" si="44"/>
        <v>3.4938358248758281E-2</v>
      </c>
      <c r="G61" s="1"/>
      <c r="H61" s="1">
        <f>SUM(OSRRefH22_12x_0)</f>
        <v>75.900000000000006</v>
      </c>
      <c r="I61" s="1"/>
      <c r="J61" s="5">
        <f t="shared" si="45"/>
        <v>2.672260457727586E-3</v>
      </c>
      <c r="K61" s="1"/>
      <c r="L61" s="1">
        <f t="shared" si="46"/>
        <v>685.28000000000009</v>
      </c>
      <c r="M61" s="1"/>
      <c r="N61" s="5">
        <f t="shared" si="47"/>
        <v>9.0287220026350461</v>
      </c>
      <c r="O61" s="13"/>
      <c r="P61" s="1">
        <f>SUM(OSRRefP22_12x_0)</f>
        <v>7054.5300000000007</v>
      </c>
      <c r="Q61" s="1"/>
      <c r="R61" s="5">
        <f t="shared" si="48"/>
        <v>3.5415224611239936E-2</v>
      </c>
      <c r="S61" s="1"/>
      <c r="T61" s="1">
        <f>SUM(OSRRefT22_12x_0)</f>
        <v>3690.76</v>
      </c>
      <c r="U61" s="1"/>
      <c r="V61" s="5">
        <f t="shared" si="49"/>
        <v>1.7971719409862096E-2</v>
      </c>
      <c r="W61" s="1"/>
      <c r="X61" s="1">
        <f t="shared" si="50"/>
        <v>3363.7700000000004</v>
      </c>
      <c r="Y61" s="1"/>
      <c r="Z61" s="5">
        <f t="shared" si="51"/>
        <v>0.91140307145411792</v>
      </c>
    </row>
    <row r="62" spans="1:26" s="24" customFormat="1" hidden="1" outlineLevel="2" x14ac:dyDescent="0.25">
      <c r="A62" s="26"/>
      <c r="B62" s="11" t="str">
        <f>CONCATENATE("          ", "6237", " - ", "JANITORIAL SUPPLIES")</f>
        <v xml:space="preserve">          6237 - JANITORIAL SUPPLIES</v>
      </c>
      <c r="C62" s="11"/>
      <c r="D62" s="6">
        <v>123.47</v>
      </c>
      <c r="E62" s="2"/>
      <c r="F62" s="7">
        <f t="shared" si="44"/>
        <v>5.6673048332512473E-3</v>
      </c>
      <c r="G62" s="2"/>
      <c r="H62" s="6"/>
      <c r="I62" s="2"/>
      <c r="J62" s="7">
        <f t="shared" si="45"/>
        <v>0</v>
      </c>
      <c r="K62" s="2"/>
      <c r="L62" s="6">
        <f t="shared" si="46"/>
        <v>123.47</v>
      </c>
      <c r="M62" s="2"/>
      <c r="N62" s="7">
        <f t="shared" si="47"/>
        <v>0</v>
      </c>
      <c r="O62" s="11"/>
      <c r="P62" s="6">
        <v>900.42</v>
      </c>
      <c r="Q62" s="2"/>
      <c r="R62" s="7">
        <f t="shared" si="48"/>
        <v>4.5202978149433987E-3</v>
      </c>
      <c r="S62" s="2"/>
      <c r="T62" s="6">
        <v>398.56</v>
      </c>
      <c r="U62" s="2"/>
      <c r="V62" s="7">
        <f t="shared" si="49"/>
        <v>1.9407407926808127E-3</v>
      </c>
      <c r="W62" s="2"/>
      <c r="X62" s="6">
        <f t="shared" si="50"/>
        <v>501.85999999999996</v>
      </c>
      <c r="Y62" s="2"/>
      <c r="Z62" s="7">
        <f t="shared" si="51"/>
        <v>1.2591830590124446</v>
      </c>
    </row>
    <row r="63" spans="1:26" s="24" customFormat="1" hidden="1" outlineLevel="2" x14ac:dyDescent="0.25">
      <c r="A63" s="26"/>
      <c r="B63" s="11" t="str">
        <f>CONCATENATE("          ", "6241", " - ", "OFFICE EXPENSE")</f>
        <v xml:space="preserve">          6241 - OFFICE EXPENSE</v>
      </c>
      <c r="C63" s="11"/>
      <c r="D63" s="6"/>
      <c r="E63" s="2"/>
      <c r="F63" s="7">
        <f t="shared" si="44"/>
        <v>0</v>
      </c>
      <c r="G63" s="2"/>
      <c r="H63" s="6"/>
      <c r="I63" s="2"/>
      <c r="J63" s="7">
        <f t="shared" si="45"/>
        <v>0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/>
      <c r="Q63" s="2"/>
      <c r="R63" s="7">
        <f t="shared" si="48"/>
        <v>0</v>
      </c>
      <c r="S63" s="2"/>
      <c r="T63" s="6">
        <v>68.36</v>
      </c>
      <c r="U63" s="2"/>
      <c r="V63" s="7">
        <f t="shared" si="49"/>
        <v>3.3287093684178132E-4</v>
      </c>
      <c r="W63" s="2"/>
      <c r="X63" s="6">
        <f t="shared" si="50"/>
        <v>-68.36</v>
      </c>
      <c r="Y63" s="2"/>
      <c r="Z63" s="7">
        <f t="shared" si="51"/>
        <v>-1</v>
      </c>
    </row>
    <row r="64" spans="1:26" s="24" customFormat="1" hidden="1" outlineLevel="2" x14ac:dyDescent="0.25">
      <c r="A64" s="26"/>
      <c r="B64" s="11" t="str">
        <f>CONCATENATE("          ", "6243", " - ", "PAPER SUPPLIES")</f>
        <v xml:space="preserve">          6243 - PAPER SUPPLIES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>
        <v>704.76</v>
      </c>
      <c r="Q64" s="2"/>
      <c r="R64" s="7">
        <f t="shared" si="48"/>
        <v>3.5380434553425179E-3</v>
      </c>
      <c r="S64" s="2"/>
      <c r="T64" s="6">
        <v>931.89</v>
      </c>
      <c r="U64" s="2"/>
      <c r="V64" s="7">
        <f t="shared" si="49"/>
        <v>4.5377281646209414E-3</v>
      </c>
      <c r="W64" s="2"/>
      <c r="X64" s="6">
        <f t="shared" si="50"/>
        <v>-227.13</v>
      </c>
      <c r="Y64" s="2"/>
      <c r="Z64" s="7">
        <f t="shared" si="51"/>
        <v>-0.24373048321153784</v>
      </c>
    </row>
    <row r="65" spans="1:26" s="24" customFormat="1" hidden="1" outlineLevel="2" x14ac:dyDescent="0.25">
      <c r="A65" s="26"/>
      <c r="B65" s="11" t="str">
        <f>CONCATENATE("          ", "6245", " - ", "PRINTING")</f>
        <v xml:space="preserve">          6245 - PRINTING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/>
      <c r="Q65" s="2"/>
      <c r="R65" s="7">
        <f t="shared" si="48"/>
        <v>0</v>
      </c>
      <c r="S65" s="2"/>
      <c r="T65" s="6">
        <v>51.82</v>
      </c>
      <c r="U65" s="2"/>
      <c r="V65" s="7">
        <f t="shared" si="49"/>
        <v>2.5233136259714904E-4</v>
      </c>
      <c r="W65" s="2"/>
      <c r="X65" s="6">
        <f t="shared" si="50"/>
        <v>-51.82</v>
      </c>
      <c r="Y65" s="2"/>
      <c r="Z65" s="7">
        <f t="shared" si="51"/>
        <v>-1</v>
      </c>
    </row>
    <row r="66" spans="1:26" s="24" customFormat="1" hidden="1" outlineLevel="2" x14ac:dyDescent="0.25">
      <c r="A66" s="26"/>
      <c r="B66" s="11" t="str">
        <f>CONCATENATE("          ", "6247", " - ", "STORE SUPPLIES")</f>
        <v xml:space="preserve">          6247 - STORE SUPPLIES</v>
      </c>
      <c r="C66" s="11"/>
      <c r="D66" s="6">
        <v>637.71</v>
      </c>
      <c r="E66" s="2"/>
      <c r="F66" s="7">
        <f t="shared" si="44"/>
        <v>2.9271053415507033E-2</v>
      </c>
      <c r="G66" s="2"/>
      <c r="H66" s="6">
        <v>75.900000000000006</v>
      </c>
      <c r="I66" s="2"/>
      <c r="J66" s="7">
        <f t="shared" si="45"/>
        <v>2.672260457727586E-3</v>
      </c>
      <c r="K66" s="2"/>
      <c r="L66" s="6">
        <f t="shared" si="46"/>
        <v>561.81000000000006</v>
      </c>
      <c r="M66" s="2"/>
      <c r="N66" s="7">
        <f t="shared" si="47"/>
        <v>7.4019762845849808</v>
      </c>
      <c r="O66" s="11"/>
      <c r="P66" s="6">
        <v>5449.35</v>
      </c>
      <c r="Q66" s="2"/>
      <c r="R66" s="7">
        <f t="shared" si="48"/>
        <v>2.7356883340954014E-2</v>
      </c>
      <c r="S66" s="2"/>
      <c r="T66" s="6">
        <v>2052.2600000000002</v>
      </c>
      <c r="U66" s="2"/>
      <c r="V66" s="7">
        <f t="shared" si="49"/>
        <v>9.993237402617235E-3</v>
      </c>
      <c r="W66" s="2"/>
      <c r="X66" s="6">
        <f t="shared" si="50"/>
        <v>3397.09</v>
      </c>
      <c r="Y66" s="2"/>
      <c r="Z66" s="7">
        <f t="shared" si="51"/>
        <v>1.6552922144367672</v>
      </c>
    </row>
    <row r="67" spans="1:26" s="24" customFormat="1" hidden="1" outlineLevel="2" x14ac:dyDescent="0.25">
      <c r="A67" s="26"/>
      <c r="B67" s="11" t="str">
        <f>CONCATENATE("          ", "6248", " - ", "UNIFORMS")</f>
        <v xml:space="preserve">          6248 - UNIFORMS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187.87</v>
      </c>
      <c r="U67" s="2"/>
      <c r="V67" s="7">
        <f t="shared" si="49"/>
        <v>9.1481075050417579E-4</v>
      </c>
      <c r="W67" s="2"/>
      <c r="X67" s="6">
        <f t="shared" si="50"/>
        <v>-187.87</v>
      </c>
      <c r="Y67" s="2"/>
      <c r="Z67" s="7">
        <f t="shared" si="51"/>
        <v>-1</v>
      </c>
    </row>
    <row r="68" spans="1:26" s="27" customFormat="1" outlineLevel="1" collapsed="1" x14ac:dyDescent="0.25">
      <c r="A68" s="25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91.01</v>
      </c>
      <c r="E68" s="1"/>
      <c r="F68" s="5">
        <f t="shared" ref="F68:F69" si="52">IF(D$12=0,0,D68/D$12)</f>
        <v>4.1773824643573021E-3</v>
      </c>
      <c r="G68" s="1"/>
      <c r="H68" s="1">
        <f>SUM(OSRRefH22_13x_0)</f>
        <v>91.01</v>
      </c>
      <c r="I68" s="1"/>
      <c r="J68" s="5">
        <f t="shared" ref="J68:J69" si="53">IF(H$12=0,0,H68/H$12)</f>
        <v>3.2042480139365956E-3</v>
      </c>
      <c r="K68" s="1"/>
      <c r="L68" s="1">
        <f t="shared" ref="L68:L69" si="54">+D68-H68</f>
        <v>0</v>
      </c>
      <c r="M68" s="1"/>
      <c r="N68" s="5">
        <f t="shared" ref="N68:N69" si="55">IF(H68=0,0,L68/H68)</f>
        <v>0</v>
      </c>
      <c r="O68" s="13"/>
      <c r="P68" s="1">
        <f>SUM(OSRRefP22_13x_0)</f>
        <v>546.05999999999995</v>
      </c>
      <c r="Q68" s="1"/>
      <c r="R68" s="5">
        <f t="shared" ref="R68:R69" si="56">IF(P$12=0,0,P68/P$12)</f>
        <v>2.74133607075364E-3</v>
      </c>
      <c r="S68" s="1"/>
      <c r="T68" s="1">
        <f>SUM(OSRRefT22_13x_0)</f>
        <v>546.05999999999995</v>
      </c>
      <c r="U68" s="1"/>
      <c r="V68" s="5">
        <f t="shared" ref="V68:V69" si="57">IF(T$12=0,0,T68/T$12)</f>
        <v>2.6589746016943108E-3</v>
      </c>
      <c r="W68" s="1"/>
      <c r="X68" s="1">
        <f t="shared" ref="X68:X69" si="58">+P68-T68</f>
        <v>0</v>
      </c>
      <c r="Y68" s="1"/>
      <c r="Z68" s="5">
        <f t="shared" ref="Z68:Z69" si="59">IF(T68=0,0,X68/T68)</f>
        <v>0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>
        <v>91.01</v>
      </c>
      <c r="E69" s="2"/>
      <c r="F69" s="7">
        <f t="shared" si="52"/>
        <v>4.1773824643573021E-3</v>
      </c>
      <c r="G69" s="2"/>
      <c r="H69" s="6">
        <v>91.01</v>
      </c>
      <c r="I69" s="2"/>
      <c r="J69" s="7">
        <f t="shared" si="53"/>
        <v>3.2042480139365956E-3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546.05999999999995</v>
      </c>
      <c r="Q69" s="2"/>
      <c r="R69" s="7">
        <f t="shared" si="56"/>
        <v>2.74133607075364E-3</v>
      </c>
      <c r="S69" s="2"/>
      <c r="T69" s="6">
        <v>546.05999999999995</v>
      </c>
      <c r="U69" s="2"/>
      <c r="V69" s="7">
        <f t="shared" si="57"/>
        <v>2.6589746016943108E-3</v>
      </c>
      <c r="W69" s="2"/>
      <c r="X69" s="6">
        <f t="shared" si="58"/>
        <v>0</v>
      </c>
      <c r="Y69" s="2"/>
      <c r="Z69" s="7">
        <f t="shared" si="59"/>
        <v>0</v>
      </c>
    </row>
    <row r="70" spans="1:26" s="61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0">
        <f>+D20-D22+D71</f>
        <v>2282.2500000000018</v>
      </c>
      <c r="E73" s="14"/>
      <c r="F73" s="21">
        <f>IF(D$12=0,0,D73/D$12)</f>
        <v>0.10475586341368487</v>
      </c>
      <c r="G73" s="14"/>
      <c r="H73" s="20">
        <f>+H20-H22+H71</f>
        <v>1569.6000000000004</v>
      </c>
      <c r="I73" s="14"/>
      <c r="J73" s="21">
        <f>IF(H$12=0,0,H73/H$12)</f>
        <v>5.5261923774034515E-2</v>
      </c>
      <c r="K73" s="15"/>
      <c r="L73" s="20">
        <f>+D73-H73</f>
        <v>712.65000000000146</v>
      </c>
      <c r="M73" s="15"/>
      <c r="N73" s="21">
        <f>IF(H73=0,0,L73/H73)</f>
        <v>0.45403287461773784</v>
      </c>
      <c r="O73" s="28"/>
      <c r="P73" s="20">
        <f>+P20-P22+P71</f>
        <v>18347.460000000006</v>
      </c>
      <c r="Q73" s="14"/>
      <c r="R73" s="21">
        <f>IF(P$12=0,0,P73/P$12)</f>
        <v>9.2108108824505736E-2</v>
      </c>
      <c r="S73" s="14"/>
      <c r="T73" s="20">
        <f>+T20-T22+T71</f>
        <v>11540.979999999996</v>
      </c>
      <c r="U73" s="14"/>
      <c r="V73" s="21">
        <f>IF(T$12=0,0,T73/T$12)</f>
        <v>5.6197437458634578E-2</v>
      </c>
      <c r="W73" s="15"/>
      <c r="X73" s="20">
        <f>+P73-T73</f>
        <v>6806.4800000000105</v>
      </c>
      <c r="Y73" s="15"/>
      <c r="Z73" s="21">
        <f>IF(T73=0,0,X73/T73)</f>
        <v>0.58976620702921356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2728.22</v>
      </c>
      <c r="E75" s="4"/>
      <c r="F75" s="12">
        <f>IF(D$12=0,0,D75/D$12)</f>
        <v>0.12522600139444981</v>
      </c>
      <c r="G75" s="4"/>
      <c r="H75" s="4">
        <v>3541.62</v>
      </c>
      <c r="I75" s="4"/>
      <c r="J75" s="12">
        <f>IF(H$12=0,0,H75/H$12)</f>
        <v>0.12469210912117487</v>
      </c>
      <c r="K75" s="4"/>
      <c r="L75" s="4">
        <f>+D75-H75</f>
        <v>-813.40000000000009</v>
      </c>
      <c r="M75" s="4"/>
      <c r="N75" s="12">
        <f>IF(H75=0,0,L75/H75)</f>
        <v>-0.22966890857856012</v>
      </c>
      <c r="O75" s="10"/>
      <c r="P75" s="4">
        <v>21514.58</v>
      </c>
      <c r="Q75" s="4"/>
      <c r="R75" s="12">
        <f>IF(P$12=0,0,P75/P$12)</f>
        <v>0.10800771746898666</v>
      </c>
      <c r="S75" s="4"/>
      <c r="T75" s="4">
        <v>22161.98</v>
      </c>
      <c r="U75" s="4"/>
      <c r="V75" s="12">
        <f>IF(T$12=0,0,T75/T$12)</f>
        <v>0.1079151410893625</v>
      </c>
      <c r="W75" s="4"/>
      <c r="X75" s="4">
        <f>+P75-T75</f>
        <v>-647.39999999999782</v>
      </c>
      <c r="Y75" s="4"/>
      <c r="Z75" s="12">
        <f>IF(T75=0,0,X75/T75)</f>
        <v>-2.9212191329474977E-2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2">
        <f>+D73-D75</f>
        <v>-445.96999999999798</v>
      </c>
      <c r="E77" s="14"/>
      <c r="F77" s="30">
        <f>IF(D$12=0,0,D77/D$12)</f>
        <v>-2.0470137980764944E-2</v>
      </c>
      <c r="G77" s="14"/>
      <c r="H77" s="32">
        <f>+H73-H75</f>
        <v>-1972.0199999999995</v>
      </c>
      <c r="I77" s="14"/>
      <c r="J77" s="30">
        <f>IF(H$12=0,0,H77/H$12)</f>
        <v>-6.943018534714035E-2</v>
      </c>
      <c r="K77" s="15"/>
      <c r="L77" s="32">
        <f>D77-H77</f>
        <v>1526.0500000000015</v>
      </c>
      <c r="M77" s="15"/>
      <c r="N77" s="30">
        <f>IF(H77=0,0,L77/H77)</f>
        <v>-0.7738511779799403</v>
      </c>
      <c r="O77" s="28"/>
      <c r="P77" s="32">
        <f>+P73-P75</f>
        <v>-3167.1199999999953</v>
      </c>
      <c r="Q77" s="14"/>
      <c r="R77" s="30">
        <f>IF(P$12=0,0,P77/P$12)</f>
        <v>-1.589960864448093E-2</v>
      </c>
      <c r="S77" s="14"/>
      <c r="T77" s="32">
        <f>+T73-T75</f>
        <v>-10621.000000000004</v>
      </c>
      <c r="U77" s="14"/>
      <c r="V77" s="30">
        <f>IF(T$12=0,0,T77/T$12)</f>
        <v>-5.1717703630727918E-2</v>
      </c>
      <c r="W77" s="15"/>
      <c r="X77" s="32">
        <f>P77-T77</f>
        <v>7453.8800000000083</v>
      </c>
      <c r="Y77" s="15"/>
      <c r="Z77" s="30">
        <f>IF(T77=0,0,X77/T77)</f>
        <v>-0.70180585632238068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6">
        <f>SUM(D77:D79)</f>
        <v>-445.96999999999798</v>
      </c>
      <c r="E80" s="14"/>
      <c r="F80" s="31">
        <f>IF(D$12=0,0,D80/D$12)</f>
        <v>-2.0470137980764944E-2</v>
      </c>
      <c r="G80" s="14"/>
      <c r="H80" s="36">
        <f>SUM(H77:H79)</f>
        <v>-1972.0199999999995</v>
      </c>
      <c r="I80" s="14"/>
      <c r="J80" s="31">
        <f>IF(H$12=0,0,H80/H$12)</f>
        <v>-6.943018534714035E-2</v>
      </c>
      <c r="K80" s="15"/>
      <c r="L80" s="36">
        <f>+D80-H80</f>
        <v>1526.0500000000015</v>
      </c>
      <c r="M80" s="15"/>
      <c r="N80" s="31">
        <f>IF(H80=0,0,L80/H80)</f>
        <v>-0.7738511779799403</v>
      </c>
      <c r="O80" s="28"/>
      <c r="P80" s="36">
        <f>SUM(P77:P79)</f>
        <v>-3167.1199999999953</v>
      </c>
      <c r="Q80" s="14"/>
      <c r="R80" s="31">
        <f>IF(P$12=0,0,P80/P$12)</f>
        <v>-1.589960864448093E-2</v>
      </c>
      <c r="S80" s="14"/>
      <c r="T80" s="36">
        <f>SUM(T77:T79)</f>
        <v>-10621.000000000004</v>
      </c>
      <c r="U80" s="14"/>
      <c r="V80" s="31">
        <f>IF(T$12=0,0,T80/T$12)</f>
        <v>-5.1717703630727918E-2</v>
      </c>
      <c r="W80" s="15"/>
      <c r="X80" s="36">
        <f>+P80-T80</f>
        <v>7453.8800000000083</v>
      </c>
      <c r="Y80" s="15"/>
      <c r="Z80" s="31">
        <f>IF(T80=0,0,X80/T80)</f>
        <v>-0.70180585632238068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2">
        <v>43847.453672951386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6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297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","313", " - ", "Convenience Store")</f>
        <v>Department 313 - Convenience 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39691.699999999997</v>
      </c>
      <c r="E12" s="4"/>
      <c r="F12" s="12"/>
      <c r="G12" s="4"/>
      <c r="H12" s="4">
        <f>SUM(OSRRefH13x_0)</f>
        <v>40080.949999999997</v>
      </c>
      <c r="I12" s="4"/>
      <c r="J12" s="12"/>
      <c r="K12" s="4"/>
      <c r="L12" s="4">
        <f t="shared" ref="L12:L19" si="0">+D12-H12</f>
        <v>-389.25</v>
      </c>
      <c r="M12" s="4"/>
      <c r="N12" s="12">
        <f t="shared" ref="N12:N19" si="1">IF(H12=0,0,L12/H12)</f>
        <v>-9.7115961572767119E-3</v>
      </c>
      <c r="O12" s="10"/>
      <c r="P12" s="4">
        <f>SUM(OSRRefP13x_0)</f>
        <v>337573.29</v>
      </c>
      <c r="Q12" s="4"/>
      <c r="R12" s="12"/>
      <c r="S12" s="4"/>
      <c r="T12" s="4">
        <f>SUM(OSRRefT13x_0)</f>
        <v>328839.99</v>
      </c>
      <c r="U12" s="4"/>
      <c r="V12" s="12"/>
      <c r="W12" s="4"/>
      <c r="X12" s="4">
        <f t="shared" ref="X12:X19" si="2">+P12-T12</f>
        <v>8733.2999999999884</v>
      </c>
      <c r="Y12" s="4"/>
      <c r="Z12" s="12">
        <f t="shared" ref="Z12:Z19" si="3">IF(T12=0,0,X12/T12)</f>
        <v>2.6557901306346558E-2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--11077.21</f>
        <v>11077.21</v>
      </c>
      <c r="E13" s="2"/>
      <c r="F13" s="19"/>
      <c r="G13" s="2"/>
      <c r="H13" s="2">
        <f>--10437.51</f>
        <v>10437.51</v>
      </c>
      <c r="I13" s="2"/>
      <c r="J13" s="19"/>
      <c r="K13" s="2"/>
      <c r="L13" s="2">
        <f t="shared" si="0"/>
        <v>639.69999999999891</v>
      </c>
      <c r="M13" s="2"/>
      <c r="N13" s="19">
        <f t="shared" si="1"/>
        <v>6.1288564034908601E-2</v>
      </c>
      <c r="O13" s="11"/>
      <c r="P13" s="2">
        <f>--72225.08</f>
        <v>72225.08</v>
      </c>
      <c r="Q13" s="2"/>
      <c r="R13" s="19"/>
      <c r="S13" s="2"/>
      <c r="T13" s="2">
        <f>--70144.26</f>
        <v>70144.259999999995</v>
      </c>
      <c r="U13" s="2"/>
      <c r="V13" s="19"/>
      <c r="W13" s="2"/>
      <c r="X13" s="2">
        <f t="shared" si="2"/>
        <v>2080.820000000007</v>
      </c>
      <c r="Y13" s="2"/>
      <c r="Z13" s="19">
        <f t="shared" si="3"/>
        <v>2.9664864951173583E-2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--282.75</f>
        <v>282.75</v>
      </c>
      <c r="E15" s="2"/>
      <c r="F15" s="19"/>
      <c r="G15" s="2"/>
      <c r="H15" s="2">
        <f>--189.88</f>
        <v>189.88</v>
      </c>
      <c r="I15" s="2"/>
      <c r="J15" s="19"/>
      <c r="K15" s="2"/>
      <c r="L15" s="2">
        <f t="shared" si="0"/>
        <v>92.87</v>
      </c>
      <c r="M15" s="2"/>
      <c r="N15" s="19">
        <f t="shared" si="1"/>
        <v>0.48909837792289873</v>
      </c>
      <c r="O15" s="11"/>
      <c r="P15" s="2">
        <f>--2201.92</f>
        <v>2201.92</v>
      </c>
      <c r="Q15" s="2"/>
      <c r="R15" s="19"/>
      <c r="S15" s="2"/>
      <c r="T15" s="2">
        <f>--1319.17</f>
        <v>1319.17</v>
      </c>
      <c r="U15" s="2"/>
      <c r="V15" s="19"/>
      <c r="W15" s="2"/>
      <c r="X15" s="2">
        <f t="shared" si="2"/>
        <v>882.75</v>
      </c>
      <c r="Y15" s="2"/>
      <c r="Z15" s="19">
        <f t="shared" si="3"/>
        <v>0.66917076646679352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--28206.18</f>
        <v>28206.18</v>
      </c>
      <c r="E16" s="2"/>
      <c r="F16" s="19"/>
      <c r="G16" s="2"/>
      <c r="H16" s="2">
        <f>--29314.28</f>
        <v>29314.28</v>
      </c>
      <c r="I16" s="2"/>
      <c r="J16" s="19"/>
      <c r="K16" s="2"/>
      <c r="L16" s="2">
        <f t="shared" si="0"/>
        <v>-1108.0999999999985</v>
      </c>
      <c r="M16" s="2"/>
      <c r="N16" s="19">
        <f t="shared" si="1"/>
        <v>-3.780068962976401E-2</v>
      </c>
      <c r="O16" s="11"/>
      <c r="P16" s="2">
        <f>--261995.8</f>
        <v>261995.8</v>
      </c>
      <c r="Q16" s="2"/>
      <c r="R16" s="19"/>
      <c r="S16" s="2"/>
      <c r="T16" s="2">
        <f>--255902.83</f>
        <v>255902.83</v>
      </c>
      <c r="U16" s="2"/>
      <c r="V16" s="19"/>
      <c r="W16" s="2"/>
      <c r="X16" s="2">
        <f t="shared" si="2"/>
        <v>6092.9700000000012</v>
      </c>
      <c r="Y16" s="2"/>
      <c r="Z16" s="19">
        <f t="shared" si="3"/>
        <v>2.3809701518345855E-2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--0.39</f>
        <v>0.39</v>
      </c>
      <c r="Q17" s="2"/>
      <c r="R17" s="19"/>
      <c r="S17" s="2"/>
      <c r="T17" s="2">
        <f>--53.94</f>
        <v>53.94</v>
      </c>
      <c r="U17" s="2"/>
      <c r="V17" s="19"/>
      <c r="W17" s="2"/>
      <c r="X17" s="2">
        <f t="shared" si="2"/>
        <v>-53.55</v>
      </c>
      <c r="Y17" s="2"/>
      <c r="Z17" s="19">
        <f t="shared" si="3"/>
        <v>-0.99276974416017794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>--125.56</f>
        <v>125.56</v>
      </c>
      <c r="E18" s="2"/>
      <c r="F18" s="19"/>
      <c r="G18" s="2"/>
      <c r="H18" s="2">
        <f>--139.28</f>
        <v>139.28</v>
      </c>
      <c r="I18" s="2"/>
      <c r="J18" s="19"/>
      <c r="K18" s="2"/>
      <c r="L18" s="2">
        <f t="shared" si="0"/>
        <v>-13.719999999999999</v>
      </c>
      <c r="M18" s="2"/>
      <c r="N18" s="19">
        <f t="shared" si="1"/>
        <v>-9.8506605399195854E-2</v>
      </c>
      <c r="O18" s="11"/>
      <c r="P18" s="2">
        <f>--1150.1</f>
        <v>1150.0999999999999</v>
      </c>
      <c r="Q18" s="2"/>
      <c r="R18" s="19"/>
      <c r="S18" s="2"/>
      <c r="T18" s="2">
        <f>--1401.49</f>
        <v>1401.49</v>
      </c>
      <c r="U18" s="2"/>
      <c r="V18" s="19"/>
      <c r="W18" s="2"/>
      <c r="X18" s="2">
        <f t="shared" si="2"/>
        <v>-251.3900000000001</v>
      </c>
      <c r="Y18" s="2"/>
      <c r="Z18" s="19">
        <f t="shared" si="3"/>
        <v>-0.17937338118716517</v>
      </c>
    </row>
    <row r="19" spans="1:26" s="24" customFormat="1" hidden="1" outlineLevel="1" x14ac:dyDescent="0.25">
      <c r="A19" s="44"/>
      <c r="B19" s="11" t="str">
        <f>CONCATENATE("          ", "4233", " - ", "SALES RETURN TAXABLE-CANDY")</f>
        <v xml:space="preserve">          4233 - SALES RETURN TAXABLE-CANDY</v>
      </c>
      <c r="C19" s="11"/>
      <c r="D19" s="2">
        <f>0</f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-1.69</f>
        <v>-1.69</v>
      </c>
      <c r="U19" s="2"/>
      <c r="V19" s="19"/>
      <c r="W19" s="2"/>
      <c r="X19" s="2">
        <f t="shared" si="2"/>
        <v>1.69</v>
      </c>
      <c r="Y19" s="2"/>
      <c r="Z19" s="19">
        <f t="shared" si="3"/>
        <v>-1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8" t="s">
        <v>8</v>
      </c>
      <c r="C21" s="10"/>
      <c r="D21" s="4">
        <f>SUM(OSRRefD16x_0)</f>
        <v>17480.57</v>
      </c>
      <c r="E21" s="4"/>
      <c r="F21" s="12">
        <f t="shared" ref="F21:F23" si="4">IF(D$12=0,0,D21/D$12)</f>
        <v>0.44040870005567917</v>
      </c>
      <c r="G21" s="4"/>
      <c r="H21" s="4">
        <f>SUM(OSRRefH16x_0)</f>
        <v>18136.759999999998</v>
      </c>
      <c r="I21" s="4"/>
      <c r="J21" s="12">
        <f t="shared" ref="J21:J23" si="5">IF(H$12=0,0,H21/H$12)</f>
        <v>0.45250324655478474</v>
      </c>
      <c r="K21" s="4"/>
      <c r="L21" s="4">
        <f t="shared" ref="L21:L23" si="6">+D21-H21</f>
        <v>-656.18999999999869</v>
      </c>
      <c r="M21" s="4"/>
      <c r="N21" s="12">
        <f t="shared" ref="N21:N23" si="7">IF(H21=0,0,L21/H21)</f>
        <v>-3.6180111552449212E-2</v>
      </c>
      <c r="O21" s="10"/>
      <c r="P21" s="4">
        <f>SUM(OSRRefP16x_0)</f>
        <v>159085.37</v>
      </c>
      <c r="Q21" s="4"/>
      <c r="R21" s="12">
        <f t="shared" ref="R21:R23" si="8">IF(P$12=0,0,P21/P$12)</f>
        <v>0.47126172215817197</v>
      </c>
      <c r="S21" s="4"/>
      <c r="T21" s="4">
        <f>SUM(OSRRefT16x_0)</f>
        <v>150008.67000000001</v>
      </c>
      <c r="U21" s="4"/>
      <c r="V21" s="12">
        <f t="shared" ref="V21:V23" si="9">IF(T$12=0,0,T21/T$12)</f>
        <v>0.45617526627464017</v>
      </c>
      <c r="W21" s="4"/>
      <c r="X21" s="4">
        <f t="shared" ref="X21:X23" si="10">+P21-T21</f>
        <v>9076.6999999999825</v>
      </c>
      <c r="Y21" s="4"/>
      <c r="Z21" s="12">
        <f t="shared" ref="Z21:Z23" si="11">IF(T21=0,0,X21/T21)</f>
        <v>6.0507835980413545E-2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12026.25</v>
      </c>
      <c r="E22" s="2"/>
      <c r="F22" s="19">
        <f t="shared" si="4"/>
        <v>0.30299155742888312</v>
      </c>
      <c r="G22" s="2"/>
      <c r="H22" s="2">
        <v>9967.2099999999991</v>
      </c>
      <c r="I22" s="2"/>
      <c r="J22" s="19">
        <f t="shared" si="5"/>
        <v>0.24867698994160567</v>
      </c>
      <c r="K22" s="2"/>
      <c r="L22" s="2">
        <f t="shared" si="6"/>
        <v>2059.0400000000009</v>
      </c>
      <c r="M22" s="2"/>
      <c r="N22" s="19">
        <f t="shared" si="7"/>
        <v>0.20658138034615514</v>
      </c>
      <c r="O22" s="11"/>
      <c r="P22" s="2">
        <v>162508.69</v>
      </c>
      <c r="Q22" s="2"/>
      <c r="R22" s="19">
        <f t="shared" si="8"/>
        <v>0.4814026903609584</v>
      </c>
      <c r="S22" s="2"/>
      <c r="T22" s="2">
        <v>145363.39000000001</v>
      </c>
      <c r="U22" s="2"/>
      <c r="V22" s="19">
        <f t="shared" si="9"/>
        <v>0.44204900383314089</v>
      </c>
      <c r="W22" s="2"/>
      <c r="X22" s="2">
        <f t="shared" si="10"/>
        <v>17145.299999999988</v>
      </c>
      <c r="Y22" s="2"/>
      <c r="Z22" s="19">
        <f t="shared" si="11"/>
        <v>0.11794785468335588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5454.32</v>
      </c>
      <c r="E23" s="2"/>
      <c r="F23" s="19">
        <f t="shared" si="4"/>
        <v>0.13741714262679602</v>
      </c>
      <c r="G23" s="2"/>
      <c r="H23" s="2">
        <v>8169.55</v>
      </c>
      <c r="I23" s="2"/>
      <c r="J23" s="19">
        <f t="shared" si="5"/>
        <v>0.2038262566131791</v>
      </c>
      <c r="K23" s="2"/>
      <c r="L23" s="2">
        <f t="shared" si="6"/>
        <v>-2715.2300000000005</v>
      </c>
      <c r="M23" s="2"/>
      <c r="N23" s="19">
        <f t="shared" si="7"/>
        <v>-0.33235979949936045</v>
      </c>
      <c r="O23" s="11"/>
      <c r="P23" s="2">
        <v>-3423.32</v>
      </c>
      <c r="Q23" s="2"/>
      <c r="R23" s="19">
        <f t="shared" si="8"/>
        <v>-1.0140968202786425E-2</v>
      </c>
      <c r="S23" s="2"/>
      <c r="T23" s="2">
        <v>4645.28</v>
      </c>
      <c r="U23" s="2"/>
      <c r="V23" s="19">
        <f t="shared" si="9"/>
        <v>1.4126262441499284E-2</v>
      </c>
      <c r="W23" s="2"/>
      <c r="X23" s="2">
        <f t="shared" si="10"/>
        <v>-8068.6</v>
      </c>
      <c r="Y23" s="2"/>
      <c r="Z23" s="19">
        <f t="shared" si="11"/>
        <v>-1.7369458891606104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0">
        <f>D12-D21</f>
        <v>22211.129999999997</v>
      </c>
      <c r="E25" s="14"/>
      <c r="F25" s="21">
        <f>IF(D$12=0,0,D25/D$12)</f>
        <v>0.55959129994432077</v>
      </c>
      <c r="G25" s="14"/>
      <c r="H25" s="20">
        <f>H12-H21</f>
        <v>21944.19</v>
      </c>
      <c r="I25" s="14"/>
      <c r="J25" s="21">
        <f>IF(H$12=0,0,H25/H$12)</f>
        <v>0.5474967534452152</v>
      </c>
      <c r="K25" s="15"/>
      <c r="L25" s="20">
        <f>+D25-H25</f>
        <v>266.93999999999869</v>
      </c>
      <c r="M25" s="15"/>
      <c r="N25" s="21">
        <f>IF(H25=0,0,L25/H25)</f>
        <v>1.2164495476934838E-2</v>
      </c>
      <c r="O25" s="28"/>
      <c r="P25" s="20">
        <f>P12-P21</f>
        <v>178487.91999999998</v>
      </c>
      <c r="Q25" s="14"/>
      <c r="R25" s="21">
        <f>IF(P$12=0,0,P25/P$12)</f>
        <v>0.52873827784182803</v>
      </c>
      <c r="S25" s="14"/>
      <c r="T25" s="20">
        <f>T12-T21</f>
        <v>178831.31999999998</v>
      </c>
      <c r="U25" s="14"/>
      <c r="V25" s="21">
        <f>IF(T$12=0,0,T25/T$12)</f>
        <v>0.54382473372535978</v>
      </c>
      <c r="W25" s="15"/>
      <c r="X25" s="20">
        <f>+P25-T25</f>
        <v>-343.39999999999418</v>
      </c>
      <c r="Y25" s="15"/>
      <c r="Z25" s="21">
        <f>IF(T25=0,0,X25/T25)</f>
        <v>-1.9202452903663307E-3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2">
        <f>SUM(OSRRefD22x_0)</f>
        <v>16288.970000000001</v>
      </c>
      <c r="E27" s="22"/>
      <c r="F27" s="33">
        <f t="shared" ref="F27:F36" si="12">IF(D$12=0,0,D27/D$12)</f>
        <v>0.41038731019331504</v>
      </c>
      <c r="G27" s="22"/>
      <c r="H27" s="22">
        <f>SUM(OSRRefH22x_0)</f>
        <v>18202.780000000002</v>
      </c>
      <c r="I27" s="22"/>
      <c r="J27" s="33">
        <f t="shared" ref="J27:J36" si="13">IF(H$12=0,0,H27/H$12)</f>
        <v>0.45415041310148596</v>
      </c>
      <c r="K27" s="4"/>
      <c r="L27" s="22">
        <f t="shared" ref="L27:L36" si="14">+D27-H27</f>
        <v>-1913.8100000000013</v>
      </c>
      <c r="M27" s="4"/>
      <c r="N27" s="33">
        <f t="shared" ref="N27:N36" si="15">IF(H27=0,0,L27/H27)</f>
        <v>-0.10513833601241135</v>
      </c>
      <c r="O27" s="10"/>
      <c r="P27" s="22">
        <f>SUM(OSRRefP22x_0)</f>
        <v>113713.40000000001</v>
      </c>
      <c r="Q27" s="22"/>
      <c r="R27" s="33">
        <f t="shared" ref="R27:R36" si="16">IF(P$12=0,0,P27/P$12)</f>
        <v>0.33685544256182121</v>
      </c>
      <c r="S27" s="22"/>
      <c r="T27" s="22">
        <f>SUM(OSRRefT22x_0)</f>
        <v>127138.21999999999</v>
      </c>
      <c r="U27" s="22"/>
      <c r="V27" s="33">
        <f t="shared" ref="V27:V36" si="17">IF(T$12=0,0,T27/T$12)</f>
        <v>0.38662639540890387</v>
      </c>
      <c r="W27" s="4"/>
      <c r="X27" s="22">
        <f t="shared" ref="X27:X36" si="18">+P27-T27</f>
        <v>-13424.819999999978</v>
      </c>
      <c r="Y27" s="4"/>
      <c r="Z27" s="33">
        <f t="shared" ref="Z27:Z36" si="19">IF(T27=0,0,X27/T27)</f>
        <v>-0.10559232306382754</v>
      </c>
    </row>
    <row r="28" spans="1:26" s="27" customFormat="1" outlineLevel="1" collapsed="1" x14ac:dyDescent="0.25">
      <c r="A28" s="25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4142.1799999999994</v>
      </c>
      <c r="E28" s="1"/>
      <c r="F28" s="5">
        <f t="shared" si="12"/>
        <v>0.10435884580403459</v>
      </c>
      <c r="G28" s="1"/>
      <c r="H28" s="1">
        <f>SUM(OSRRefH22_0x_0)</f>
        <v>4323.96</v>
      </c>
      <c r="I28" s="1"/>
      <c r="J28" s="5">
        <f t="shared" si="13"/>
        <v>0.10788067648097165</v>
      </c>
      <c r="K28" s="1"/>
      <c r="L28" s="1">
        <f t="shared" si="14"/>
        <v>-181.78000000000065</v>
      </c>
      <c r="M28" s="1"/>
      <c r="N28" s="5">
        <f t="shared" si="15"/>
        <v>-4.2040166884060134E-2</v>
      </c>
      <c r="O28" s="13"/>
      <c r="P28" s="1">
        <f>SUM(OSRRefP22_0x_0)</f>
        <v>26525.64</v>
      </c>
      <c r="Q28" s="1"/>
      <c r="R28" s="5">
        <f t="shared" si="16"/>
        <v>7.8577425364429757E-2</v>
      </c>
      <c r="S28" s="1"/>
      <c r="T28" s="1">
        <f>SUM(OSRRefT22_0x_0)</f>
        <v>26558.39</v>
      </c>
      <c r="U28" s="1"/>
      <c r="V28" s="5">
        <f t="shared" si="17"/>
        <v>8.0763869382187978E-2</v>
      </c>
      <c r="W28" s="1"/>
      <c r="X28" s="1">
        <f t="shared" si="18"/>
        <v>-32.75</v>
      </c>
      <c r="Y28" s="1"/>
      <c r="Z28" s="5">
        <f t="shared" si="19"/>
        <v>-1.2331319782562121E-3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6">
        <v>410.66</v>
      </c>
      <c r="E29" s="2"/>
      <c r="F29" s="7">
        <f t="shared" si="12"/>
        <v>1.0346243673110501E-2</v>
      </c>
      <c r="G29" s="2"/>
      <c r="H29" s="6">
        <v>648.41</v>
      </c>
      <c r="I29" s="2"/>
      <c r="J29" s="7">
        <f t="shared" si="13"/>
        <v>1.6177510762594199E-2</v>
      </c>
      <c r="K29" s="2"/>
      <c r="L29" s="6">
        <f t="shared" si="14"/>
        <v>-237.74999999999994</v>
      </c>
      <c r="M29" s="2"/>
      <c r="N29" s="7">
        <f t="shared" si="15"/>
        <v>-0.36666615258863983</v>
      </c>
      <c r="O29" s="11"/>
      <c r="P29" s="6">
        <v>3230.52</v>
      </c>
      <c r="Q29" s="2"/>
      <c r="R29" s="7">
        <f t="shared" si="16"/>
        <v>9.569832968716217E-3</v>
      </c>
      <c r="S29" s="2"/>
      <c r="T29" s="6">
        <v>5034.17</v>
      </c>
      <c r="U29" s="2"/>
      <c r="V29" s="7">
        <f t="shared" si="17"/>
        <v>1.5308874081890102E-2</v>
      </c>
      <c r="W29" s="2"/>
      <c r="X29" s="6">
        <f t="shared" si="18"/>
        <v>-1803.65</v>
      </c>
      <c r="Y29" s="2"/>
      <c r="Z29" s="7">
        <f t="shared" si="19"/>
        <v>-0.3582815042002952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6">
        <v>267.2</v>
      </c>
      <c r="E30" s="2"/>
      <c r="F30" s="7">
        <f t="shared" si="12"/>
        <v>6.7318860114331212E-3</v>
      </c>
      <c r="G30" s="2"/>
      <c r="H30" s="6">
        <v>168.05</v>
      </c>
      <c r="I30" s="2"/>
      <c r="J30" s="7">
        <f t="shared" si="13"/>
        <v>4.1927648920497152E-3</v>
      </c>
      <c r="K30" s="2"/>
      <c r="L30" s="6">
        <f t="shared" si="14"/>
        <v>99.149999999999977</v>
      </c>
      <c r="M30" s="2"/>
      <c r="N30" s="7">
        <f t="shared" si="15"/>
        <v>0.59000297530496859</v>
      </c>
      <c r="O30" s="11"/>
      <c r="P30" s="6">
        <v>1051.3900000000001</v>
      </c>
      <c r="Q30" s="2"/>
      <c r="R30" s="7">
        <f t="shared" si="16"/>
        <v>3.1145532870802666E-3</v>
      </c>
      <c r="S30" s="2"/>
      <c r="T30" s="6">
        <v>879.84</v>
      </c>
      <c r="U30" s="2"/>
      <c r="V30" s="7">
        <f t="shared" si="17"/>
        <v>2.6755869929323377E-3</v>
      </c>
      <c r="W30" s="2"/>
      <c r="X30" s="6">
        <f t="shared" si="18"/>
        <v>171.55000000000007</v>
      </c>
      <c r="Y30" s="2"/>
      <c r="Z30" s="7">
        <f t="shared" si="19"/>
        <v>0.19497863247863254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6">
        <v>2019.97</v>
      </c>
      <c r="E31" s="2"/>
      <c r="F31" s="7">
        <f t="shared" si="12"/>
        <v>5.089149620701558E-2</v>
      </c>
      <c r="G31" s="2"/>
      <c r="H31" s="6">
        <v>2019.97</v>
      </c>
      <c r="I31" s="2"/>
      <c r="J31" s="7">
        <f t="shared" si="13"/>
        <v>5.0397258548013461E-2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>
        <v>12119.82</v>
      </c>
      <c r="Q31" s="2"/>
      <c r="R31" s="7">
        <f t="shared" si="16"/>
        <v>3.5902781289360898E-2</v>
      </c>
      <c r="S31" s="2"/>
      <c r="T31" s="6">
        <v>10849.29</v>
      </c>
      <c r="U31" s="2"/>
      <c r="V31" s="7">
        <f t="shared" si="17"/>
        <v>3.2992611391333519E-2</v>
      </c>
      <c r="W31" s="2"/>
      <c r="X31" s="6">
        <f t="shared" si="18"/>
        <v>1270.5299999999988</v>
      </c>
      <c r="Y31" s="2"/>
      <c r="Z31" s="7">
        <f t="shared" si="19"/>
        <v>0.11710720240679333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6">
        <v>36.56</v>
      </c>
      <c r="E32" s="2"/>
      <c r="F32" s="7">
        <f t="shared" si="12"/>
        <v>9.2109937342063966E-4</v>
      </c>
      <c r="G32" s="2"/>
      <c r="H32" s="6">
        <v>45.33</v>
      </c>
      <c r="I32" s="2"/>
      <c r="J32" s="7">
        <f t="shared" si="13"/>
        <v>1.1309612172366174E-3</v>
      </c>
      <c r="K32" s="2"/>
      <c r="L32" s="6">
        <f t="shared" si="14"/>
        <v>-8.769999999999996</v>
      </c>
      <c r="M32" s="2"/>
      <c r="N32" s="7">
        <f t="shared" si="15"/>
        <v>-0.19347010809618345</v>
      </c>
      <c r="O32" s="11"/>
      <c r="P32" s="6">
        <v>176.76</v>
      </c>
      <c r="Q32" s="2"/>
      <c r="R32" s="7">
        <f t="shared" si="16"/>
        <v>5.2361962642245776E-4</v>
      </c>
      <c r="S32" s="2"/>
      <c r="T32" s="6">
        <v>238.18</v>
      </c>
      <c r="U32" s="2"/>
      <c r="V32" s="7">
        <f t="shared" si="17"/>
        <v>7.2430363472520483E-4</v>
      </c>
      <c r="W32" s="2"/>
      <c r="X32" s="6">
        <f t="shared" si="18"/>
        <v>-61.420000000000016</v>
      </c>
      <c r="Y32" s="2"/>
      <c r="Z32" s="7">
        <f t="shared" si="19"/>
        <v>-0.25787219749769086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6">
        <v>568.97</v>
      </c>
      <c r="E33" s="2"/>
      <c r="F33" s="7">
        <f t="shared" si="12"/>
        <v>1.4334734969779578E-2</v>
      </c>
      <c r="G33" s="2"/>
      <c r="H33" s="6">
        <v>508.51</v>
      </c>
      <c r="I33" s="2"/>
      <c r="J33" s="7">
        <f t="shared" si="13"/>
        <v>1.2687074532914016E-2</v>
      </c>
      <c r="K33" s="2"/>
      <c r="L33" s="6">
        <f t="shared" si="14"/>
        <v>60.460000000000036</v>
      </c>
      <c r="M33" s="2"/>
      <c r="N33" s="7">
        <f t="shared" si="15"/>
        <v>0.11889638355194596</v>
      </c>
      <c r="O33" s="11"/>
      <c r="P33" s="6">
        <v>3931.58</v>
      </c>
      <c r="Q33" s="2"/>
      <c r="R33" s="7">
        <f t="shared" si="16"/>
        <v>1.1646596802726899E-2</v>
      </c>
      <c r="S33" s="2"/>
      <c r="T33" s="6">
        <v>3760.66</v>
      </c>
      <c r="U33" s="2"/>
      <c r="V33" s="7">
        <f t="shared" si="17"/>
        <v>1.1436139503592613E-2</v>
      </c>
      <c r="W33" s="2"/>
      <c r="X33" s="6">
        <f t="shared" si="18"/>
        <v>170.92000000000007</v>
      </c>
      <c r="Y33" s="2"/>
      <c r="Z33" s="7">
        <f t="shared" si="19"/>
        <v>4.5449468976190371E-2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407.06</v>
      </c>
      <c r="E34" s="2"/>
      <c r="F34" s="7">
        <f t="shared" si="12"/>
        <v>1.0255544610082209E-2</v>
      </c>
      <c r="G34" s="2"/>
      <c r="H34" s="6">
        <v>395.2</v>
      </c>
      <c r="I34" s="2"/>
      <c r="J34" s="7">
        <f t="shared" si="13"/>
        <v>9.860045732448957E-3</v>
      </c>
      <c r="K34" s="2"/>
      <c r="L34" s="6">
        <f t="shared" si="14"/>
        <v>11.860000000000014</v>
      </c>
      <c r="M34" s="2"/>
      <c r="N34" s="7">
        <f t="shared" si="15"/>
        <v>3.0010121457489915E-2</v>
      </c>
      <c r="O34" s="11"/>
      <c r="P34" s="6">
        <v>2954.78</v>
      </c>
      <c r="Q34" s="2"/>
      <c r="R34" s="7">
        <f t="shared" si="16"/>
        <v>8.7530029404873835E-3</v>
      </c>
      <c r="S34" s="2"/>
      <c r="T34" s="6">
        <v>2808.58</v>
      </c>
      <c r="U34" s="2"/>
      <c r="V34" s="7">
        <f t="shared" si="17"/>
        <v>8.5408712000021644E-3</v>
      </c>
      <c r="W34" s="2"/>
      <c r="X34" s="6">
        <f t="shared" si="18"/>
        <v>146.20000000000027</v>
      </c>
      <c r="Y34" s="2"/>
      <c r="Z34" s="7">
        <f t="shared" si="19"/>
        <v>5.2054775010859679E-2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256.76</v>
      </c>
      <c r="E35" s="2"/>
      <c r="F35" s="7">
        <f t="shared" si="12"/>
        <v>6.4688587286510788E-3</v>
      </c>
      <c r="G35" s="2"/>
      <c r="H35" s="6">
        <v>249.28</v>
      </c>
      <c r="I35" s="2"/>
      <c r="J35" s="7">
        <f t="shared" si="13"/>
        <v>6.2194134620062657E-3</v>
      </c>
      <c r="K35" s="2"/>
      <c r="L35" s="6">
        <f t="shared" si="14"/>
        <v>7.4799999999999898</v>
      </c>
      <c r="M35" s="2"/>
      <c r="N35" s="7">
        <f t="shared" si="15"/>
        <v>3.0006418485237444E-2</v>
      </c>
      <c r="O35" s="11"/>
      <c r="P35" s="6">
        <v>2073.36</v>
      </c>
      <c r="Q35" s="2"/>
      <c r="R35" s="7">
        <f t="shared" si="16"/>
        <v>6.1419551292106085E-3</v>
      </c>
      <c r="S35" s="2"/>
      <c r="T35" s="6">
        <v>1950.05</v>
      </c>
      <c r="U35" s="2"/>
      <c r="V35" s="7">
        <f t="shared" si="17"/>
        <v>5.930087760919832E-3</v>
      </c>
      <c r="W35" s="2"/>
      <c r="X35" s="6">
        <f t="shared" si="18"/>
        <v>123.31000000000017</v>
      </c>
      <c r="Y35" s="2"/>
      <c r="Z35" s="7">
        <f t="shared" si="19"/>
        <v>6.3234276044204091E-2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175</v>
      </c>
      <c r="E36" s="2"/>
      <c r="F36" s="7">
        <f t="shared" si="12"/>
        <v>4.4089822305419021E-3</v>
      </c>
      <c r="G36" s="2"/>
      <c r="H36" s="6">
        <v>289.20999999999998</v>
      </c>
      <c r="I36" s="2"/>
      <c r="J36" s="7">
        <f t="shared" si="13"/>
        <v>7.2156473337084076E-3</v>
      </c>
      <c r="K36" s="2"/>
      <c r="L36" s="6">
        <f t="shared" si="14"/>
        <v>-114.20999999999998</v>
      </c>
      <c r="M36" s="2"/>
      <c r="N36" s="7">
        <f t="shared" si="15"/>
        <v>-0.39490335742194249</v>
      </c>
      <c r="O36" s="11"/>
      <c r="P36" s="6">
        <v>987.43</v>
      </c>
      <c r="Q36" s="2"/>
      <c r="R36" s="7">
        <f t="shared" si="16"/>
        <v>2.9250833204250253E-3</v>
      </c>
      <c r="S36" s="2"/>
      <c r="T36" s="6">
        <v>1037.6199999999999</v>
      </c>
      <c r="U36" s="2"/>
      <c r="V36" s="7">
        <f t="shared" si="17"/>
        <v>3.1553948167922031E-3</v>
      </c>
      <c r="W36" s="2"/>
      <c r="X36" s="6">
        <f t="shared" si="18"/>
        <v>-50.189999999999941</v>
      </c>
      <c r="Y36" s="2"/>
      <c r="Z36" s="7">
        <f t="shared" si="19"/>
        <v>-4.8370308976311123E-2</v>
      </c>
    </row>
    <row r="37" spans="1:26" s="27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10164.740000000002</v>
      </c>
      <c r="E37" s="1"/>
      <c r="F37" s="5">
        <f t="shared" ref="F37:F42" si="20">IF(D$12=0,0,D37/D$12)</f>
        <v>0.25609233164616285</v>
      </c>
      <c r="G37" s="1"/>
      <c r="H37" s="1">
        <f>SUM(OSRRefH22_1x_0)</f>
        <v>12362.039999999999</v>
      </c>
      <c r="I37" s="1"/>
      <c r="J37" s="5">
        <f t="shared" ref="J37:J42" si="21">IF(H$12=0,0,H37/H$12)</f>
        <v>0.30842682122055493</v>
      </c>
      <c r="K37" s="1"/>
      <c r="L37" s="1">
        <f t="shared" ref="L37:L42" si="22">+D37-H37</f>
        <v>-2197.2999999999975</v>
      </c>
      <c r="M37" s="1"/>
      <c r="N37" s="5">
        <f t="shared" ref="N37:N42" si="23">IF(H37=0,0,L37/H37)</f>
        <v>-0.17774574422991654</v>
      </c>
      <c r="O37" s="13"/>
      <c r="P37" s="1">
        <f>SUM(OSRRefP22_1x_0)</f>
        <v>67685.819999999992</v>
      </c>
      <c r="Q37" s="1"/>
      <c r="R37" s="5">
        <f t="shared" ref="R37:R42" si="24">IF(P$12=0,0,P37/P$12)</f>
        <v>0.20050703656086061</v>
      </c>
      <c r="S37" s="1"/>
      <c r="T37" s="1">
        <f>SUM(OSRRefT22_1x_0)</f>
        <v>85023.87</v>
      </c>
      <c r="U37" s="1"/>
      <c r="V37" s="5">
        <f t="shared" ref="V37:V42" si="25">IF(T$12=0,0,T37/T$12)</f>
        <v>0.2585569656537211</v>
      </c>
      <c r="W37" s="1"/>
      <c r="X37" s="1">
        <f t="shared" ref="X37:X42" si="26">+P37-T37</f>
        <v>-17338.050000000003</v>
      </c>
      <c r="Y37" s="1"/>
      <c r="Z37" s="5">
        <f t="shared" ref="Z37:Z42" si="27">IF(T37=0,0,X37/T37)</f>
        <v>-0.2039197933474447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>
        <v>5566.66</v>
      </c>
      <c r="E38" s="2"/>
      <c r="F38" s="7">
        <f t="shared" si="20"/>
        <v>0.1402474572769622</v>
      </c>
      <c r="G38" s="2"/>
      <c r="H38" s="6">
        <v>5134.29</v>
      </c>
      <c r="I38" s="2"/>
      <c r="J38" s="7">
        <f t="shared" si="21"/>
        <v>0.12809801164892551</v>
      </c>
      <c r="K38" s="2"/>
      <c r="L38" s="6">
        <f t="shared" si="22"/>
        <v>432.36999999999989</v>
      </c>
      <c r="M38" s="2"/>
      <c r="N38" s="7">
        <f t="shared" si="23"/>
        <v>8.4212227980889259E-2</v>
      </c>
      <c r="O38" s="11"/>
      <c r="P38" s="6">
        <v>34374.129999999997</v>
      </c>
      <c r="Q38" s="2"/>
      <c r="R38" s="7">
        <f t="shared" si="24"/>
        <v>0.10182716174019574</v>
      </c>
      <c r="S38" s="2"/>
      <c r="T38" s="6">
        <v>32055.539999999997</v>
      </c>
      <c r="U38" s="2"/>
      <c r="V38" s="7">
        <f t="shared" si="25"/>
        <v>9.7480662251571037E-2</v>
      </c>
      <c r="W38" s="2"/>
      <c r="X38" s="6">
        <f t="shared" si="26"/>
        <v>2318.59</v>
      </c>
      <c r="Y38" s="2"/>
      <c r="Z38" s="7">
        <f t="shared" si="27"/>
        <v>7.2330399051146868E-2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6">
        <v>86.52</v>
      </c>
      <c r="E39" s="2"/>
      <c r="F39" s="7">
        <f t="shared" si="20"/>
        <v>2.1798008147799162E-3</v>
      </c>
      <c r="G39" s="2"/>
      <c r="H39" s="6">
        <v>3932.44</v>
      </c>
      <c r="I39" s="2"/>
      <c r="J39" s="7">
        <f t="shared" si="21"/>
        <v>9.8112444939553581E-2</v>
      </c>
      <c r="K39" s="2"/>
      <c r="L39" s="6">
        <f t="shared" si="22"/>
        <v>-3845.92</v>
      </c>
      <c r="M39" s="2"/>
      <c r="N39" s="7">
        <f t="shared" si="23"/>
        <v>-0.97799839285532641</v>
      </c>
      <c r="O39" s="11"/>
      <c r="P39" s="6">
        <v>856.2</v>
      </c>
      <c r="Q39" s="2"/>
      <c r="R39" s="7">
        <f t="shared" si="24"/>
        <v>2.5363381089777573E-3</v>
      </c>
      <c r="S39" s="2"/>
      <c r="T39" s="6">
        <v>30942.63</v>
      </c>
      <c r="U39" s="2"/>
      <c r="V39" s="7">
        <f t="shared" si="25"/>
        <v>9.4096311096469751E-2</v>
      </c>
      <c r="W39" s="2"/>
      <c r="X39" s="6">
        <f t="shared" si="26"/>
        <v>-30086.43</v>
      </c>
      <c r="Y39" s="2"/>
      <c r="Z39" s="7">
        <f t="shared" si="27"/>
        <v>-0.97232943676733363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6">
        <v>433.31</v>
      </c>
      <c r="E40" s="2"/>
      <c r="F40" s="7">
        <f t="shared" si="20"/>
        <v>1.0916891944663495E-2</v>
      </c>
      <c r="G40" s="2"/>
      <c r="H40" s="6"/>
      <c r="I40" s="2"/>
      <c r="J40" s="7">
        <f t="shared" si="21"/>
        <v>0</v>
      </c>
      <c r="K40" s="2"/>
      <c r="L40" s="6">
        <f t="shared" si="22"/>
        <v>433.31</v>
      </c>
      <c r="M40" s="2"/>
      <c r="N40" s="7">
        <f t="shared" si="23"/>
        <v>0</v>
      </c>
      <c r="O40" s="11"/>
      <c r="P40" s="6">
        <v>3046.5</v>
      </c>
      <c r="Q40" s="2"/>
      <c r="R40" s="7">
        <f t="shared" si="24"/>
        <v>9.0247069014257626E-3</v>
      </c>
      <c r="S40" s="2"/>
      <c r="T40" s="6"/>
      <c r="U40" s="2"/>
      <c r="V40" s="7">
        <f t="shared" si="25"/>
        <v>0</v>
      </c>
      <c r="W40" s="2"/>
      <c r="X40" s="6">
        <f t="shared" si="26"/>
        <v>3046.5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6">
        <v>4078.25</v>
      </c>
      <c r="E41" s="2"/>
      <c r="F41" s="7">
        <f t="shared" si="20"/>
        <v>0.10274818160975721</v>
      </c>
      <c r="G41" s="2"/>
      <c r="H41" s="6">
        <v>2640.25</v>
      </c>
      <c r="I41" s="2"/>
      <c r="J41" s="7">
        <f t="shared" si="21"/>
        <v>6.5872939638406777E-2</v>
      </c>
      <c r="K41" s="2"/>
      <c r="L41" s="6">
        <f t="shared" si="22"/>
        <v>1438</v>
      </c>
      <c r="M41" s="2"/>
      <c r="N41" s="7">
        <f t="shared" si="23"/>
        <v>0.54464539342865259</v>
      </c>
      <c r="O41" s="11"/>
      <c r="P41" s="6">
        <v>25853.510000000002</v>
      </c>
      <c r="Q41" s="2"/>
      <c r="R41" s="7">
        <f t="shared" si="24"/>
        <v>7.6586361438726394E-2</v>
      </c>
      <c r="S41" s="2"/>
      <c r="T41" s="6">
        <v>16447.37</v>
      </c>
      <c r="U41" s="2"/>
      <c r="V41" s="7">
        <f t="shared" si="25"/>
        <v>5.0016331651147418E-2</v>
      </c>
      <c r="W41" s="2"/>
      <c r="X41" s="6">
        <f t="shared" si="26"/>
        <v>9406.1400000000031</v>
      </c>
      <c r="Y41" s="2"/>
      <c r="Z41" s="7">
        <f t="shared" si="27"/>
        <v>0.57189325709824756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0"/>
        <v>0</v>
      </c>
      <c r="G42" s="2"/>
      <c r="H42" s="6">
        <v>655.05999999999995</v>
      </c>
      <c r="I42" s="2"/>
      <c r="J42" s="7">
        <f t="shared" si="21"/>
        <v>1.6343424993669062E-2</v>
      </c>
      <c r="K42" s="2"/>
      <c r="L42" s="6">
        <f t="shared" si="22"/>
        <v>-655.05999999999995</v>
      </c>
      <c r="M42" s="2"/>
      <c r="N42" s="7">
        <f t="shared" si="23"/>
        <v>-1</v>
      </c>
      <c r="O42" s="11"/>
      <c r="P42" s="6">
        <v>3555.48</v>
      </c>
      <c r="Q42" s="2"/>
      <c r="R42" s="7">
        <f t="shared" si="24"/>
        <v>1.0532468371534964E-2</v>
      </c>
      <c r="S42" s="2"/>
      <c r="T42" s="6">
        <v>5578.33</v>
      </c>
      <c r="U42" s="2"/>
      <c r="V42" s="7">
        <f t="shared" si="25"/>
        <v>1.6963660654532923E-2</v>
      </c>
      <c r="W42" s="2"/>
      <c r="X42" s="6">
        <f t="shared" si="26"/>
        <v>-2022.85</v>
      </c>
      <c r="Y42" s="2"/>
      <c r="Z42" s="7">
        <f t="shared" si="27"/>
        <v>-0.36262644913441833</v>
      </c>
    </row>
    <row r="43" spans="1:26" s="27" customFormat="1" outlineLevel="1" collapsed="1" x14ac:dyDescent="0.25">
      <c r="A43" s="25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90</v>
      </c>
      <c r="E43" s="1"/>
      <c r="F43" s="5">
        <f t="shared" ref="F43:F60" si="28">IF(D$12=0,0,D43/D$12)</f>
        <v>2.267476575707264E-3</v>
      </c>
      <c r="G43" s="1"/>
      <c r="H43" s="1">
        <f>SUM(OSRRefH22_2x_0)</f>
        <v>14.11</v>
      </c>
      <c r="I43" s="1"/>
      <c r="J43" s="5">
        <f t="shared" ref="J43:J60" si="29">IF(H$12=0,0,H43/H$12)</f>
        <v>3.5203756397989569E-4</v>
      </c>
      <c r="K43" s="1"/>
      <c r="L43" s="1">
        <f t="shared" ref="L43:L60" si="30">+D43-H43</f>
        <v>75.89</v>
      </c>
      <c r="M43" s="1"/>
      <c r="N43" s="5">
        <f t="shared" ref="N43:N60" si="31">IF(H43=0,0,L43/H43)</f>
        <v>5.3784549964564139</v>
      </c>
      <c r="O43" s="13"/>
      <c r="P43" s="1">
        <f>SUM(OSRRefP22_2x_0)</f>
        <v>710.2</v>
      </c>
      <c r="Q43" s="1"/>
      <c r="R43" s="5">
        <f t="shared" ref="R43:R60" si="32">IF(P$12=0,0,P43/P$12)</f>
        <v>2.1038394358747995E-3</v>
      </c>
      <c r="S43" s="1"/>
      <c r="T43" s="1">
        <f>SUM(OSRRefT22_2x_0)</f>
        <v>77.63</v>
      </c>
      <c r="U43" s="1"/>
      <c r="V43" s="5">
        <f t="shared" ref="V43:V60" si="33">IF(T$12=0,0,T43/T$12)</f>
        <v>2.3607226116264022E-4</v>
      </c>
      <c r="W43" s="1"/>
      <c r="X43" s="1">
        <f t="shared" ref="X43:X60" si="34">+P43-T43</f>
        <v>632.57000000000005</v>
      </c>
      <c r="Y43" s="1"/>
      <c r="Z43" s="5">
        <f t="shared" ref="Z43:Z60" si="35">IF(T43=0,0,X43/T43)</f>
        <v>8.1485250547468766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>
        <v>90</v>
      </c>
      <c r="E44" s="2"/>
      <c r="F44" s="7">
        <f t="shared" si="28"/>
        <v>2.267476575707264E-3</v>
      </c>
      <c r="G44" s="2"/>
      <c r="H44" s="6">
        <v>14.11</v>
      </c>
      <c r="I44" s="2"/>
      <c r="J44" s="7">
        <f t="shared" si="29"/>
        <v>3.5203756397989569E-4</v>
      </c>
      <c r="K44" s="2"/>
      <c r="L44" s="6">
        <f t="shared" si="30"/>
        <v>75.89</v>
      </c>
      <c r="M44" s="2"/>
      <c r="N44" s="7">
        <f t="shared" si="31"/>
        <v>5.3784549964564139</v>
      </c>
      <c r="O44" s="11"/>
      <c r="P44" s="6">
        <v>710.2</v>
      </c>
      <c r="Q44" s="2"/>
      <c r="R44" s="7">
        <f t="shared" si="32"/>
        <v>2.1038394358747995E-3</v>
      </c>
      <c r="S44" s="2"/>
      <c r="T44" s="6">
        <v>77.63</v>
      </c>
      <c r="U44" s="2"/>
      <c r="V44" s="7">
        <f t="shared" si="33"/>
        <v>2.3607226116264022E-4</v>
      </c>
      <c r="W44" s="2"/>
      <c r="X44" s="6">
        <f t="shared" si="34"/>
        <v>632.57000000000005</v>
      </c>
      <c r="Y44" s="2"/>
      <c r="Z44" s="7">
        <f t="shared" si="35"/>
        <v>8.1485250547468766</v>
      </c>
    </row>
    <row r="45" spans="1:26" s="27" customFormat="1" outlineLevel="1" collapsed="1" x14ac:dyDescent="0.25">
      <c r="A45" s="25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-26.36</v>
      </c>
      <c r="E45" s="1"/>
      <c r="F45" s="5">
        <f t="shared" si="28"/>
        <v>-6.6411869484048311E-4</v>
      </c>
      <c r="G45" s="1"/>
      <c r="H45" s="1">
        <f>SUM(OSRRefH22_3x_0)</f>
        <v>-17.309999999999999</v>
      </c>
      <c r="I45" s="1"/>
      <c r="J45" s="5">
        <f t="shared" si="29"/>
        <v>-4.3187599096328807E-4</v>
      </c>
      <c r="K45" s="1"/>
      <c r="L45" s="1">
        <f t="shared" si="30"/>
        <v>-9.0500000000000007</v>
      </c>
      <c r="M45" s="1"/>
      <c r="N45" s="5">
        <f t="shared" si="31"/>
        <v>0.52281917966493363</v>
      </c>
      <c r="O45" s="13"/>
      <c r="P45" s="1">
        <f>SUM(OSRRefP22_3x_0)</f>
        <v>-139.83000000000001</v>
      </c>
      <c r="Q45" s="1"/>
      <c r="R45" s="5">
        <f t="shared" si="32"/>
        <v>-4.1422116068483977E-4</v>
      </c>
      <c r="S45" s="1"/>
      <c r="T45" s="1">
        <f>SUM(OSRRefT22_3x_0)</f>
        <v>-144.31</v>
      </c>
      <c r="U45" s="1"/>
      <c r="V45" s="5">
        <f t="shared" si="33"/>
        <v>-4.3884565256190408E-4</v>
      </c>
      <c r="W45" s="1"/>
      <c r="X45" s="1">
        <f t="shared" si="34"/>
        <v>4.4799999999999898</v>
      </c>
      <c r="Y45" s="1"/>
      <c r="Z45" s="5">
        <f t="shared" si="35"/>
        <v>-3.1044279675698078E-2</v>
      </c>
    </row>
    <row r="46" spans="1:26" s="24" customFormat="1" hidden="1" outlineLevel="2" x14ac:dyDescent="0.25">
      <c r="A46" s="26"/>
      <c r="B46" s="11" t="str">
        <f>CONCATENATE("          ", "6272", " - ", "CASH (OVER/SHORT)")</f>
        <v xml:space="preserve">          6272 - CASH (OVER/SHORT)</v>
      </c>
      <c r="C46" s="11"/>
      <c r="D46" s="6">
        <v>-26.36</v>
      </c>
      <c r="E46" s="2"/>
      <c r="F46" s="7">
        <f t="shared" si="28"/>
        <v>-6.6411869484048311E-4</v>
      </c>
      <c r="G46" s="2"/>
      <c r="H46" s="6">
        <v>-17.309999999999999</v>
      </c>
      <c r="I46" s="2"/>
      <c r="J46" s="7">
        <f t="shared" si="29"/>
        <v>-4.3187599096328807E-4</v>
      </c>
      <c r="K46" s="2"/>
      <c r="L46" s="6">
        <f t="shared" si="30"/>
        <v>-9.0500000000000007</v>
      </c>
      <c r="M46" s="2"/>
      <c r="N46" s="7">
        <f t="shared" si="31"/>
        <v>0.52281917966493363</v>
      </c>
      <c r="O46" s="11"/>
      <c r="P46" s="6">
        <v>-139.83000000000001</v>
      </c>
      <c r="Q46" s="2"/>
      <c r="R46" s="7">
        <f t="shared" si="32"/>
        <v>-4.1422116068483977E-4</v>
      </c>
      <c r="S46" s="2"/>
      <c r="T46" s="6">
        <v>-144.31</v>
      </c>
      <c r="U46" s="2"/>
      <c r="V46" s="7">
        <f t="shared" si="33"/>
        <v>-4.3884565256190408E-4</v>
      </c>
      <c r="W46" s="2"/>
      <c r="X46" s="6">
        <f t="shared" si="34"/>
        <v>4.4799999999999898</v>
      </c>
      <c r="Y46" s="2"/>
      <c r="Z46" s="7">
        <f t="shared" si="35"/>
        <v>-3.1044279675698078E-2</v>
      </c>
    </row>
    <row r="47" spans="1:26" s="27" customFormat="1" outlineLevel="1" collapsed="1" x14ac:dyDescent="0.25">
      <c r="A47" s="25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1239.5999999999999</v>
      </c>
      <c r="E47" s="1"/>
      <c r="F47" s="5">
        <f t="shared" si="28"/>
        <v>3.1230710702741381E-2</v>
      </c>
      <c r="G47" s="1"/>
      <c r="H47" s="1">
        <f>SUM(OSRRefH22_4x_0)</f>
        <v>1413.36</v>
      </c>
      <c r="I47" s="1"/>
      <c r="J47" s="5">
        <f t="shared" si="29"/>
        <v>3.5262637237889818E-2</v>
      </c>
      <c r="K47" s="1"/>
      <c r="L47" s="1">
        <f t="shared" si="30"/>
        <v>-173.76</v>
      </c>
      <c r="M47" s="1"/>
      <c r="N47" s="5">
        <f t="shared" si="31"/>
        <v>-0.12294107658346069</v>
      </c>
      <c r="O47" s="13"/>
      <c r="P47" s="1">
        <f>SUM(OSRRefP22_4x_0)</f>
        <v>11296.57</v>
      </c>
      <c r="Q47" s="1"/>
      <c r="R47" s="5">
        <f t="shared" si="32"/>
        <v>3.3464051613799187E-2</v>
      </c>
      <c r="S47" s="1"/>
      <c r="T47" s="1">
        <f>SUM(OSRRefT22_4x_0)</f>
        <v>10631.77</v>
      </c>
      <c r="U47" s="1"/>
      <c r="V47" s="5">
        <f t="shared" si="33"/>
        <v>3.2331134665221223E-2</v>
      </c>
      <c r="W47" s="1"/>
      <c r="X47" s="1">
        <f t="shared" si="34"/>
        <v>664.79999999999927</v>
      </c>
      <c r="Y47" s="1"/>
      <c r="Z47" s="5">
        <f t="shared" si="35"/>
        <v>6.2529569394371709E-2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6">
        <v>1239.5999999999999</v>
      </c>
      <c r="E48" s="2"/>
      <c r="F48" s="7">
        <f t="shared" si="28"/>
        <v>3.1230710702741381E-2</v>
      </c>
      <c r="G48" s="2"/>
      <c r="H48" s="6">
        <v>1413.36</v>
      </c>
      <c r="I48" s="2"/>
      <c r="J48" s="7">
        <f t="shared" si="29"/>
        <v>3.5262637237889818E-2</v>
      </c>
      <c r="K48" s="2"/>
      <c r="L48" s="6">
        <f t="shared" si="30"/>
        <v>-173.76</v>
      </c>
      <c r="M48" s="2"/>
      <c r="N48" s="7">
        <f t="shared" si="31"/>
        <v>-0.12294107658346069</v>
      </c>
      <c r="O48" s="11"/>
      <c r="P48" s="6">
        <v>11296.57</v>
      </c>
      <c r="Q48" s="2"/>
      <c r="R48" s="7">
        <f t="shared" si="32"/>
        <v>3.3464051613799187E-2</v>
      </c>
      <c r="S48" s="2"/>
      <c r="T48" s="6">
        <v>10631.77</v>
      </c>
      <c r="U48" s="2"/>
      <c r="V48" s="7">
        <f t="shared" si="33"/>
        <v>3.2331134665221223E-2</v>
      </c>
      <c r="W48" s="2"/>
      <c r="X48" s="6">
        <f t="shared" si="34"/>
        <v>664.79999999999927</v>
      </c>
      <c r="Y48" s="2"/>
      <c r="Z48" s="7">
        <f t="shared" si="35"/>
        <v>6.2529569394371709E-2</v>
      </c>
    </row>
    <row r="49" spans="1:26" s="27" customFormat="1" outlineLevel="1" collapsed="1" x14ac:dyDescent="0.25">
      <c r="A49" s="25"/>
      <c r="B49" s="13" t="str">
        <f>CONCATENATE("     ","Discounts and Markdowns                           ")</f>
        <v xml:space="preserve">     Discounts and Markdowns                           </v>
      </c>
      <c r="C49" s="13"/>
      <c r="D49" s="1">
        <f>SUM(OSRRefD22_5x_0)</f>
        <v>16.62</v>
      </c>
      <c r="E49" s="1"/>
      <c r="F49" s="5">
        <f t="shared" si="28"/>
        <v>4.1872734098060809E-4</v>
      </c>
      <c r="G49" s="1"/>
      <c r="H49" s="1">
        <f>SUM(OSRRefH22_5x_0)</f>
        <v>10.119999999999999</v>
      </c>
      <c r="I49" s="1"/>
      <c r="J49" s="5">
        <f t="shared" si="29"/>
        <v>2.5248902533497831E-4</v>
      </c>
      <c r="K49" s="1"/>
      <c r="L49" s="1">
        <f t="shared" si="30"/>
        <v>6.5000000000000018</v>
      </c>
      <c r="M49" s="1"/>
      <c r="N49" s="5">
        <f t="shared" si="31"/>
        <v>0.64229249011857725</v>
      </c>
      <c r="O49" s="13"/>
      <c r="P49" s="1">
        <f>SUM(OSRRefP22_5x_0)</f>
        <v>76.37</v>
      </c>
      <c r="Q49" s="1"/>
      <c r="R49" s="5">
        <f t="shared" si="32"/>
        <v>2.2623235386899244E-4</v>
      </c>
      <c r="S49" s="1"/>
      <c r="T49" s="1">
        <f>SUM(OSRRefT22_5x_0)</f>
        <v>72.900000000000006</v>
      </c>
      <c r="U49" s="1"/>
      <c r="V49" s="5">
        <f t="shared" si="33"/>
        <v>2.2168836582193063E-4</v>
      </c>
      <c r="W49" s="1"/>
      <c r="X49" s="1">
        <f t="shared" si="34"/>
        <v>3.4699999999999989</v>
      </c>
      <c r="Y49" s="1"/>
      <c r="Z49" s="5">
        <f t="shared" si="35"/>
        <v>4.7599451303154988E-2</v>
      </c>
    </row>
    <row r="50" spans="1:26" s="24" customFormat="1" hidden="1" outlineLevel="2" x14ac:dyDescent="0.25">
      <c r="A50" s="26"/>
      <c r="B50" s="11" t="str">
        <f>CONCATENATE("          ", "6382", " - ", "DISCOUNTS/MARK DOWNS")</f>
        <v xml:space="preserve">          6382 - DISCOUNTS/MARK DOWNS</v>
      </c>
      <c r="C50" s="11"/>
      <c r="D50" s="6">
        <v>16.62</v>
      </c>
      <c r="E50" s="2"/>
      <c r="F50" s="7">
        <f t="shared" si="28"/>
        <v>4.1872734098060809E-4</v>
      </c>
      <c r="G50" s="2"/>
      <c r="H50" s="6">
        <v>10.119999999999999</v>
      </c>
      <c r="I50" s="2"/>
      <c r="J50" s="7">
        <f t="shared" si="29"/>
        <v>2.5248902533497831E-4</v>
      </c>
      <c r="K50" s="2"/>
      <c r="L50" s="6">
        <f t="shared" si="30"/>
        <v>6.5000000000000018</v>
      </c>
      <c r="M50" s="2"/>
      <c r="N50" s="7">
        <f t="shared" si="31"/>
        <v>0.64229249011857725</v>
      </c>
      <c r="O50" s="11"/>
      <c r="P50" s="6">
        <v>76.37</v>
      </c>
      <c r="Q50" s="2"/>
      <c r="R50" s="7">
        <f t="shared" si="32"/>
        <v>2.2623235386899244E-4</v>
      </c>
      <c r="S50" s="2"/>
      <c r="T50" s="6">
        <v>72.900000000000006</v>
      </c>
      <c r="U50" s="2"/>
      <c r="V50" s="7">
        <f t="shared" si="33"/>
        <v>2.2168836582193063E-4</v>
      </c>
      <c r="W50" s="2"/>
      <c r="X50" s="6">
        <f t="shared" si="34"/>
        <v>3.4699999999999989</v>
      </c>
      <c r="Y50" s="2"/>
      <c r="Z50" s="7">
        <f t="shared" si="35"/>
        <v>4.7599451303154988E-2</v>
      </c>
    </row>
    <row r="51" spans="1:26" s="27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94.43</v>
      </c>
      <c r="U51" s="1"/>
      <c r="V51" s="5">
        <f t="shared" si="33"/>
        <v>2.8716093805987528E-4</v>
      </c>
      <c r="W51" s="1"/>
      <c r="X51" s="1">
        <f t="shared" si="34"/>
        <v>-94.43</v>
      </c>
      <c r="Y51" s="1"/>
      <c r="Z51" s="5">
        <f t="shared" si="35"/>
        <v>-1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/>
      <c r="Q52" s="2"/>
      <c r="R52" s="7">
        <f t="shared" si="32"/>
        <v>0</v>
      </c>
      <c r="S52" s="2"/>
      <c r="T52" s="6">
        <v>94.43</v>
      </c>
      <c r="U52" s="2"/>
      <c r="V52" s="7">
        <f t="shared" si="33"/>
        <v>2.8716093805987528E-4</v>
      </c>
      <c r="W52" s="2"/>
      <c r="X52" s="6">
        <f t="shared" si="34"/>
        <v>-94.43</v>
      </c>
      <c r="Y52" s="2"/>
      <c r="Z52" s="7">
        <f t="shared" si="35"/>
        <v>-1</v>
      </c>
    </row>
    <row r="53" spans="1:26" s="27" customFormat="1" outlineLevel="1" collapsed="1" x14ac:dyDescent="0.25">
      <c r="A53" s="25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SUM(OSRRefD22_7x_0)</f>
        <v>37.380000000000003</v>
      </c>
      <c r="E53" s="1"/>
      <c r="F53" s="5">
        <f t="shared" si="28"/>
        <v>9.4175860444375037E-4</v>
      </c>
      <c r="G53" s="1"/>
      <c r="H53" s="1">
        <f>SUM(OSRRefH22_7x_0)</f>
        <v>15.23</v>
      </c>
      <c r="I53" s="1"/>
      <c r="J53" s="5">
        <f t="shared" si="29"/>
        <v>3.7998101342408307E-4</v>
      </c>
      <c r="K53" s="1"/>
      <c r="L53" s="1">
        <f t="shared" si="30"/>
        <v>22.150000000000002</v>
      </c>
      <c r="M53" s="1"/>
      <c r="N53" s="5">
        <f t="shared" si="31"/>
        <v>1.4543663821405122</v>
      </c>
      <c r="O53" s="13"/>
      <c r="P53" s="1">
        <f>SUM(OSRRefP22_7x_0)</f>
        <v>225.99</v>
      </c>
      <c r="Q53" s="1"/>
      <c r="R53" s="5">
        <f t="shared" si="32"/>
        <v>6.694546242091607E-4</v>
      </c>
      <c r="S53" s="1"/>
      <c r="T53" s="1">
        <f>SUM(OSRRefT22_7x_0)</f>
        <v>173.34</v>
      </c>
      <c r="U53" s="1"/>
      <c r="V53" s="5">
        <f t="shared" si="33"/>
        <v>5.2712566984325717E-4</v>
      </c>
      <c r="W53" s="1"/>
      <c r="X53" s="1">
        <f t="shared" si="34"/>
        <v>52.650000000000006</v>
      </c>
      <c r="Y53" s="1"/>
      <c r="Z53" s="5">
        <f t="shared" si="35"/>
        <v>0.30373831775700938</v>
      </c>
    </row>
    <row r="54" spans="1:26" s="24" customFormat="1" hidden="1" outlineLevel="2" x14ac:dyDescent="0.25">
      <c r="A54" s="26"/>
      <c r="B54" s="11" t="str">
        <f>CONCATENATE("          ", "6305", " - ", "FREIGHT OUT")</f>
        <v xml:space="preserve">          6305 - FREIGHT OUT</v>
      </c>
      <c r="C54" s="11"/>
      <c r="D54" s="6">
        <v>37.380000000000003</v>
      </c>
      <c r="E54" s="2"/>
      <c r="F54" s="7">
        <f t="shared" si="28"/>
        <v>9.4175860444375037E-4</v>
      </c>
      <c r="G54" s="2"/>
      <c r="H54" s="6">
        <v>15.23</v>
      </c>
      <c r="I54" s="2"/>
      <c r="J54" s="7">
        <f t="shared" si="29"/>
        <v>3.7998101342408307E-4</v>
      </c>
      <c r="K54" s="2"/>
      <c r="L54" s="6">
        <f t="shared" si="30"/>
        <v>22.150000000000002</v>
      </c>
      <c r="M54" s="2"/>
      <c r="N54" s="7">
        <f t="shared" si="31"/>
        <v>1.4543663821405122</v>
      </c>
      <c r="O54" s="11"/>
      <c r="P54" s="6">
        <v>225.99</v>
      </c>
      <c r="Q54" s="2"/>
      <c r="R54" s="7">
        <f t="shared" si="32"/>
        <v>6.694546242091607E-4</v>
      </c>
      <c r="S54" s="2"/>
      <c r="T54" s="6">
        <v>173.34</v>
      </c>
      <c r="U54" s="2"/>
      <c r="V54" s="7">
        <f t="shared" si="33"/>
        <v>5.2712566984325717E-4</v>
      </c>
      <c r="W54" s="2"/>
      <c r="X54" s="6">
        <f t="shared" si="34"/>
        <v>52.650000000000006</v>
      </c>
      <c r="Y54" s="2"/>
      <c r="Z54" s="7">
        <f t="shared" si="35"/>
        <v>0.30373831775700938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SUM(OSRRefD22_8x_0)</f>
        <v>170.45</v>
      </c>
      <c r="E55" s="1"/>
      <c r="F55" s="5">
        <f t="shared" si="28"/>
        <v>4.2943486925478124E-3</v>
      </c>
      <c r="G55" s="1"/>
      <c r="H55" s="1">
        <f>SUM(OSRRefH22_8x_0)</f>
        <v>238.38</v>
      </c>
      <c r="I55" s="1"/>
      <c r="J55" s="5">
        <f t="shared" si="29"/>
        <v>5.9474638200940847E-3</v>
      </c>
      <c r="K55" s="1"/>
      <c r="L55" s="1">
        <f t="shared" si="30"/>
        <v>-67.930000000000007</v>
      </c>
      <c r="M55" s="1"/>
      <c r="N55" s="5">
        <f t="shared" si="31"/>
        <v>-0.28496518164275531</v>
      </c>
      <c r="O55" s="13"/>
      <c r="P55" s="1">
        <f>SUM(OSRRefP22_8x_0)</f>
        <v>1122.1500000000001</v>
      </c>
      <c r="Q55" s="1"/>
      <c r="R55" s="5">
        <f t="shared" si="32"/>
        <v>3.3241670275512619E-3</v>
      </c>
      <c r="S55" s="1"/>
      <c r="T55" s="1">
        <f>SUM(OSRRefT22_8x_0)</f>
        <v>1109.08</v>
      </c>
      <c r="U55" s="1"/>
      <c r="V55" s="5">
        <f t="shared" si="33"/>
        <v>3.3727041531657993E-3</v>
      </c>
      <c r="W55" s="1"/>
      <c r="X55" s="1">
        <f t="shared" si="34"/>
        <v>13.070000000000164</v>
      </c>
      <c r="Y55" s="1"/>
      <c r="Z55" s="5">
        <f t="shared" si="35"/>
        <v>1.178454214303762E-2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170.45</v>
      </c>
      <c r="E56" s="2"/>
      <c r="F56" s="7">
        <f t="shared" si="28"/>
        <v>4.2943486925478124E-3</v>
      </c>
      <c r="G56" s="2"/>
      <c r="H56" s="6">
        <v>238.38</v>
      </c>
      <c r="I56" s="2"/>
      <c r="J56" s="7">
        <f t="shared" si="29"/>
        <v>5.9474638200940847E-3</v>
      </c>
      <c r="K56" s="2"/>
      <c r="L56" s="6">
        <f t="shared" si="30"/>
        <v>-67.930000000000007</v>
      </c>
      <c r="M56" s="2"/>
      <c r="N56" s="7">
        <f t="shared" si="31"/>
        <v>-0.28496518164275531</v>
      </c>
      <c r="O56" s="11"/>
      <c r="P56" s="6">
        <v>1122.1500000000001</v>
      </c>
      <c r="Q56" s="2"/>
      <c r="R56" s="7">
        <f t="shared" si="32"/>
        <v>3.3241670275512619E-3</v>
      </c>
      <c r="S56" s="2"/>
      <c r="T56" s="6">
        <v>1109.08</v>
      </c>
      <c r="U56" s="2"/>
      <c r="V56" s="7">
        <f t="shared" si="33"/>
        <v>3.3727041531657993E-3</v>
      </c>
      <c r="W56" s="2"/>
      <c r="X56" s="6">
        <f t="shared" si="34"/>
        <v>13.070000000000164</v>
      </c>
      <c r="Y56" s="2"/>
      <c r="Z56" s="7">
        <f t="shared" si="35"/>
        <v>1.178454214303762E-2</v>
      </c>
    </row>
    <row r="57" spans="1:26" s="27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23.78</v>
      </c>
      <c r="E57" s="1"/>
      <c r="F57" s="5">
        <f t="shared" si="28"/>
        <v>5.9911769967020819E-4</v>
      </c>
      <c r="G57" s="1"/>
      <c r="H57" s="1">
        <f>SUM(OSRRefH22_9x_0)</f>
        <v>22.49</v>
      </c>
      <c r="I57" s="1"/>
      <c r="J57" s="5">
        <f t="shared" si="29"/>
        <v>5.6111444464265444E-4</v>
      </c>
      <c r="K57" s="1"/>
      <c r="L57" s="1">
        <f t="shared" si="30"/>
        <v>1.2900000000000027</v>
      </c>
      <c r="M57" s="1"/>
      <c r="N57" s="5">
        <f t="shared" si="31"/>
        <v>5.735882614495344E-2</v>
      </c>
      <c r="O57" s="13"/>
      <c r="P57" s="1">
        <f>SUM(OSRRefP22_9x_0)</f>
        <v>1064.5</v>
      </c>
      <c r="Q57" s="1"/>
      <c r="R57" s="5">
        <f t="shared" si="32"/>
        <v>3.1533892980691691E-3</v>
      </c>
      <c r="S57" s="1"/>
      <c r="T57" s="1">
        <f>SUM(OSRRefT22_9x_0)</f>
        <v>280.97000000000003</v>
      </c>
      <c r="U57" s="1"/>
      <c r="V57" s="5">
        <f t="shared" si="33"/>
        <v>8.5442771117953155E-4</v>
      </c>
      <c r="W57" s="1"/>
      <c r="X57" s="1">
        <f t="shared" si="34"/>
        <v>783.53</v>
      </c>
      <c r="Y57" s="1"/>
      <c r="Z57" s="5">
        <f t="shared" si="35"/>
        <v>2.7886607111079469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437.31</v>
      </c>
      <c r="Q58" s="2"/>
      <c r="R58" s="7">
        <f t="shared" si="32"/>
        <v>1.2954520187305105E-3</v>
      </c>
      <c r="S58" s="2"/>
      <c r="T58" s="6"/>
      <c r="U58" s="2"/>
      <c r="V58" s="7">
        <f t="shared" si="33"/>
        <v>0</v>
      </c>
      <c r="W58" s="2"/>
      <c r="X58" s="6">
        <f t="shared" si="34"/>
        <v>437.31</v>
      </c>
      <c r="Y58" s="2"/>
      <c r="Z58" s="7">
        <f t="shared" si="35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6">
        <v>23.78</v>
      </c>
      <c r="E59" s="2"/>
      <c r="F59" s="7">
        <f t="shared" si="28"/>
        <v>5.9911769967020819E-4</v>
      </c>
      <c r="G59" s="2"/>
      <c r="H59" s="6">
        <v>22.49</v>
      </c>
      <c r="I59" s="2"/>
      <c r="J59" s="7">
        <f t="shared" si="29"/>
        <v>5.6111444464265444E-4</v>
      </c>
      <c r="K59" s="2"/>
      <c r="L59" s="6">
        <f t="shared" si="30"/>
        <v>1.2900000000000027</v>
      </c>
      <c r="M59" s="2"/>
      <c r="N59" s="7">
        <f t="shared" si="31"/>
        <v>5.735882614495344E-2</v>
      </c>
      <c r="O59" s="11"/>
      <c r="P59" s="6">
        <v>46.61</v>
      </c>
      <c r="Q59" s="2"/>
      <c r="R59" s="7">
        <f t="shared" si="32"/>
        <v>1.3807372022827991E-4</v>
      </c>
      <c r="S59" s="2"/>
      <c r="T59" s="6">
        <v>44.98</v>
      </c>
      <c r="U59" s="2"/>
      <c r="V59" s="7">
        <f t="shared" si="33"/>
        <v>1.3678385040700189E-4</v>
      </c>
      <c r="W59" s="2"/>
      <c r="X59" s="6">
        <f t="shared" si="34"/>
        <v>1.6300000000000026</v>
      </c>
      <c r="Y59" s="2"/>
      <c r="Z59" s="7">
        <f t="shared" si="35"/>
        <v>3.6238328145842658E-2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580.58000000000004</v>
      </c>
      <c r="Q60" s="2"/>
      <c r="R60" s="7">
        <f t="shared" si="32"/>
        <v>1.7198635591103789E-3</v>
      </c>
      <c r="S60" s="2"/>
      <c r="T60" s="6">
        <v>235.99</v>
      </c>
      <c r="U60" s="2"/>
      <c r="V60" s="7">
        <f t="shared" si="33"/>
        <v>7.1764386077252955E-4</v>
      </c>
      <c r="W60" s="2"/>
      <c r="X60" s="6">
        <f t="shared" si="34"/>
        <v>344.59000000000003</v>
      </c>
      <c r="Y60" s="2"/>
      <c r="Z60" s="7">
        <f t="shared" si="35"/>
        <v>1.4601889910589432</v>
      </c>
    </row>
    <row r="61" spans="1:26" s="27" customFormat="1" outlineLevel="1" collapsed="1" x14ac:dyDescent="0.25">
      <c r="A61" s="25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SUM(OSRRefD22_10x_0)</f>
        <v>103.35</v>
      </c>
      <c r="E61" s="1"/>
      <c r="F61" s="5">
        <f t="shared" ref="F61:F65" si="36">IF(D$12=0,0,D61/D$12)</f>
        <v>2.6038189344371747E-3</v>
      </c>
      <c r="G61" s="1"/>
      <c r="H61" s="1">
        <f>SUM(OSRRefH22_10x_0)</f>
        <v>93.81</v>
      </c>
      <c r="I61" s="1"/>
      <c r="J61" s="5">
        <f t="shared" ref="J61:J65" si="37">IF(H$12=0,0,H61/H$12)</f>
        <v>2.3405133860350119E-3</v>
      </c>
      <c r="K61" s="1"/>
      <c r="L61" s="1">
        <f t="shared" ref="L61:L65" si="38">+D61-H61</f>
        <v>9.539999999999992</v>
      </c>
      <c r="M61" s="1"/>
      <c r="N61" s="5">
        <f t="shared" ref="N61:N65" si="39">IF(H61=0,0,L61/H61)</f>
        <v>0.1016949152542372</v>
      </c>
      <c r="O61" s="13"/>
      <c r="P61" s="1">
        <f>SUM(OSRRefP22_10x_0)</f>
        <v>835.81</v>
      </c>
      <c r="Q61" s="1"/>
      <c r="R61" s="5">
        <f t="shared" ref="R61:R65" si="40">IF(P$12=0,0,P61/P$12)</f>
        <v>2.4759364107272822E-3</v>
      </c>
      <c r="S61" s="1"/>
      <c r="T61" s="1">
        <f>SUM(OSRRefT22_10x_0)</f>
        <v>781.75</v>
      </c>
      <c r="U61" s="1"/>
      <c r="V61" s="5">
        <f t="shared" ref="V61:V65" si="41">IF(T$12=0,0,T61/T$12)</f>
        <v>2.3772960216912791E-3</v>
      </c>
      <c r="W61" s="1"/>
      <c r="X61" s="1">
        <f t="shared" ref="X61:X65" si="42">+P61-T61</f>
        <v>54.059999999999945</v>
      </c>
      <c r="Y61" s="1"/>
      <c r="Z61" s="5">
        <f t="shared" ref="Z61:Z65" si="43">IF(T61=0,0,X61/T61)</f>
        <v>6.9152542372881293E-2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>
        <v>103.35</v>
      </c>
      <c r="E62" s="2"/>
      <c r="F62" s="7">
        <f t="shared" si="36"/>
        <v>2.6038189344371747E-3</v>
      </c>
      <c r="G62" s="2"/>
      <c r="H62" s="6">
        <v>93.81</v>
      </c>
      <c r="I62" s="2"/>
      <c r="J62" s="7">
        <f t="shared" si="37"/>
        <v>2.3405133860350119E-3</v>
      </c>
      <c r="K62" s="2"/>
      <c r="L62" s="6">
        <f t="shared" si="38"/>
        <v>9.539999999999992</v>
      </c>
      <c r="M62" s="2"/>
      <c r="N62" s="7">
        <f t="shared" si="39"/>
        <v>0.1016949152542372</v>
      </c>
      <c r="O62" s="11"/>
      <c r="P62" s="6">
        <v>835.81</v>
      </c>
      <c r="Q62" s="2"/>
      <c r="R62" s="7">
        <f t="shared" si="40"/>
        <v>2.4759364107272822E-3</v>
      </c>
      <c r="S62" s="2"/>
      <c r="T62" s="6">
        <v>781.75</v>
      </c>
      <c r="U62" s="2"/>
      <c r="V62" s="7">
        <f t="shared" si="41"/>
        <v>2.3772960216912791E-3</v>
      </c>
      <c r="W62" s="2"/>
      <c r="X62" s="6">
        <f t="shared" si="42"/>
        <v>54.059999999999945</v>
      </c>
      <c r="Y62" s="2"/>
      <c r="Z62" s="7">
        <f t="shared" si="43"/>
        <v>6.9152542372881293E-2</v>
      </c>
    </row>
    <row r="63" spans="1:26" s="27" customFormat="1" outlineLevel="1" collapsed="1" x14ac:dyDescent="0.25">
      <c r="A63" s="25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SUM(OSRRefD22_11x_0)</f>
        <v>0</v>
      </c>
      <c r="E63" s="1"/>
      <c r="F63" s="5">
        <f t="shared" si="36"/>
        <v>0</v>
      </c>
      <c r="G63" s="1"/>
      <c r="H63" s="1">
        <f>SUM(OSRRefH22_11x_0)</f>
        <v>50</v>
      </c>
      <c r="I63" s="1"/>
      <c r="J63" s="5">
        <f t="shared" si="37"/>
        <v>1.2474754216155058E-3</v>
      </c>
      <c r="K63" s="1"/>
      <c r="L63" s="1">
        <f t="shared" si="38"/>
        <v>-50</v>
      </c>
      <c r="M63" s="1"/>
      <c r="N63" s="5">
        <f t="shared" si="39"/>
        <v>-1</v>
      </c>
      <c r="O63" s="13"/>
      <c r="P63" s="1">
        <f>SUM(OSRRefP22_11x_0)</f>
        <v>0</v>
      </c>
      <c r="Q63" s="1"/>
      <c r="R63" s="5">
        <f t="shared" si="40"/>
        <v>0</v>
      </c>
      <c r="S63" s="1"/>
      <c r="T63" s="1">
        <f>SUM(OSRRefT22_11x_0)</f>
        <v>43.18</v>
      </c>
      <c r="U63" s="1"/>
      <c r="V63" s="5">
        <f t="shared" si="41"/>
        <v>1.3131006359658385E-4</v>
      </c>
      <c r="W63" s="1"/>
      <c r="X63" s="1">
        <f t="shared" si="42"/>
        <v>-43.18</v>
      </c>
      <c r="Y63" s="1"/>
      <c r="Z63" s="5">
        <f t="shared" si="43"/>
        <v>-1</v>
      </c>
    </row>
    <row r="64" spans="1:26" s="24" customFormat="1" hidden="1" outlineLevel="2" x14ac:dyDescent="0.25">
      <c r="A64" s="26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36"/>
        <v>0</v>
      </c>
      <c r="G64" s="2"/>
      <c r="H64" s="6">
        <v>50</v>
      </c>
      <c r="I64" s="2"/>
      <c r="J64" s="7">
        <f t="shared" si="37"/>
        <v>1.2474754216155058E-3</v>
      </c>
      <c r="K64" s="2"/>
      <c r="L64" s="6">
        <f t="shared" si="38"/>
        <v>-50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50</v>
      </c>
      <c r="U64" s="2"/>
      <c r="V64" s="7">
        <f t="shared" si="41"/>
        <v>1.5204963362272332E-4</v>
      </c>
      <c r="W64" s="2"/>
      <c r="X64" s="6">
        <f t="shared" si="42"/>
        <v>-50</v>
      </c>
      <c r="Y64" s="2"/>
      <c r="Z64" s="7">
        <f t="shared" si="43"/>
        <v>-1</v>
      </c>
    </row>
    <row r="65" spans="1:26" s="24" customFormat="1" hidden="1" outlineLevel="2" x14ac:dyDescent="0.25">
      <c r="A65" s="26"/>
      <c r="B65" s="11" t="str">
        <f>CONCATENATE("          ", "6275", " - ", "SUBSCRIPTIONS")</f>
        <v xml:space="preserve">          6275 - SUBSCRIPTIONS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/>
      <c r="Q65" s="2"/>
      <c r="R65" s="7">
        <f t="shared" si="40"/>
        <v>0</v>
      </c>
      <c r="S65" s="2"/>
      <c r="T65" s="6">
        <v>-6.82</v>
      </c>
      <c r="U65" s="2"/>
      <c r="V65" s="7">
        <f t="shared" si="41"/>
        <v>-2.0739570026139462E-5</v>
      </c>
      <c r="W65" s="2"/>
      <c r="X65" s="6">
        <f t="shared" si="42"/>
        <v>6.82</v>
      </c>
      <c r="Y65" s="2"/>
      <c r="Z65" s="7">
        <f t="shared" si="43"/>
        <v>-1</v>
      </c>
    </row>
    <row r="66" spans="1:26" s="27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196.23</v>
      </c>
      <c r="E66" s="1"/>
      <c r="F66" s="5">
        <f t="shared" ref="F66:F72" si="44">IF(D$12=0,0,D66/D$12)</f>
        <v>4.9438547605670704E-3</v>
      </c>
      <c r="G66" s="1"/>
      <c r="H66" s="1">
        <f>SUM(OSRRefH22_12x_0)</f>
        <v>-450.60999999999996</v>
      </c>
      <c r="I66" s="1"/>
      <c r="J66" s="5">
        <f t="shared" ref="J66:J72" si="45">IF(H$12=0,0,H66/H$12)</f>
        <v>-1.124249799468326E-2</v>
      </c>
      <c r="K66" s="1"/>
      <c r="L66" s="1">
        <f t="shared" ref="L66:L72" si="46">+D66-H66</f>
        <v>646.83999999999992</v>
      </c>
      <c r="M66" s="1"/>
      <c r="N66" s="5">
        <f t="shared" ref="N66:N72" si="47">IF(H66=0,0,L66/H66)</f>
        <v>-1.4354763542753157</v>
      </c>
      <c r="O66" s="13"/>
      <c r="P66" s="1">
        <f>SUM(OSRRefP22_12x_0)</f>
        <v>3508.58</v>
      </c>
      <c r="Q66" s="1"/>
      <c r="R66" s="5">
        <f t="shared" ref="R66:R72" si="48">IF(P$12=0,0,P66/P$12)</f>
        <v>1.0393535578599835E-2</v>
      </c>
      <c r="S66" s="1"/>
      <c r="T66" s="1">
        <f>SUM(OSRRefT22_12x_0)</f>
        <v>1498.5500000000002</v>
      </c>
      <c r="U66" s="1"/>
      <c r="V66" s="5">
        <f t="shared" ref="V66:V72" si="49">IF(T$12=0,0,T66/T$12)</f>
        <v>4.5570795693066412E-3</v>
      </c>
      <c r="W66" s="1"/>
      <c r="X66" s="1">
        <f t="shared" ref="X66:X72" si="50">+P66-T66</f>
        <v>2010.0299999999997</v>
      </c>
      <c r="Y66" s="1"/>
      <c r="Z66" s="5">
        <f t="shared" ref="Z66:Z72" si="51">IF(T66=0,0,X66/T66)</f>
        <v>1.341316606052517</v>
      </c>
    </row>
    <row r="67" spans="1:26" s="24" customFormat="1" hidden="1" outlineLevel="2" x14ac:dyDescent="0.25">
      <c r="A67" s="26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354.82</v>
      </c>
      <c r="Q67" s="2"/>
      <c r="R67" s="7">
        <f t="shared" si="48"/>
        <v>1.0510902684273391E-3</v>
      </c>
      <c r="S67" s="2"/>
      <c r="T67" s="6"/>
      <c r="U67" s="2"/>
      <c r="V67" s="7">
        <f t="shared" si="49"/>
        <v>0</v>
      </c>
      <c r="W67" s="2"/>
      <c r="X67" s="6">
        <f t="shared" si="50"/>
        <v>354.82</v>
      </c>
      <c r="Y67" s="2"/>
      <c r="Z67" s="7">
        <f t="shared" si="51"/>
        <v>0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44"/>
        <v>0</v>
      </c>
      <c r="G68" s="2"/>
      <c r="H68" s="6">
        <v>33.729999999999997</v>
      </c>
      <c r="I68" s="2"/>
      <c r="J68" s="7">
        <f t="shared" si="45"/>
        <v>8.4154691942182013E-4</v>
      </c>
      <c r="K68" s="2"/>
      <c r="L68" s="6">
        <f t="shared" si="46"/>
        <v>-33.729999999999997</v>
      </c>
      <c r="M68" s="2"/>
      <c r="N68" s="7">
        <f t="shared" si="47"/>
        <v>-1</v>
      </c>
      <c r="O68" s="11"/>
      <c r="P68" s="6">
        <v>151.25</v>
      </c>
      <c r="Q68" s="2"/>
      <c r="R68" s="7">
        <f t="shared" si="48"/>
        <v>4.4805085141659166E-4</v>
      </c>
      <c r="S68" s="2"/>
      <c r="T68" s="6">
        <v>93.07</v>
      </c>
      <c r="U68" s="2"/>
      <c r="V68" s="7">
        <f t="shared" si="49"/>
        <v>2.8302518802533717E-4</v>
      </c>
      <c r="W68" s="2"/>
      <c r="X68" s="6">
        <f t="shared" si="50"/>
        <v>58.180000000000007</v>
      </c>
      <c r="Y68" s="2"/>
      <c r="Z68" s="7">
        <f t="shared" si="51"/>
        <v>0.62512087675942851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328.56</v>
      </c>
      <c r="Q69" s="2"/>
      <c r="R69" s="7">
        <f t="shared" si="48"/>
        <v>9.7329975366238256E-4</v>
      </c>
      <c r="S69" s="2"/>
      <c r="T69" s="6">
        <v>136.93</v>
      </c>
      <c r="U69" s="2"/>
      <c r="V69" s="7">
        <f t="shared" si="49"/>
        <v>4.1640312663919011E-4</v>
      </c>
      <c r="W69" s="2"/>
      <c r="X69" s="6">
        <f t="shared" si="50"/>
        <v>191.63</v>
      </c>
      <c r="Y69" s="2"/>
      <c r="Z69" s="7">
        <f t="shared" si="51"/>
        <v>1.3994741838895786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81.739999999999995</v>
      </c>
      <c r="Q70" s="2"/>
      <c r="R70" s="7">
        <f t="shared" si="48"/>
        <v>2.4214001054408067E-4</v>
      </c>
      <c r="S70" s="2"/>
      <c r="T70" s="6"/>
      <c r="U70" s="2"/>
      <c r="V70" s="7">
        <f t="shared" si="49"/>
        <v>0</v>
      </c>
      <c r="W70" s="2"/>
      <c r="X70" s="6">
        <f t="shared" si="50"/>
        <v>81.739999999999995</v>
      </c>
      <c r="Y70" s="2"/>
      <c r="Z70" s="7">
        <f t="shared" si="51"/>
        <v>0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6">
        <v>196.23</v>
      </c>
      <c r="E71" s="2"/>
      <c r="F71" s="7">
        <f t="shared" si="44"/>
        <v>4.9438547605670704E-3</v>
      </c>
      <c r="G71" s="2"/>
      <c r="H71" s="6">
        <v>-484.34</v>
      </c>
      <c r="I71" s="2"/>
      <c r="J71" s="7">
        <f t="shared" si="45"/>
        <v>-1.208404491410508E-2</v>
      </c>
      <c r="K71" s="2"/>
      <c r="L71" s="6">
        <f t="shared" si="46"/>
        <v>680.56999999999994</v>
      </c>
      <c r="M71" s="2"/>
      <c r="N71" s="7">
        <f t="shared" si="47"/>
        <v>-1.4051492753024735</v>
      </c>
      <c r="O71" s="11"/>
      <c r="P71" s="6">
        <v>2592.21</v>
      </c>
      <c r="Q71" s="2"/>
      <c r="R71" s="7">
        <f t="shared" si="48"/>
        <v>7.6789546945494423E-3</v>
      </c>
      <c r="S71" s="2"/>
      <c r="T71" s="6">
        <v>1080.68</v>
      </c>
      <c r="U71" s="2"/>
      <c r="V71" s="7">
        <f t="shared" si="49"/>
        <v>3.286339961268093E-3</v>
      </c>
      <c r="W71" s="2"/>
      <c r="X71" s="6">
        <f t="shared" si="50"/>
        <v>1511.53</v>
      </c>
      <c r="Y71" s="2"/>
      <c r="Z71" s="7">
        <f t="shared" si="51"/>
        <v>1.3986841618240367</v>
      </c>
    </row>
    <row r="72" spans="1:26" s="24" customFormat="1" hidden="1" outlineLevel="2" x14ac:dyDescent="0.25">
      <c r="A72" s="26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/>
      <c r="Q72" s="2"/>
      <c r="R72" s="7">
        <f t="shared" si="48"/>
        <v>0</v>
      </c>
      <c r="S72" s="2"/>
      <c r="T72" s="6">
        <v>187.87</v>
      </c>
      <c r="U72" s="2"/>
      <c r="V72" s="7">
        <f t="shared" si="49"/>
        <v>5.7131129337402063E-4</v>
      </c>
      <c r="W72" s="2"/>
      <c r="X72" s="6">
        <f t="shared" si="50"/>
        <v>-187.87</v>
      </c>
      <c r="Y72" s="2"/>
      <c r="Z72" s="7">
        <f t="shared" si="51"/>
        <v>-1</v>
      </c>
    </row>
    <row r="73" spans="1:26" s="27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SUM(OSRRefD22_13x_0)</f>
        <v>131</v>
      </c>
      <c r="E73" s="1"/>
      <c r="F73" s="5">
        <f t="shared" ref="F73:F76" si="52">IF(D$12=0,0,D73/D$12)</f>
        <v>3.3004381268627952E-3</v>
      </c>
      <c r="G73" s="1"/>
      <c r="H73" s="1">
        <f>SUM(OSRRefH22_13x_0)</f>
        <v>127.2</v>
      </c>
      <c r="I73" s="1"/>
      <c r="J73" s="5">
        <f t="shared" ref="J73:J76" si="53">IF(H$12=0,0,H73/H$12)</f>
        <v>3.1735774725898465E-3</v>
      </c>
      <c r="K73" s="1"/>
      <c r="L73" s="1">
        <f t="shared" ref="L73:L76" si="54">+D73-H73</f>
        <v>3.7999999999999972</v>
      </c>
      <c r="M73" s="1"/>
      <c r="N73" s="5">
        <f t="shared" ref="N73:N76" si="55">IF(H73=0,0,L73/H73)</f>
        <v>2.9874213836477963E-2</v>
      </c>
      <c r="O73" s="13"/>
      <c r="P73" s="1">
        <f>SUM(OSRRefP22_13x_0)</f>
        <v>705.6</v>
      </c>
      <c r="Q73" s="1"/>
      <c r="R73" s="5">
        <f t="shared" ref="R73:R76" si="56">IF(P$12=0,0,P73/P$12)</f>
        <v>2.0902127653523775E-3</v>
      </c>
      <c r="S73" s="1"/>
      <c r="T73" s="1">
        <f>SUM(OSRRefT22_13x_0)</f>
        <v>837.85</v>
      </c>
      <c r="U73" s="1"/>
      <c r="V73" s="5">
        <f t="shared" ref="V73:V76" si="57">IF(T$12=0,0,T73/T$12)</f>
        <v>2.5478957106159746E-3</v>
      </c>
      <c r="W73" s="1"/>
      <c r="X73" s="1">
        <f t="shared" ref="X73:X76" si="58">+P73-T73</f>
        <v>-132.25</v>
      </c>
      <c r="Y73" s="1"/>
      <c r="Z73" s="5">
        <f t="shared" ref="Z73:Z76" si="59">IF(T73=0,0,X73/T73)</f>
        <v>-0.15784448290266753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>
        <v>131</v>
      </c>
      <c r="E74" s="2"/>
      <c r="F74" s="7">
        <f t="shared" si="52"/>
        <v>3.3004381268627952E-3</v>
      </c>
      <c r="G74" s="2"/>
      <c r="H74" s="6">
        <v>127.2</v>
      </c>
      <c r="I74" s="2"/>
      <c r="J74" s="7">
        <f t="shared" si="53"/>
        <v>3.1735774725898465E-3</v>
      </c>
      <c r="K74" s="2"/>
      <c r="L74" s="6">
        <f t="shared" si="54"/>
        <v>3.7999999999999972</v>
      </c>
      <c r="M74" s="2"/>
      <c r="N74" s="7">
        <f t="shared" si="55"/>
        <v>2.9874213836477963E-2</v>
      </c>
      <c r="O74" s="11"/>
      <c r="P74" s="6">
        <v>705.6</v>
      </c>
      <c r="Q74" s="2"/>
      <c r="R74" s="7">
        <f t="shared" si="56"/>
        <v>2.0902127653523775E-3</v>
      </c>
      <c r="S74" s="2"/>
      <c r="T74" s="6">
        <v>837.85</v>
      </c>
      <c r="U74" s="2"/>
      <c r="V74" s="7">
        <f t="shared" si="57"/>
        <v>2.5478957106159746E-3</v>
      </c>
      <c r="W74" s="2"/>
      <c r="X74" s="6">
        <f t="shared" si="58"/>
        <v>-132.25</v>
      </c>
      <c r="Y74" s="2"/>
      <c r="Z74" s="7">
        <f t="shared" si="59"/>
        <v>-0.15784448290266753</v>
      </c>
    </row>
    <row r="75" spans="1:26" s="27" customFormat="1" outlineLevel="1" collapsed="1" x14ac:dyDescent="0.25">
      <c r="A75" s="25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SUM(OSRRefD22_14x_0)</f>
        <v>0</v>
      </c>
      <c r="E75" s="1"/>
      <c r="F75" s="5">
        <f t="shared" si="52"/>
        <v>0</v>
      </c>
      <c r="G75" s="1"/>
      <c r="H75" s="1">
        <f>SUM(OSRRefH22_14x_0)</f>
        <v>0</v>
      </c>
      <c r="I75" s="1"/>
      <c r="J75" s="5">
        <f t="shared" si="53"/>
        <v>0</v>
      </c>
      <c r="K75" s="1"/>
      <c r="L75" s="1">
        <f t="shared" si="54"/>
        <v>0</v>
      </c>
      <c r="M75" s="1"/>
      <c r="N75" s="5">
        <f t="shared" si="55"/>
        <v>0</v>
      </c>
      <c r="O75" s="13"/>
      <c r="P75" s="1">
        <f>SUM(OSRRefP22_14x_0)</f>
        <v>96</v>
      </c>
      <c r="Q75" s="1"/>
      <c r="R75" s="5">
        <f t="shared" si="56"/>
        <v>2.8438268916358873E-4</v>
      </c>
      <c r="S75" s="1"/>
      <c r="T75" s="1">
        <f>SUM(OSRRefT22_14x_0)</f>
        <v>98.82</v>
      </c>
      <c r="U75" s="1"/>
      <c r="V75" s="5">
        <f t="shared" si="57"/>
        <v>3.0051089589195034E-4</v>
      </c>
      <c r="W75" s="1"/>
      <c r="X75" s="1">
        <f t="shared" si="58"/>
        <v>-2.8199999999999932</v>
      </c>
      <c r="Y75" s="1"/>
      <c r="Z75" s="5">
        <f t="shared" si="59"/>
        <v>-2.8536733454766174E-2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>
        <v>96</v>
      </c>
      <c r="Q76" s="2"/>
      <c r="R76" s="7">
        <f t="shared" si="56"/>
        <v>2.8438268916358873E-4</v>
      </c>
      <c r="S76" s="2"/>
      <c r="T76" s="6">
        <v>98.82</v>
      </c>
      <c r="U76" s="2"/>
      <c r="V76" s="7">
        <f t="shared" si="57"/>
        <v>3.0051089589195034E-4</v>
      </c>
      <c r="W76" s="2"/>
      <c r="X76" s="6">
        <f t="shared" si="58"/>
        <v>-2.8199999999999932</v>
      </c>
      <c r="Y76" s="2"/>
      <c r="Z76" s="7">
        <f t="shared" si="59"/>
        <v>-2.8536733454766174E-2</v>
      </c>
    </row>
    <row r="77" spans="1:26" s="61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0">
        <f>+D25-D27+D78</f>
        <v>5922.1599999999962</v>
      </c>
      <c r="E80" s="14"/>
      <c r="F80" s="21">
        <f>IF(D$12=0,0,D80/D$12)</f>
        <v>0.14920398975100579</v>
      </c>
      <c r="G80" s="14"/>
      <c r="H80" s="20">
        <f>+H25-H27+H78</f>
        <v>3741.4099999999962</v>
      </c>
      <c r="I80" s="14"/>
      <c r="J80" s="21">
        <f>IF(H$12=0,0,H80/H$12)</f>
        <v>9.3346340343729295E-2</v>
      </c>
      <c r="K80" s="15"/>
      <c r="L80" s="20">
        <f>+D80-H80</f>
        <v>2180.75</v>
      </c>
      <c r="M80" s="15"/>
      <c r="N80" s="21">
        <f>IF(H80=0,0,L80/H80)</f>
        <v>0.58286849075615932</v>
      </c>
      <c r="O80" s="28"/>
      <c r="P80" s="20">
        <f>+P25-P27+P78</f>
        <v>64774.519999999975</v>
      </c>
      <c r="Q80" s="14"/>
      <c r="R80" s="21">
        <f>IF(P$12=0,0,P80/P$12)</f>
        <v>0.19188283528000682</v>
      </c>
      <c r="S80" s="14"/>
      <c r="T80" s="20">
        <f>+T25-T27+T78</f>
        <v>51693.099999999991</v>
      </c>
      <c r="U80" s="14"/>
      <c r="V80" s="21">
        <f>IF(T$12=0,0,T80/T$12)</f>
        <v>0.15719833831645597</v>
      </c>
      <c r="W80" s="15"/>
      <c r="X80" s="20">
        <f>+P80-T80</f>
        <v>13081.419999999984</v>
      </c>
      <c r="Y80" s="15"/>
      <c r="Z80" s="21">
        <f>IF(T80=0,0,X80/T80)</f>
        <v>0.25305930578742591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4916.87</v>
      </c>
      <c r="E82" s="4"/>
      <c r="F82" s="12">
        <f>IF(D$12=0,0,D82/D$12)</f>
        <v>0.12387652834219749</v>
      </c>
      <c r="G82" s="4"/>
      <c r="H82" s="4">
        <v>5102.8900000000003</v>
      </c>
      <c r="I82" s="4"/>
      <c r="J82" s="12">
        <f>IF(H$12=0,0,H82/H$12)</f>
        <v>0.12731459708415097</v>
      </c>
      <c r="K82" s="4"/>
      <c r="L82" s="4">
        <f>+D82-H82</f>
        <v>-186.02000000000044</v>
      </c>
      <c r="M82" s="4"/>
      <c r="N82" s="12">
        <f>IF(H82=0,0,L82/H82)</f>
        <v>-3.6453852620769882E-2</v>
      </c>
      <c r="O82" s="10"/>
      <c r="P82" s="4">
        <v>36460.519999999997</v>
      </c>
      <c r="Q82" s="4"/>
      <c r="R82" s="12">
        <f>IF(P$12=0,0,P82/P$12)</f>
        <v>0.10800771589482094</v>
      </c>
      <c r="S82" s="4"/>
      <c r="T82" s="4">
        <v>35486.81</v>
      </c>
      <c r="U82" s="4"/>
      <c r="V82" s="12">
        <f>IF(T$12=0,0,T82/T$12)</f>
        <v>0.10791512917878388</v>
      </c>
      <c r="W82" s="4"/>
      <c r="X82" s="4">
        <f>+P82-T82</f>
        <v>973.70999999999913</v>
      </c>
      <c r="Y82" s="4"/>
      <c r="Z82" s="12">
        <f>IF(T82=0,0,X82/T82)</f>
        <v>2.7438645513642935E-2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2">
        <f>+D80-D82</f>
        <v>1005.2899999999963</v>
      </c>
      <c r="E84" s="14"/>
      <c r="F84" s="30">
        <f>IF(D$12=0,0,D84/D$12)</f>
        <v>2.5327461408808299E-2</v>
      </c>
      <c r="G84" s="14"/>
      <c r="H84" s="32">
        <f>+H80-H82</f>
        <v>-1361.4800000000041</v>
      </c>
      <c r="I84" s="14"/>
      <c r="J84" s="30">
        <f>IF(H$12=0,0,H84/H$12)</f>
        <v>-3.3968256740421678E-2</v>
      </c>
      <c r="K84" s="15"/>
      <c r="L84" s="32">
        <f>D84-H84</f>
        <v>2366.7700000000004</v>
      </c>
      <c r="M84" s="15"/>
      <c r="N84" s="30">
        <f>IF(H84=0,0,L84/H84)</f>
        <v>-1.7383802920351332</v>
      </c>
      <c r="O84" s="28"/>
      <c r="P84" s="32">
        <f>+P80-P82</f>
        <v>28313.999999999978</v>
      </c>
      <c r="Q84" s="14"/>
      <c r="R84" s="30">
        <f>IF(P$12=0,0,P84/P$12)</f>
        <v>8.3875119385185895E-2</v>
      </c>
      <c r="S84" s="14"/>
      <c r="T84" s="32">
        <f>+T80-T82</f>
        <v>16206.289999999994</v>
      </c>
      <c r="U84" s="14"/>
      <c r="V84" s="30">
        <f>IF(T$12=0,0,T84/T$12)</f>
        <v>4.9283209137672077E-2</v>
      </c>
      <c r="W84" s="15"/>
      <c r="X84" s="32">
        <f>P84-T84</f>
        <v>12107.709999999985</v>
      </c>
      <c r="Y84" s="15"/>
      <c r="Z84" s="30">
        <f>IF(T84=0,0,X84/T84)</f>
        <v>0.74709942867861734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6">
        <f>SUM(D84:D86)</f>
        <v>1005.2899999999963</v>
      </c>
      <c r="E87" s="14"/>
      <c r="F87" s="31">
        <f>IF(D$12=0,0,D87/D$12)</f>
        <v>2.5327461408808299E-2</v>
      </c>
      <c r="G87" s="14"/>
      <c r="H87" s="36">
        <f>SUM(H84:H86)</f>
        <v>-1361.4800000000041</v>
      </c>
      <c r="I87" s="14"/>
      <c r="J87" s="31">
        <f>IF(H$12=0,0,H87/H$12)</f>
        <v>-3.3968256740421678E-2</v>
      </c>
      <c r="K87" s="15"/>
      <c r="L87" s="36">
        <f>+D87-H87</f>
        <v>2366.7700000000004</v>
      </c>
      <c r="M87" s="15"/>
      <c r="N87" s="31">
        <f>IF(H87=0,0,L87/H87)</f>
        <v>-1.7383802920351332</v>
      </c>
      <c r="O87" s="28"/>
      <c r="P87" s="36">
        <f>SUM(P84:P86)</f>
        <v>28313.999999999978</v>
      </c>
      <c r="Q87" s="14"/>
      <c r="R87" s="31">
        <f>IF(P$12=0,0,P87/P$12)</f>
        <v>8.3875119385185895E-2</v>
      </c>
      <c r="S87" s="14"/>
      <c r="T87" s="36">
        <f>SUM(T84:T86)</f>
        <v>16206.289999999994</v>
      </c>
      <c r="U87" s="14"/>
      <c r="V87" s="31">
        <f>IF(T$12=0,0,T87/T$12)</f>
        <v>4.9283209137672077E-2</v>
      </c>
      <c r="W87" s="15"/>
      <c r="X87" s="36">
        <f>+P87-T87</f>
        <v>12107.709999999985</v>
      </c>
      <c r="Y87" s="15"/>
      <c r="Z87" s="31">
        <f>IF(T87=0,0,X87/T87)</f>
        <v>0.74709942867861734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62">
        <v>43847.453719097219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6" t="s">
        <v>313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4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","321", " - ", "Student Union C-Store")</f>
        <v>Department 321 - Student Union C-Store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24039</v>
      </c>
      <c r="E12" s="4"/>
      <c r="F12" s="12"/>
      <c r="G12" s="4"/>
      <c r="H12" s="4">
        <f>SUM(OSRRefH13x_0)</f>
        <v>24747.010000000002</v>
      </c>
      <c r="I12" s="4"/>
      <c r="J12" s="12"/>
      <c r="K12" s="4"/>
      <c r="L12" s="4">
        <f t="shared" ref="L12:L14" si="0">+D12-H12</f>
        <v>-708.01000000000204</v>
      </c>
      <c r="M12" s="4"/>
      <c r="N12" s="12">
        <f t="shared" ref="N12:N14" si="1">IF(H12=0,0,L12/H12)</f>
        <v>-2.8609920956107506E-2</v>
      </c>
      <c r="O12" s="10"/>
      <c r="P12" s="4">
        <f>SUM(OSRRefP13x_0)</f>
        <v>192173.68</v>
      </c>
      <c r="Q12" s="4"/>
      <c r="R12" s="12"/>
      <c r="S12" s="4"/>
      <c r="T12" s="4">
        <f>SUM(OSRRefT13x_0)</f>
        <v>168334.81</v>
      </c>
      <c r="U12" s="4"/>
      <c r="V12" s="12"/>
      <c r="W12" s="4"/>
      <c r="X12" s="4">
        <f t="shared" ref="X12:X14" si="2">+P12-T12</f>
        <v>23838.869999999995</v>
      </c>
      <c r="Y12" s="4"/>
      <c r="Z12" s="12">
        <f t="shared" ref="Z12:Z14" si="3">IF(T12=0,0,X12/T12)</f>
        <v>0.14161580721182979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--7071.5</f>
        <v>7071.5</v>
      </c>
      <c r="E13" s="2"/>
      <c r="F13" s="19"/>
      <c r="G13" s="2"/>
      <c r="H13" s="2">
        <f>--7429.56</f>
        <v>7429.56</v>
      </c>
      <c r="I13" s="2"/>
      <c r="J13" s="19"/>
      <c r="K13" s="2"/>
      <c r="L13" s="2">
        <f t="shared" si="0"/>
        <v>-358.0600000000004</v>
      </c>
      <c r="M13" s="2"/>
      <c r="N13" s="19">
        <f t="shared" si="1"/>
        <v>-4.8193971109998492E-2</v>
      </c>
      <c r="O13" s="11"/>
      <c r="P13" s="2">
        <f>--44821.81</f>
        <v>44821.81</v>
      </c>
      <c r="Q13" s="2"/>
      <c r="R13" s="19"/>
      <c r="S13" s="2"/>
      <c r="T13" s="2">
        <f>--42638.68</f>
        <v>42638.68</v>
      </c>
      <c r="U13" s="2"/>
      <c r="V13" s="19"/>
      <c r="W13" s="2"/>
      <c r="X13" s="2">
        <f t="shared" si="2"/>
        <v>2183.1299999999974</v>
      </c>
      <c r="Y13" s="2"/>
      <c r="Z13" s="19">
        <f t="shared" si="3"/>
        <v>5.1200693830109126E-2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--16967.5</f>
        <v>16967.5</v>
      </c>
      <c r="E14" s="2"/>
      <c r="F14" s="19"/>
      <c r="G14" s="2"/>
      <c r="H14" s="2">
        <f>--17317.45</f>
        <v>17317.45</v>
      </c>
      <c r="I14" s="2"/>
      <c r="J14" s="19"/>
      <c r="K14" s="2"/>
      <c r="L14" s="2">
        <f t="shared" si="0"/>
        <v>-349.95000000000073</v>
      </c>
      <c r="M14" s="2"/>
      <c r="N14" s="19">
        <f t="shared" si="1"/>
        <v>-2.0207940545519155E-2</v>
      </c>
      <c r="O14" s="11"/>
      <c r="P14" s="2">
        <f>--147351.87</f>
        <v>147351.87</v>
      </c>
      <c r="Q14" s="2"/>
      <c r="R14" s="19"/>
      <c r="S14" s="2"/>
      <c r="T14" s="2">
        <f>--125696.13</f>
        <v>125696.13</v>
      </c>
      <c r="U14" s="2"/>
      <c r="V14" s="19"/>
      <c r="W14" s="2"/>
      <c r="X14" s="2">
        <f t="shared" si="2"/>
        <v>21655.739999999991</v>
      </c>
      <c r="Y14" s="2"/>
      <c r="Z14" s="19">
        <f t="shared" si="3"/>
        <v>0.17228644986922023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10803.91</v>
      </c>
      <c r="E16" s="4"/>
      <c r="F16" s="12">
        <f t="shared" ref="F16:F18" si="4">IF(D$12=0,0,D16/D$12)</f>
        <v>0.4494325887100129</v>
      </c>
      <c r="G16" s="4"/>
      <c r="H16" s="4">
        <f>SUM(OSRRefH16x_0)</f>
        <v>8633.67</v>
      </c>
      <c r="I16" s="4"/>
      <c r="J16" s="12">
        <f t="shared" ref="J16:J18" si="5">IF(H$12=0,0,H16/H$12)</f>
        <v>0.34887729871204642</v>
      </c>
      <c r="K16" s="4"/>
      <c r="L16" s="4">
        <f t="shared" ref="L16:L18" si="6">+D16-H16</f>
        <v>2170.2399999999998</v>
      </c>
      <c r="M16" s="4"/>
      <c r="N16" s="12">
        <f t="shared" ref="N16:N18" si="7">IF(H16=0,0,L16/H16)</f>
        <v>0.25136934814511092</v>
      </c>
      <c r="O16" s="10"/>
      <c r="P16" s="4">
        <f>SUM(OSRRefP16x_0)</f>
        <v>92186.17</v>
      </c>
      <c r="Q16" s="4"/>
      <c r="R16" s="12">
        <f t="shared" ref="R16:R18" si="8">IF(P$12=0,0,P16/P$12)</f>
        <v>0.47970237131328286</v>
      </c>
      <c r="S16" s="4"/>
      <c r="T16" s="4">
        <f>SUM(OSRRefT16x_0)</f>
        <v>77746</v>
      </c>
      <c r="U16" s="4"/>
      <c r="V16" s="12">
        <f t="shared" ref="V16:V18" si="9">IF(T$12=0,0,T16/T$12)</f>
        <v>0.46185337423673689</v>
      </c>
      <c r="W16" s="4"/>
      <c r="X16" s="4">
        <f t="shared" ref="X16:X18" si="10">+P16-T16</f>
        <v>14440.169999999998</v>
      </c>
      <c r="Y16" s="4"/>
      <c r="Z16" s="12">
        <f t="shared" ref="Z16:Z18" si="11">IF(T16=0,0,X16/T16)</f>
        <v>0.18573521467342369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7259.64</v>
      </c>
      <c r="E17" s="2"/>
      <c r="F17" s="19">
        <f t="shared" si="4"/>
        <v>0.30199425932859103</v>
      </c>
      <c r="G17" s="2"/>
      <c r="H17" s="2">
        <v>4235.12</v>
      </c>
      <c r="I17" s="2"/>
      <c r="J17" s="19">
        <f t="shared" si="5"/>
        <v>0.17113663428430342</v>
      </c>
      <c r="K17" s="2"/>
      <c r="L17" s="2">
        <f t="shared" si="6"/>
        <v>3024.5200000000004</v>
      </c>
      <c r="M17" s="2"/>
      <c r="N17" s="19">
        <f t="shared" si="7"/>
        <v>0.71415213736564742</v>
      </c>
      <c r="O17" s="11"/>
      <c r="P17" s="2">
        <v>86589.34</v>
      </c>
      <c r="Q17" s="2"/>
      <c r="R17" s="19">
        <f t="shared" si="8"/>
        <v>0.45057855997762025</v>
      </c>
      <c r="S17" s="2"/>
      <c r="T17" s="2">
        <v>68871.69</v>
      </c>
      <c r="U17" s="2"/>
      <c r="V17" s="19">
        <f t="shared" si="9"/>
        <v>0.40913516342817036</v>
      </c>
      <c r="W17" s="2"/>
      <c r="X17" s="2">
        <f t="shared" si="10"/>
        <v>17717.649999999994</v>
      </c>
      <c r="Y17" s="2"/>
      <c r="Z17" s="19">
        <f t="shared" si="11"/>
        <v>0.25725592039341555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3544.27</v>
      </c>
      <c r="E18" s="2"/>
      <c r="F18" s="19">
        <f t="shared" si="4"/>
        <v>0.14743832938142185</v>
      </c>
      <c r="G18" s="2"/>
      <c r="H18" s="2">
        <v>4398.55</v>
      </c>
      <c r="I18" s="2"/>
      <c r="J18" s="19">
        <f t="shared" si="5"/>
        <v>0.17774066442774297</v>
      </c>
      <c r="K18" s="2"/>
      <c r="L18" s="2">
        <f t="shared" si="6"/>
        <v>-854.2800000000002</v>
      </c>
      <c r="M18" s="2"/>
      <c r="N18" s="19">
        <f t="shared" si="7"/>
        <v>-0.19421854929465396</v>
      </c>
      <c r="O18" s="11"/>
      <c r="P18" s="2">
        <v>5596.83</v>
      </c>
      <c r="Q18" s="2"/>
      <c r="R18" s="19">
        <f t="shared" si="8"/>
        <v>2.9123811335662615E-2</v>
      </c>
      <c r="S18" s="2"/>
      <c r="T18" s="2">
        <v>8874.31</v>
      </c>
      <c r="U18" s="2"/>
      <c r="V18" s="19">
        <f t="shared" si="9"/>
        <v>5.2718210808566569E-2</v>
      </c>
      <c r="W18" s="2"/>
      <c r="X18" s="2">
        <f t="shared" si="10"/>
        <v>-3277.4799999999996</v>
      </c>
      <c r="Y18" s="2"/>
      <c r="Z18" s="19">
        <f t="shared" si="11"/>
        <v>-0.36932223463007263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13235.09</v>
      </c>
      <c r="E20" s="14"/>
      <c r="F20" s="21">
        <f>IF(D$12=0,0,D20/D$12)</f>
        <v>0.5505674112899871</v>
      </c>
      <c r="G20" s="14"/>
      <c r="H20" s="20">
        <f>H12-H16</f>
        <v>16113.340000000002</v>
      </c>
      <c r="I20" s="14"/>
      <c r="J20" s="21">
        <f>IF(H$12=0,0,H20/H$12)</f>
        <v>0.65112270128795358</v>
      </c>
      <c r="K20" s="15"/>
      <c r="L20" s="20">
        <f>+D20-H20</f>
        <v>-2878.2500000000018</v>
      </c>
      <c r="M20" s="15"/>
      <c r="N20" s="21">
        <f>IF(H20=0,0,L20/H20)</f>
        <v>-0.17862528811531325</v>
      </c>
      <c r="O20" s="28"/>
      <c r="P20" s="20">
        <f>P12-P16</f>
        <v>99987.51</v>
      </c>
      <c r="Q20" s="14"/>
      <c r="R20" s="21">
        <f>IF(P$12=0,0,P20/P$12)</f>
        <v>0.52029762868671714</v>
      </c>
      <c r="S20" s="14"/>
      <c r="T20" s="20">
        <f>T12-T16</f>
        <v>90588.81</v>
      </c>
      <c r="U20" s="14"/>
      <c r="V20" s="21">
        <f>IF(T$12=0,0,T20/T$12)</f>
        <v>0.53814662576326311</v>
      </c>
      <c r="W20" s="15"/>
      <c r="X20" s="20">
        <f>+P20-T20</f>
        <v>9398.6999999999971</v>
      </c>
      <c r="Y20" s="15"/>
      <c r="Z20" s="21">
        <f>IF(T20=0,0,X20/T20)</f>
        <v>0.10375122490294328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15941.58</v>
      </c>
      <c r="E22" s="22"/>
      <c r="F22" s="33">
        <f t="shared" ref="F22:F30" si="12">IF(D$12=0,0,D22/D$12)</f>
        <v>0.66315487333083734</v>
      </c>
      <c r="G22" s="22"/>
      <c r="H22" s="22">
        <f>SUM(OSRRefH22x_0)</f>
        <v>13970.44</v>
      </c>
      <c r="I22" s="22"/>
      <c r="J22" s="33">
        <f t="shared" ref="J22:J30" si="13">IF(H$12=0,0,H22/H$12)</f>
        <v>0.56453042205906889</v>
      </c>
      <c r="K22" s="4"/>
      <c r="L22" s="22">
        <f t="shared" ref="L22:L30" si="14">+D22-H22</f>
        <v>1971.1399999999994</v>
      </c>
      <c r="M22" s="4"/>
      <c r="N22" s="33">
        <f t="shared" ref="N22:N30" si="15">IF(H22=0,0,L22/H22)</f>
        <v>0.14109362339339343</v>
      </c>
      <c r="O22" s="10"/>
      <c r="P22" s="22">
        <f>SUM(OSRRefP22x_0)</f>
        <v>80824.719999999987</v>
      </c>
      <c r="Q22" s="22"/>
      <c r="R22" s="33">
        <f t="shared" ref="R22:R30" si="16">IF(P$12=0,0,P22/P$12)</f>
        <v>0.42058163219854033</v>
      </c>
      <c r="S22" s="22"/>
      <c r="T22" s="22">
        <f>SUM(OSRRefT22x_0)</f>
        <v>49595.79</v>
      </c>
      <c r="U22" s="22"/>
      <c r="V22" s="33">
        <f t="shared" ref="V22:V30" si="17">IF(T$12=0,0,T22/T$12)</f>
        <v>0.29462587090572651</v>
      </c>
      <c r="W22" s="4"/>
      <c r="X22" s="22">
        <f t="shared" ref="X22:X30" si="18">+P22-T22</f>
        <v>31228.929999999986</v>
      </c>
      <c r="Y22" s="4"/>
      <c r="Z22" s="33">
        <f t="shared" ref="Z22:Z30" si="19">IF(T22=0,0,X22/T22)</f>
        <v>0.62966896988635501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347.80999999999995</v>
      </c>
      <c r="E23" s="1"/>
      <c r="F23" s="5">
        <f t="shared" si="12"/>
        <v>1.4468571903989348E-2</v>
      </c>
      <c r="G23" s="1"/>
      <c r="H23" s="1">
        <f>SUM(OSRRefH22_0x_0)</f>
        <v>50.31</v>
      </c>
      <c r="I23" s="1"/>
      <c r="J23" s="5">
        <f t="shared" si="13"/>
        <v>2.0329728722783074E-3</v>
      </c>
      <c r="K23" s="1"/>
      <c r="L23" s="1">
        <f t="shared" si="14"/>
        <v>297.49999999999994</v>
      </c>
      <c r="M23" s="1"/>
      <c r="N23" s="5">
        <f t="shared" si="15"/>
        <v>5.9133373086861445</v>
      </c>
      <c r="O23" s="13"/>
      <c r="P23" s="1">
        <f>SUM(OSRRefP22_0x_0)</f>
        <v>9241.73</v>
      </c>
      <c r="Q23" s="1"/>
      <c r="R23" s="5">
        <f t="shared" si="16"/>
        <v>4.8090508544146107E-2</v>
      </c>
      <c r="S23" s="1"/>
      <c r="T23" s="1">
        <f>SUM(OSRRefT22_0x_0)</f>
        <v>432.45</v>
      </c>
      <c r="U23" s="1"/>
      <c r="V23" s="5">
        <f t="shared" si="17"/>
        <v>2.5689873651207375E-3</v>
      </c>
      <c r="W23" s="1"/>
      <c r="X23" s="1">
        <f t="shared" si="18"/>
        <v>8809.2799999999988</v>
      </c>
      <c r="Y23" s="1"/>
      <c r="Z23" s="5">
        <f t="shared" si="19"/>
        <v>20.370632443056998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199.77</v>
      </c>
      <c r="E24" s="2"/>
      <c r="F24" s="7">
        <f t="shared" si="12"/>
        <v>8.3102458504929495E-3</v>
      </c>
      <c r="G24" s="2"/>
      <c r="H24" s="6"/>
      <c r="I24" s="2"/>
      <c r="J24" s="7">
        <f t="shared" si="13"/>
        <v>0</v>
      </c>
      <c r="K24" s="2"/>
      <c r="L24" s="6">
        <f t="shared" si="14"/>
        <v>199.77</v>
      </c>
      <c r="M24" s="2"/>
      <c r="N24" s="7">
        <f t="shared" si="15"/>
        <v>0</v>
      </c>
      <c r="O24" s="11"/>
      <c r="P24" s="6">
        <v>1680.98</v>
      </c>
      <c r="Q24" s="2"/>
      <c r="R24" s="7">
        <f t="shared" si="16"/>
        <v>8.7471916029291837E-3</v>
      </c>
      <c r="S24" s="2"/>
      <c r="T24" s="6">
        <v>181.73</v>
      </c>
      <c r="U24" s="2"/>
      <c r="V24" s="7">
        <f t="shared" si="17"/>
        <v>1.0795746880873896E-3</v>
      </c>
      <c r="W24" s="2"/>
      <c r="X24" s="6">
        <f t="shared" si="18"/>
        <v>1499.25</v>
      </c>
      <c r="Y24" s="2"/>
      <c r="Z24" s="7">
        <f t="shared" si="19"/>
        <v>8.2498761899521273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132.51</v>
      </c>
      <c r="E25" s="2"/>
      <c r="F25" s="7">
        <f t="shared" si="12"/>
        <v>5.5122925246474472E-3</v>
      </c>
      <c r="G25" s="2"/>
      <c r="H25" s="6">
        <v>41.29</v>
      </c>
      <c r="I25" s="2"/>
      <c r="J25" s="7">
        <f t="shared" si="13"/>
        <v>1.6684843946804077E-3</v>
      </c>
      <c r="K25" s="2"/>
      <c r="L25" s="6">
        <f t="shared" si="14"/>
        <v>91.22</v>
      </c>
      <c r="M25" s="2"/>
      <c r="N25" s="7">
        <f t="shared" si="15"/>
        <v>2.2092516347783966</v>
      </c>
      <c r="O25" s="11"/>
      <c r="P25" s="6">
        <v>624.98</v>
      </c>
      <c r="Q25" s="2"/>
      <c r="R25" s="7">
        <f t="shared" si="16"/>
        <v>3.2521623148393684E-3</v>
      </c>
      <c r="S25" s="2"/>
      <c r="T25" s="6">
        <v>205.76</v>
      </c>
      <c r="U25" s="2"/>
      <c r="V25" s="7">
        <f t="shared" si="17"/>
        <v>1.2223259110816116E-3</v>
      </c>
      <c r="W25" s="2"/>
      <c r="X25" s="6">
        <f t="shared" si="18"/>
        <v>419.22</v>
      </c>
      <c r="Y25" s="2"/>
      <c r="Z25" s="7">
        <f t="shared" si="19"/>
        <v>2.0374222395023329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4676.5</v>
      </c>
      <c r="Q26" s="2"/>
      <c r="R26" s="7">
        <f t="shared" si="16"/>
        <v>2.4334758016810627E-2</v>
      </c>
      <c r="S26" s="2"/>
      <c r="T26" s="6"/>
      <c r="U26" s="2"/>
      <c r="V26" s="7">
        <f t="shared" si="17"/>
        <v>0</v>
      </c>
      <c r="W26" s="2"/>
      <c r="X26" s="6">
        <f t="shared" si="18"/>
        <v>4676.5</v>
      </c>
      <c r="Y26" s="2"/>
      <c r="Z26" s="7">
        <f t="shared" si="19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15.53</v>
      </c>
      <c r="E27" s="2"/>
      <c r="F27" s="7">
        <f t="shared" si="12"/>
        <v>6.4603352884895374E-4</v>
      </c>
      <c r="G27" s="2"/>
      <c r="H27" s="6">
        <v>9.02</v>
      </c>
      <c r="I27" s="2"/>
      <c r="J27" s="7">
        <f t="shared" si="13"/>
        <v>3.6448847759789965E-4</v>
      </c>
      <c r="K27" s="2"/>
      <c r="L27" s="6">
        <f t="shared" si="14"/>
        <v>6.51</v>
      </c>
      <c r="M27" s="2"/>
      <c r="N27" s="7">
        <f t="shared" si="15"/>
        <v>0.72172949002217301</v>
      </c>
      <c r="O27" s="11"/>
      <c r="P27" s="6">
        <v>91.4</v>
      </c>
      <c r="Q27" s="2"/>
      <c r="R27" s="7">
        <f t="shared" si="16"/>
        <v>4.7561143648807688E-4</v>
      </c>
      <c r="S27" s="2"/>
      <c r="T27" s="6">
        <v>44.96</v>
      </c>
      <c r="U27" s="2"/>
      <c r="V27" s="7">
        <f t="shared" si="17"/>
        <v>2.6708676595173632E-4</v>
      </c>
      <c r="W27" s="2"/>
      <c r="X27" s="6">
        <f t="shared" si="18"/>
        <v>46.440000000000005</v>
      </c>
      <c r="Y27" s="2"/>
      <c r="Z27" s="7">
        <f t="shared" si="19"/>
        <v>1.0329181494661923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2"/>
        <v>0</v>
      </c>
      <c r="G28" s="2"/>
      <c r="H28" s="6"/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>
        <v>670.55</v>
      </c>
      <c r="Q28" s="2"/>
      <c r="R28" s="7">
        <f t="shared" si="16"/>
        <v>3.4892915616748349E-3</v>
      </c>
      <c r="S28" s="2"/>
      <c r="T28" s="6"/>
      <c r="U28" s="2"/>
      <c r="V28" s="7">
        <f t="shared" si="17"/>
        <v>0</v>
      </c>
      <c r="W28" s="2"/>
      <c r="X28" s="6">
        <f t="shared" si="18"/>
        <v>670.55</v>
      </c>
      <c r="Y28" s="2"/>
      <c r="Z28" s="7">
        <f t="shared" si="19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2"/>
        <v>0</v>
      </c>
      <c r="G29" s="2"/>
      <c r="H29" s="6"/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>
        <v>1098.8</v>
      </c>
      <c r="Q29" s="2"/>
      <c r="R29" s="7">
        <f t="shared" si="16"/>
        <v>5.717744490296486E-3</v>
      </c>
      <c r="S29" s="2"/>
      <c r="T29" s="6"/>
      <c r="U29" s="2"/>
      <c r="V29" s="7">
        <f t="shared" si="17"/>
        <v>0</v>
      </c>
      <c r="W29" s="2"/>
      <c r="X29" s="6">
        <f t="shared" si="18"/>
        <v>1098.8</v>
      </c>
      <c r="Y29" s="2"/>
      <c r="Z29" s="7">
        <f t="shared" si="19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2"/>
        <v>0</v>
      </c>
      <c r="G30" s="2"/>
      <c r="H30" s="6"/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>
        <v>398.52</v>
      </c>
      <c r="Q30" s="2"/>
      <c r="R30" s="7">
        <f t="shared" si="16"/>
        <v>2.0737491211075313E-3</v>
      </c>
      <c r="S30" s="2"/>
      <c r="T30" s="6"/>
      <c r="U30" s="2"/>
      <c r="V30" s="7">
        <f t="shared" si="17"/>
        <v>0</v>
      </c>
      <c r="W30" s="2"/>
      <c r="X30" s="6">
        <f t="shared" si="18"/>
        <v>398.52</v>
      </c>
      <c r="Y30" s="2"/>
      <c r="Z30" s="7">
        <f t="shared" si="19"/>
        <v>0</v>
      </c>
    </row>
    <row r="31" spans="1:26" s="27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3180.5699999999997</v>
      </c>
      <c r="E31" s="1"/>
      <c r="F31" s="5">
        <f t="shared" ref="F31:F36" si="20">IF(D$12=0,0,D31/D$12)</f>
        <v>0.13230874828403844</v>
      </c>
      <c r="G31" s="1"/>
      <c r="H31" s="1">
        <f>SUM(OSRRefH22_1x_0)</f>
        <v>2952.2</v>
      </c>
      <c r="I31" s="1"/>
      <c r="J31" s="5">
        <f t="shared" ref="J31:J36" si="21">IF(H$12=0,0,H31/H$12)</f>
        <v>0.11929521990737466</v>
      </c>
      <c r="K31" s="1"/>
      <c r="L31" s="1">
        <f t="shared" ref="L31:L36" si="22">+D31-H31</f>
        <v>228.36999999999989</v>
      </c>
      <c r="M31" s="1"/>
      <c r="N31" s="5">
        <f t="shared" ref="N31:N36" si="23">IF(H31=0,0,L31/H31)</f>
        <v>7.7355870198496005E-2</v>
      </c>
      <c r="O31" s="13"/>
      <c r="P31" s="1">
        <f>SUM(OSRRefP22_1x_0)</f>
        <v>34820.479999999996</v>
      </c>
      <c r="Q31" s="1"/>
      <c r="R31" s="5">
        <f t="shared" ref="R31:R36" si="24">IF(P$12=0,0,P31/P$12)</f>
        <v>0.18119276271339549</v>
      </c>
      <c r="S31" s="1"/>
      <c r="T31" s="1">
        <f>SUM(OSRRefT22_1x_0)</f>
        <v>18303.14</v>
      </c>
      <c r="U31" s="1"/>
      <c r="V31" s="5">
        <f t="shared" ref="V31:V36" si="25">IF(T$12=0,0,T31/T$12)</f>
        <v>0.10873057093776385</v>
      </c>
      <c r="W31" s="1"/>
      <c r="X31" s="1">
        <f t="shared" ref="X31:X36" si="26">+P31-T31</f>
        <v>16517.339999999997</v>
      </c>
      <c r="Y31" s="1"/>
      <c r="Z31" s="5">
        <f t="shared" ref="Z31:Z36" si="27">IF(T31=0,0,X31/T31)</f>
        <v>0.90243204171524649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0"/>
        <v>0</v>
      </c>
      <c r="G32" s="2"/>
      <c r="H32" s="6"/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>
        <v>10272</v>
      </c>
      <c r="Q32" s="2"/>
      <c r="R32" s="7">
        <f t="shared" si="24"/>
        <v>5.3451648529600937E-2</v>
      </c>
      <c r="S32" s="2"/>
      <c r="T32" s="6"/>
      <c r="U32" s="2"/>
      <c r="V32" s="7">
        <f t="shared" si="25"/>
        <v>0</v>
      </c>
      <c r="W32" s="2"/>
      <c r="X32" s="6">
        <f t="shared" si="26"/>
        <v>10272</v>
      </c>
      <c r="Y32" s="2"/>
      <c r="Z32" s="7">
        <f t="shared" si="27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0"/>
        <v>0</v>
      </c>
      <c r="G33" s="2"/>
      <c r="H33" s="6"/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>
        <v>1708.78</v>
      </c>
      <c r="Q33" s="2"/>
      <c r="R33" s="7">
        <f t="shared" si="24"/>
        <v>8.891852411839124E-3</v>
      </c>
      <c r="S33" s="2"/>
      <c r="T33" s="6"/>
      <c r="U33" s="2"/>
      <c r="V33" s="7">
        <f t="shared" si="25"/>
        <v>0</v>
      </c>
      <c r="W33" s="2"/>
      <c r="X33" s="6">
        <f t="shared" si="26"/>
        <v>1708.78</v>
      </c>
      <c r="Y33" s="2"/>
      <c r="Z33" s="7">
        <f t="shared" si="27"/>
        <v>0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>
        <v>1007.26</v>
      </c>
      <c r="E34" s="2"/>
      <c r="F34" s="7">
        <f t="shared" si="20"/>
        <v>4.1901077415865885E-2</v>
      </c>
      <c r="G34" s="2"/>
      <c r="H34" s="6"/>
      <c r="I34" s="2"/>
      <c r="J34" s="7">
        <f t="shared" si="21"/>
        <v>0</v>
      </c>
      <c r="K34" s="2"/>
      <c r="L34" s="6">
        <f t="shared" si="22"/>
        <v>1007.26</v>
      </c>
      <c r="M34" s="2"/>
      <c r="N34" s="7">
        <f t="shared" si="23"/>
        <v>0</v>
      </c>
      <c r="O34" s="11"/>
      <c r="P34" s="6">
        <v>6701.74</v>
      </c>
      <c r="Q34" s="2"/>
      <c r="R34" s="7">
        <f t="shared" si="24"/>
        <v>3.4873349982161968E-2</v>
      </c>
      <c r="S34" s="2"/>
      <c r="T34" s="6">
        <v>625.26</v>
      </c>
      <c r="U34" s="2"/>
      <c r="V34" s="7">
        <f t="shared" si="25"/>
        <v>3.7143832579844892E-3</v>
      </c>
      <c r="W34" s="2"/>
      <c r="X34" s="6">
        <f t="shared" si="26"/>
        <v>6076.48</v>
      </c>
      <c r="Y34" s="2"/>
      <c r="Z34" s="7">
        <f t="shared" si="27"/>
        <v>9.7183251767264807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1807.31</v>
      </c>
      <c r="E35" s="2"/>
      <c r="F35" s="7">
        <f t="shared" si="20"/>
        <v>7.5182411913973124E-2</v>
      </c>
      <c r="G35" s="2"/>
      <c r="H35" s="6">
        <v>2952.2</v>
      </c>
      <c r="I35" s="2"/>
      <c r="J35" s="7">
        <f t="shared" si="21"/>
        <v>0.11929521990737466</v>
      </c>
      <c r="K35" s="2"/>
      <c r="L35" s="6">
        <f t="shared" si="22"/>
        <v>-1144.8899999999999</v>
      </c>
      <c r="M35" s="2"/>
      <c r="N35" s="7">
        <f t="shared" si="23"/>
        <v>-0.3878090915249644</v>
      </c>
      <c r="O35" s="11"/>
      <c r="P35" s="6">
        <v>15083.649999999998</v>
      </c>
      <c r="Q35" s="2"/>
      <c r="R35" s="7">
        <f t="shared" si="24"/>
        <v>7.848967663001509E-2</v>
      </c>
      <c r="S35" s="2"/>
      <c r="T35" s="6">
        <v>17677.88</v>
      </c>
      <c r="U35" s="2"/>
      <c r="V35" s="7">
        <f t="shared" si="25"/>
        <v>0.10501618767977937</v>
      </c>
      <c r="W35" s="2"/>
      <c r="X35" s="6">
        <f t="shared" si="26"/>
        <v>-2594.2300000000032</v>
      </c>
      <c r="Y35" s="2"/>
      <c r="Z35" s="7">
        <f t="shared" si="27"/>
        <v>-0.14675006279033476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>
        <v>366</v>
      </c>
      <c r="E36" s="2"/>
      <c r="F36" s="7">
        <f t="shared" si="20"/>
        <v>1.5225258954199426E-2</v>
      </c>
      <c r="G36" s="2"/>
      <c r="H36" s="6"/>
      <c r="I36" s="2"/>
      <c r="J36" s="7">
        <f t="shared" si="21"/>
        <v>0</v>
      </c>
      <c r="K36" s="2"/>
      <c r="L36" s="6">
        <f t="shared" si="22"/>
        <v>366</v>
      </c>
      <c r="M36" s="2"/>
      <c r="N36" s="7">
        <f t="shared" si="23"/>
        <v>0</v>
      </c>
      <c r="O36" s="11"/>
      <c r="P36" s="6">
        <v>1054.31</v>
      </c>
      <c r="Q36" s="2"/>
      <c r="R36" s="7">
        <f t="shared" si="24"/>
        <v>5.486235159778384E-3</v>
      </c>
      <c r="S36" s="2"/>
      <c r="T36" s="6"/>
      <c r="U36" s="2"/>
      <c r="V36" s="7">
        <f t="shared" si="25"/>
        <v>0</v>
      </c>
      <c r="W36" s="2"/>
      <c r="X36" s="6">
        <f t="shared" si="26"/>
        <v>1054.31</v>
      </c>
      <c r="Y36" s="2"/>
      <c r="Z36" s="7">
        <f t="shared" si="27"/>
        <v>0</v>
      </c>
    </row>
    <row r="37" spans="1:26" s="27" customFormat="1" outlineLevel="1" collapsed="1" x14ac:dyDescent="0.25">
      <c r="A37" s="25"/>
      <c r="B37" s="13" t="str">
        <f>CONCATENATE("     ","Bad Debts/Over/Short                              ")</f>
        <v xml:space="preserve">     Bad Debts/Over/Short                              </v>
      </c>
      <c r="C37" s="13"/>
      <c r="D37" s="1">
        <f>SUM(OSRRefD22_2x_0)</f>
        <v>-6.41</v>
      </c>
      <c r="E37" s="1"/>
      <c r="F37" s="5">
        <f t="shared" ref="F37:F48" si="28">IF(D$12=0,0,D37/D$12)</f>
        <v>-2.6665002703939433E-4</v>
      </c>
      <c r="G37" s="1"/>
      <c r="H37" s="1">
        <f>SUM(OSRRefH22_2x_0)</f>
        <v>-18.45</v>
      </c>
      <c r="I37" s="1"/>
      <c r="J37" s="5">
        <f t="shared" ref="J37:J48" si="29">IF(H$12=0,0,H37/H$12)</f>
        <v>-7.4554461326843116E-4</v>
      </c>
      <c r="K37" s="1"/>
      <c r="L37" s="1">
        <f t="shared" ref="L37:L48" si="30">+D37-H37</f>
        <v>12.04</v>
      </c>
      <c r="M37" s="1"/>
      <c r="N37" s="5">
        <f t="shared" ref="N37:N48" si="31">IF(H37=0,0,L37/H37)</f>
        <v>-0.65257452574525743</v>
      </c>
      <c r="O37" s="13"/>
      <c r="P37" s="1">
        <f>SUM(OSRRefP22_2x_0)</f>
        <v>-57.93</v>
      </c>
      <c r="Q37" s="1"/>
      <c r="R37" s="5">
        <f t="shared" ref="R37:R48" si="32">IF(P$12=0,0,P37/P$12)</f>
        <v>-3.0144606691197257E-4</v>
      </c>
      <c r="S37" s="1"/>
      <c r="T37" s="1">
        <f>SUM(OSRRefT22_2x_0)</f>
        <v>-74.44</v>
      </c>
      <c r="U37" s="1"/>
      <c r="V37" s="5">
        <f t="shared" ref="V37:V48" si="33">IF(T$12=0,0,T37/T$12)</f>
        <v>-4.4221394255888012E-4</v>
      </c>
      <c r="W37" s="1"/>
      <c r="X37" s="1">
        <f t="shared" ref="X37:X48" si="34">+P37-T37</f>
        <v>16.509999999999998</v>
      </c>
      <c r="Y37" s="1"/>
      <c r="Z37" s="5">
        <f t="shared" ref="Z37:Z48" si="35">IF(T37=0,0,X37/T37)</f>
        <v>-0.22178936055883933</v>
      </c>
    </row>
    <row r="38" spans="1:26" s="24" customFormat="1" hidden="1" outlineLevel="2" x14ac:dyDescent="0.25">
      <c r="A38" s="26"/>
      <c r="B38" s="11" t="str">
        <f>CONCATENATE("          ", "6272", " - ", "CASH (OVER/SHORT)")</f>
        <v xml:space="preserve">          6272 - CASH (OVER/SHORT)</v>
      </c>
      <c r="C38" s="11"/>
      <c r="D38" s="6">
        <v>-6.41</v>
      </c>
      <c r="E38" s="2"/>
      <c r="F38" s="7">
        <f t="shared" si="28"/>
        <v>-2.6665002703939433E-4</v>
      </c>
      <c r="G38" s="2"/>
      <c r="H38" s="6">
        <v>-18.45</v>
      </c>
      <c r="I38" s="2"/>
      <c r="J38" s="7">
        <f t="shared" si="29"/>
        <v>-7.4554461326843116E-4</v>
      </c>
      <c r="K38" s="2"/>
      <c r="L38" s="6">
        <f t="shared" si="30"/>
        <v>12.04</v>
      </c>
      <c r="M38" s="2"/>
      <c r="N38" s="7">
        <f t="shared" si="31"/>
        <v>-0.65257452574525743</v>
      </c>
      <c r="O38" s="11"/>
      <c r="P38" s="6">
        <v>-57.93</v>
      </c>
      <c r="Q38" s="2"/>
      <c r="R38" s="7">
        <f t="shared" si="32"/>
        <v>-3.0144606691197257E-4</v>
      </c>
      <c r="S38" s="2"/>
      <c r="T38" s="6">
        <v>-74.44</v>
      </c>
      <c r="U38" s="2"/>
      <c r="V38" s="7">
        <f t="shared" si="33"/>
        <v>-4.4221394255888012E-4</v>
      </c>
      <c r="W38" s="2"/>
      <c r="X38" s="6">
        <f t="shared" si="34"/>
        <v>16.509999999999998</v>
      </c>
      <c r="Y38" s="2"/>
      <c r="Z38" s="7">
        <f t="shared" si="35"/>
        <v>-0.22178936055883933</v>
      </c>
    </row>
    <row r="39" spans="1:26" s="27" customFormat="1" outlineLevel="1" collapsed="1" x14ac:dyDescent="0.25">
      <c r="A39" s="25"/>
      <c r="B39" s="13" t="str">
        <f>CONCATENATE("     ","Bank/card Fees                                    ")</f>
        <v xml:space="preserve">     Bank/card Fees                                    </v>
      </c>
      <c r="C39" s="13"/>
      <c r="D39" s="1">
        <f>SUM(OSRRefD22_3x_0)</f>
        <v>847.16</v>
      </c>
      <c r="E39" s="1"/>
      <c r="F39" s="5">
        <f t="shared" si="28"/>
        <v>3.5241066600108159E-2</v>
      </c>
      <c r="G39" s="1"/>
      <c r="H39" s="1">
        <f>SUM(OSRRefH22_3x_0)</f>
        <v>756.75</v>
      </c>
      <c r="I39" s="1"/>
      <c r="J39" s="5">
        <f t="shared" si="29"/>
        <v>3.0579451820644189E-2</v>
      </c>
      <c r="K39" s="1"/>
      <c r="L39" s="1">
        <f t="shared" si="30"/>
        <v>90.409999999999968</v>
      </c>
      <c r="M39" s="1"/>
      <c r="N39" s="5">
        <f t="shared" si="31"/>
        <v>0.11947142385199863</v>
      </c>
      <c r="O39" s="13"/>
      <c r="P39" s="1">
        <f>SUM(OSRRefP22_3x_0)</f>
        <v>6718.11</v>
      </c>
      <c r="Q39" s="1"/>
      <c r="R39" s="5">
        <f t="shared" si="32"/>
        <v>3.4958533343379804E-2</v>
      </c>
      <c r="S39" s="1"/>
      <c r="T39" s="1">
        <f>SUM(OSRRefT22_3x_0)</f>
        <v>5300.1</v>
      </c>
      <c r="U39" s="1"/>
      <c r="V39" s="5">
        <f t="shared" si="33"/>
        <v>3.1485466375017743E-2</v>
      </c>
      <c r="W39" s="1"/>
      <c r="X39" s="1">
        <f t="shared" si="34"/>
        <v>1418.0099999999993</v>
      </c>
      <c r="Y39" s="1"/>
      <c r="Z39" s="5">
        <f t="shared" si="35"/>
        <v>0.26754400860361111</v>
      </c>
    </row>
    <row r="40" spans="1:26" s="24" customFormat="1" hidden="1" outlineLevel="2" x14ac:dyDescent="0.25">
      <c r="A40" s="26"/>
      <c r="B40" s="11" t="str">
        <f>CONCATENATE("          ", "6381", " - ", "BANK/CREDIT CARD FEES")</f>
        <v xml:space="preserve">          6381 - BANK/CREDIT CARD FEES</v>
      </c>
      <c r="C40" s="11"/>
      <c r="D40" s="6">
        <v>847.16</v>
      </c>
      <c r="E40" s="2"/>
      <c r="F40" s="7">
        <f t="shared" si="28"/>
        <v>3.5241066600108159E-2</v>
      </c>
      <c r="G40" s="2"/>
      <c r="H40" s="6">
        <v>756.75</v>
      </c>
      <c r="I40" s="2"/>
      <c r="J40" s="7">
        <f t="shared" si="29"/>
        <v>3.0579451820644189E-2</v>
      </c>
      <c r="K40" s="2"/>
      <c r="L40" s="6">
        <f t="shared" si="30"/>
        <v>90.409999999999968</v>
      </c>
      <c r="M40" s="2"/>
      <c r="N40" s="7">
        <f t="shared" si="31"/>
        <v>0.11947142385199863</v>
      </c>
      <c r="O40" s="11"/>
      <c r="P40" s="6">
        <v>6718.11</v>
      </c>
      <c r="Q40" s="2"/>
      <c r="R40" s="7">
        <f t="shared" si="32"/>
        <v>3.4958533343379804E-2</v>
      </c>
      <c r="S40" s="2"/>
      <c r="T40" s="6">
        <v>5300.1</v>
      </c>
      <c r="U40" s="2"/>
      <c r="V40" s="7">
        <f t="shared" si="33"/>
        <v>3.1485466375017743E-2</v>
      </c>
      <c r="W40" s="2"/>
      <c r="X40" s="6">
        <f t="shared" si="34"/>
        <v>1418.0099999999993</v>
      </c>
      <c r="Y40" s="2"/>
      <c r="Z40" s="7">
        <f t="shared" si="35"/>
        <v>0.26754400860361111</v>
      </c>
    </row>
    <row r="41" spans="1:26" s="27" customFormat="1" outlineLevel="1" collapsed="1" x14ac:dyDescent="0.25">
      <c r="A41" s="25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SUM(OSRRefD22_4x_0)</f>
        <v>968.86</v>
      </c>
      <c r="E41" s="1"/>
      <c r="F41" s="5">
        <f t="shared" si="28"/>
        <v>4.0303673197720373E-2</v>
      </c>
      <c r="G41" s="1"/>
      <c r="H41" s="1">
        <f>SUM(OSRRefH22_4x_0)</f>
        <v>968.86</v>
      </c>
      <c r="I41" s="1"/>
      <c r="J41" s="5">
        <f t="shared" si="29"/>
        <v>3.91505882932928E-2</v>
      </c>
      <c r="K41" s="1"/>
      <c r="L41" s="1">
        <f t="shared" si="30"/>
        <v>0</v>
      </c>
      <c r="M41" s="1"/>
      <c r="N41" s="5">
        <f t="shared" si="31"/>
        <v>0</v>
      </c>
      <c r="O41" s="13"/>
      <c r="P41" s="1">
        <f>SUM(OSRRefP22_4x_0)</f>
        <v>5813.16</v>
      </c>
      <c r="Q41" s="1"/>
      <c r="R41" s="5">
        <f t="shared" si="32"/>
        <v>3.024951179578806E-2</v>
      </c>
      <c r="S41" s="1"/>
      <c r="T41" s="1">
        <f>SUM(OSRRefT22_4x_0)</f>
        <v>5813.16</v>
      </c>
      <c r="U41" s="1"/>
      <c r="V41" s="5">
        <f t="shared" si="33"/>
        <v>3.4533320826512351E-2</v>
      </c>
      <c r="W41" s="1"/>
      <c r="X41" s="1">
        <f t="shared" si="34"/>
        <v>0</v>
      </c>
      <c r="Y41" s="1"/>
      <c r="Z41" s="5">
        <f t="shared" si="35"/>
        <v>0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968.86</v>
      </c>
      <c r="E42" s="2"/>
      <c r="F42" s="7">
        <f t="shared" si="28"/>
        <v>4.0303673197720373E-2</v>
      </c>
      <c r="G42" s="2"/>
      <c r="H42" s="6">
        <v>968.86</v>
      </c>
      <c r="I42" s="2"/>
      <c r="J42" s="7">
        <f t="shared" si="29"/>
        <v>3.91505882932928E-2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>
        <v>5813.16</v>
      </c>
      <c r="Q42" s="2"/>
      <c r="R42" s="7">
        <f t="shared" si="32"/>
        <v>3.024951179578806E-2</v>
      </c>
      <c r="S42" s="2"/>
      <c r="T42" s="6">
        <v>5813.16</v>
      </c>
      <c r="U42" s="2"/>
      <c r="V42" s="7">
        <f t="shared" si="33"/>
        <v>3.4533320826512351E-2</v>
      </c>
      <c r="W42" s="2"/>
      <c r="X42" s="6">
        <f t="shared" si="34"/>
        <v>0</v>
      </c>
      <c r="Y42" s="2"/>
      <c r="Z42" s="7">
        <f t="shared" si="35"/>
        <v>0</v>
      </c>
    </row>
    <row r="43" spans="1:26" s="27" customFormat="1" outlineLevel="1" collapsed="1" x14ac:dyDescent="0.25">
      <c r="A43" s="25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SUM(OSRRefD22_5x_0)</f>
        <v>160</v>
      </c>
      <c r="E43" s="1"/>
      <c r="F43" s="5">
        <f t="shared" si="28"/>
        <v>6.6558509089396402E-3</v>
      </c>
      <c r="G43" s="1"/>
      <c r="H43" s="1">
        <f>SUM(OSRRefH22_5x_0)</f>
        <v>208.22</v>
      </c>
      <c r="I43" s="1"/>
      <c r="J43" s="5">
        <f t="shared" si="29"/>
        <v>8.4139457655692546E-3</v>
      </c>
      <c r="K43" s="1"/>
      <c r="L43" s="1">
        <f t="shared" si="30"/>
        <v>-48.22</v>
      </c>
      <c r="M43" s="1"/>
      <c r="N43" s="5">
        <f t="shared" si="31"/>
        <v>-0.231581980597445</v>
      </c>
      <c r="O43" s="13"/>
      <c r="P43" s="1">
        <f>SUM(OSRRefP22_5x_0)</f>
        <v>1191.19</v>
      </c>
      <c r="Q43" s="1"/>
      <c r="R43" s="5">
        <f t="shared" si="32"/>
        <v>6.1985075167421471E-3</v>
      </c>
      <c r="S43" s="1"/>
      <c r="T43" s="1">
        <f>SUM(OSRRefT22_5x_0)</f>
        <v>1206.54</v>
      </c>
      <c r="U43" s="1"/>
      <c r="V43" s="5">
        <f t="shared" si="33"/>
        <v>7.1675014811256208E-3</v>
      </c>
      <c r="W43" s="1"/>
      <c r="X43" s="1">
        <f t="shared" si="34"/>
        <v>-15.349999999999909</v>
      </c>
      <c r="Y43" s="1"/>
      <c r="Z43" s="5">
        <f t="shared" si="35"/>
        <v>-1.2722329968339142E-2</v>
      </c>
    </row>
    <row r="44" spans="1:26" s="24" customFormat="1" hidden="1" outlineLevel="2" x14ac:dyDescent="0.25">
      <c r="A44" s="26"/>
      <c r="B44" s="11" t="str">
        <f>CONCATENATE("          ", "6279", " - ", "GENERAL EXPENSE")</f>
        <v xml:space="preserve">          6279 - GENERAL EXPENSE</v>
      </c>
      <c r="C44" s="11"/>
      <c r="D44" s="6">
        <v>160</v>
      </c>
      <c r="E44" s="2"/>
      <c r="F44" s="7">
        <f t="shared" si="28"/>
        <v>6.6558509089396402E-3</v>
      </c>
      <c r="G44" s="2"/>
      <c r="H44" s="6">
        <v>208.22</v>
      </c>
      <c r="I44" s="2"/>
      <c r="J44" s="7">
        <f t="shared" si="29"/>
        <v>8.4139457655692546E-3</v>
      </c>
      <c r="K44" s="2"/>
      <c r="L44" s="6">
        <f t="shared" si="30"/>
        <v>-48.22</v>
      </c>
      <c r="M44" s="2"/>
      <c r="N44" s="7">
        <f t="shared" si="31"/>
        <v>-0.231581980597445</v>
      </c>
      <c r="O44" s="11"/>
      <c r="P44" s="6">
        <v>1191.19</v>
      </c>
      <c r="Q44" s="2"/>
      <c r="R44" s="7">
        <f t="shared" si="32"/>
        <v>6.1985075167421471E-3</v>
      </c>
      <c r="S44" s="2"/>
      <c r="T44" s="6">
        <v>1206.54</v>
      </c>
      <c r="U44" s="2"/>
      <c r="V44" s="7">
        <f t="shared" si="33"/>
        <v>7.1675014811256208E-3</v>
      </c>
      <c r="W44" s="2"/>
      <c r="X44" s="6">
        <f t="shared" si="34"/>
        <v>-15.349999999999909</v>
      </c>
      <c r="Y44" s="2"/>
      <c r="Z44" s="7">
        <f t="shared" si="35"/>
        <v>-1.2722329968339142E-2</v>
      </c>
    </row>
    <row r="45" spans="1:26" s="27" customFormat="1" outlineLevel="1" collapsed="1" x14ac:dyDescent="0.25">
      <c r="A45" s="25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SUM(OSRRefD22_6x_0)</f>
        <v>47.57</v>
      </c>
      <c r="E45" s="1"/>
      <c r="F45" s="5">
        <f t="shared" si="28"/>
        <v>1.9788676733641167E-3</v>
      </c>
      <c r="G45" s="1"/>
      <c r="H45" s="1">
        <f>SUM(OSRRefH22_6x_0)</f>
        <v>772.49</v>
      </c>
      <c r="I45" s="1"/>
      <c r="J45" s="5">
        <f t="shared" si="29"/>
        <v>3.1215488254944735E-2</v>
      </c>
      <c r="K45" s="1"/>
      <c r="L45" s="1">
        <f t="shared" si="30"/>
        <v>-724.92</v>
      </c>
      <c r="M45" s="1"/>
      <c r="N45" s="5">
        <f t="shared" si="31"/>
        <v>-0.93841991482090381</v>
      </c>
      <c r="O45" s="13"/>
      <c r="P45" s="1">
        <f>SUM(OSRRefP22_6x_0)</f>
        <v>887.48</v>
      </c>
      <c r="Q45" s="1"/>
      <c r="R45" s="5">
        <f t="shared" si="32"/>
        <v>4.618114197532149E-3</v>
      </c>
      <c r="S45" s="1"/>
      <c r="T45" s="1">
        <f>SUM(OSRRefT22_6x_0)</f>
        <v>862.01</v>
      </c>
      <c r="U45" s="1"/>
      <c r="V45" s="5">
        <f t="shared" si="33"/>
        <v>5.1208065640137058E-3</v>
      </c>
      <c r="W45" s="1"/>
      <c r="X45" s="1">
        <f t="shared" si="34"/>
        <v>25.470000000000027</v>
      </c>
      <c r="Y45" s="1"/>
      <c r="Z45" s="5">
        <f t="shared" si="35"/>
        <v>2.9547221029918479E-2</v>
      </c>
    </row>
    <row r="46" spans="1:26" s="24" customFormat="1" hidden="1" outlineLevel="2" x14ac:dyDescent="0.25">
      <c r="A46" s="26"/>
      <c r="B46" s="11" t="str">
        <f>CONCATENATE("          ", "6371", " - ", "COMPUTER SOFTWARE MAINTENANCE")</f>
        <v xml:space="preserve">          6371 - COMPUTER SOFTWARE MAINTENANCE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437.31</v>
      </c>
      <c r="Q46" s="2"/>
      <c r="R46" s="7">
        <f t="shared" si="32"/>
        <v>2.2755977821728762E-3</v>
      </c>
      <c r="S46" s="2"/>
      <c r="T46" s="6"/>
      <c r="U46" s="2"/>
      <c r="V46" s="7">
        <f t="shared" si="33"/>
        <v>0</v>
      </c>
      <c r="W46" s="2"/>
      <c r="X46" s="6">
        <f t="shared" si="34"/>
        <v>437.31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"6373", " - ", "MAINTENANCE CONTRACTS")</f>
        <v xml:space="preserve">          6373 - MAINTENANCE CONTRACTS</v>
      </c>
      <c r="C47" s="11"/>
      <c r="D47" s="6">
        <v>47.57</v>
      </c>
      <c r="E47" s="2"/>
      <c r="F47" s="7">
        <f t="shared" si="28"/>
        <v>1.9788676733641167E-3</v>
      </c>
      <c r="G47" s="2"/>
      <c r="H47" s="6">
        <v>44.98</v>
      </c>
      <c r="I47" s="2"/>
      <c r="J47" s="7">
        <f t="shared" si="29"/>
        <v>1.8175933173340938E-3</v>
      </c>
      <c r="K47" s="2"/>
      <c r="L47" s="6">
        <f t="shared" si="30"/>
        <v>2.5900000000000034</v>
      </c>
      <c r="M47" s="2"/>
      <c r="N47" s="7">
        <f t="shared" si="31"/>
        <v>5.7581147176522976E-2</v>
      </c>
      <c r="O47" s="11"/>
      <c r="P47" s="6">
        <v>93.22</v>
      </c>
      <c r="Q47" s="2"/>
      <c r="R47" s="7">
        <f t="shared" si="32"/>
        <v>4.8508203620808012E-4</v>
      </c>
      <c r="S47" s="2"/>
      <c r="T47" s="6">
        <v>89.96</v>
      </c>
      <c r="U47" s="2"/>
      <c r="V47" s="7">
        <f t="shared" si="33"/>
        <v>5.3441115358136555E-4</v>
      </c>
      <c r="W47" s="2"/>
      <c r="X47" s="6">
        <f t="shared" si="34"/>
        <v>3.2600000000000051</v>
      </c>
      <c r="Y47" s="2"/>
      <c r="Z47" s="7">
        <f t="shared" si="35"/>
        <v>3.6238328145842658E-2</v>
      </c>
    </row>
    <row r="48" spans="1:26" s="24" customFormat="1" hidden="1" outlineLevel="2" x14ac:dyDescent="0.25">
      <c r="A48" s="26"/>
      <c r="B48" s="11" t="str">
        <f>CONCATENATE("          ", "6375", " - ", "OUTSIDE REPAIRS &amp; MAINTENANCE")</f>
        <v xml:space="preserve">          6375 - OUTSIDE REPAIRS &amp; MAINTENANCE</v>
      </c>
      <c r="C48" s="11"/>
      <c r="D48" s="6"/>
      <c r="E48" s="2"/>
      <c r="F48" s="7">
        <f t="shared" si="28"/>
        <v>0</v>
      </c>
      <c r="G48" s="2"/>
      <c r="H48" s="6">
        <v>727.51</v>
      </c>
      <c r="I48" s="2"/>
      <c r="J48" s="7">
        <f t="shared" si="29"/>
        <v>2.9397894937610643E-2</v>
      </c>
      <c r="K48" s="2"/>
      <c r="L48" s="6">
        <f t="shared" si="30"/>
        <v>-727.51</v>
      </c>
      <c r="M48" s="2"/>
      <c r="N48" s="7">
        <f t="shared" si="31"/>
        <v>-1</v>
      </c>
      <c r="O48" s="11"/>
      <c r="P48" s="6">
        <v>356.95</v>
      </c>
      <c r="Q48" s="2"/>
      <c r="R48" s="7">
        <f t="shared" si="32"/>
        <v>1.8574343791511929E-3</v>
      </c>
      <c r="S48" s="2"/>
      <c r="T48" s="6">
        <v>772.05</v>
      </c>
      <c r="U48" s="2"/>
      <c r="V48" s="7">
        <f t="shared" si="33"/>
        <v>4.5863954104323401E-3</v>
      </c>
      <c r="W48" s="2"/>
      <c r="X48" s="6">
        <f t="shared" si="34"/>
        <v>-415.09999999999997</v>
      </c>
      <c r="Y48" s="2"/>
      <c r="Z48" s="7">
        <f t="shared" si="35"/>
        <v>-0.537659478013082</v>
      </c>
    </row>
    <row r="49" spans="1:26" s="27" customFormat="1" outlineLevel="1" collapsed="1" x14ac:dyDescent="0.25">
      <c r="A49" s="25"/>
      <c r="B49" s="13" t="str">
        <f>CONCATENATE("     ","Royalty &amp; Commissions                             ")</f>
        <v xml:space="preserve">     Royalty &amp; Commissions                             </v>
      </c>
      <c r="C49" s="13"/>
      <c r="D49" s="1">
        <f>SUM(OSRRefD22_7x_0)</f>
        <v>9661.34</v>
      </c>
      <c r="E49" s="1"/>
      <c r="F49" s="5">
        <f t="shared" ref="F49:F54" si="36">IF(D$12=0,0,D49/D$12)</f>
        <v>0.40190274137859311</v>
      </c>
      <c r="G49" s="1"/>
      <c r="H49" s="1">
        <f>SUM(OSRRefH22_7x_0)</f>
        <v>7957.68</v>
      </c>
      <c r="I49" s="1"/>
      <c r="J49" s="5">
        <f t="shared" ref="J49:J54" si="37">IF(H$12=0,0,H49/H$12)</f>
        <v>0.32156127144248942</v>
      </c>
      <c r="K49" s="1"/>
      <c r="L49" s="1">
        <f t="shared" ref="L49:L54" si="38">+D49-H49</f>
        <v>1703.6599999999999</v>
      </c>
      <c r="M49" s="1"/>
      <c r="N49" s="5">
        <f t="shared" ref="N49:N54" si="39">IF(H49=0,0,L49/H49)</f>
        <v>0.21409003629198456</v>
      </c>
      <c r="O49" s="13"/>
      <c r="P49" s="1">
        <f>SUM(OSRRefP22_7x_0)</f>
        <v>15334.79</v>
      </c>
      <c r="Q49" s="1"/>
      <c r="R49" s="5">
        <f t="shared" ref="R49:R54" si="40">IF(P$12=0,0,P49/P$12)</f>
        <v>7.9796515318851166E-2</v>
      </c>
      <c r="S49" s="1"/>
      <c r="T49" s="1">
        <f>SUM(OSRRefT22_7x_0)</f>
        <v>13308.48</v>
      </c>
      <c r="U49" s="1"/>
      <c r="V49" s="5">
        <f t="shared" ref="V49:V54" si="41">IF(T$12=0,0,T49/T$12)</f>
        <v>7.9059583695137089E-2</v>
      </c>
      <c r="W49" s="1"/>
      <c r="X49" s="1">
        <f t="shared" ref="X49:X54" si="42">+P49-T49</f>
        <v>2026.3100000000013</v>
      </c>
      <c r="Y49" s="1"/>
      <c r="Z49" s="5">
        <f t="shared" ref="Z49:Z54" si="43">IF(T49=0,0,X49/T49)</f>
        <v>0.15225705715453616</v>
      </c>
    </row>
    <row r="50" spans="1:26" s="24" customFormat="1" hidden="1" outlineLevel="2" x14ac:dyDescent="0.25">
      <c r="A50" s="26"/>
      <c r="B50" s="11" t="str">
        <f>CONCATENATE("          ", "6254", " - ", "ROYALTY &amp; COMMISSIONS")</f>
        <v xml:space="preserve">          6254 - ROYALTY &amp; COMMISSIONS</v>
      </c>
      <c r="C50" s="11"/>
      <c r="D50" s="6">
        <v>9661.34</v>
      </c>
      <c r="E50" s="2"/>
      <c r="F50" s="7">
        <f t="shared" si="36"/>
        <v>0.40190274137859311</v>
      </c>
      <c r="G50" s="2"/>
      <c r="H50" s="6">
        <v>7957.68</v>
      </c>
      <c r="I50" s="2"/>
      <c r="J50" s="7">
        <f t="shared" si="37"/>
        <v>0.32156127144248942</v>
      </c>
      <c r="K50" s="2"/>
      <c r="L50" s="6">
        <f t="shared" si="38"/>
        <v>1703.6599999999999</v>
      </c>
      <c r="M50" s="2"/>
      <c r="N50" s="7">
        <f t="shared" si="39"/>
        <v>0.21409003629198456</v>
      </c>
      <c r="O50" s="11"/>
      <c r="P50" s="6">
        <v>15334.79</v>
      </c>
      <c r="Q50" s="2"/>
      <c r="R50" s="7">
        <f t="shared" si="40"/>
        <v>7.9796515318851166E-2</v>
      </c>
      <c r="S50" s="2"/>
      <c r="T50" s="6">
        <v>13308.48</v>
      </c>
      <c r="U50" s="2"/>
      <c r="V50" s="7">
        <f t="shared" si="41"/>
        <v>7.9059583695137089E-2</v>
      </c>
      <c r="W50" s="2"/>
      <c r="X50" s="6">
        <f t="shared" si="42"/>
        <v>2026.3100000000013</v>
      </c>
      <c r="Y50" s="2"/>
      <c r="Z50" s="7">
        <f t="shared" si="43"/>
        <v>0.15225705715453616</v>
      </c>
    </row>
    <row r="51" spans="1:26" s="27" customFormat="1" outlineLevel="1" collapsed="1" x14ac:dyDescent="0.25">
      <c r="A51" s="25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SUM(OSRRefD22_8x_0)</f>
        <v>152.26</v>
      </c>
      <c r="E51" s="1"/>
      <c r="F51" s="5">
        <f t="shared" si="36"/>
        <v>6.3338741212196842E-3</v>
      </c>
      <c r="G51" s="1"/>
      <c r="H51" s="1">
        <f>SUM(OSRRefH22_8x_0)</f>
        <v>153.88</v>
      </c>
      <c r="I51" s="1"/>
      <c r="J51" s="5">
        <f t="shared" si="37"/>
        <v>6.2181249371136144E-3</v>
      </c>
      <c r="K51" s="1"/>
      <c r="L51" s="1">
        <f t="shared" si="38"/>
        <v>-1.6200000000000045</v>
      </c>
      <c r="M51" s="1"/>
      <c r="N51" s="5">
        <f t="shared" si="39"/>
        <v>-1.0527683909539931E-2</v>
      </c>
      <c r="O51" s="13"/>
      <c r="P51" s="1">
        <f>SUM(OSRRefP22_8x_0)</f>
        <v>1156.5999999999999</v>
      </c>
      <c r="Q51" s="1"/>
      <c r="R51" s="5">
        <f t="shared" si="40"/>
        <v>6.0185140857998863E-3</v>
      </c>
      <c r="S51" s="1"/>
      <c r="T51" s="1">
        <f>SUM(OSRRefT22_8x_0)</f>
        <v>960.6</v>
      </c>
      <c r="U51" s="1"/>
      <c r="V51" s="5">
        <f t="shared" si="41"/>
        <v>5.7064845946004873E-3</v>
      </c>
      <c r="W51" s="1"/>
      <c r="X51" s="1">
        <f t="shared" si="42"/>
        <v>195.99999999999989</v>
      </c>
      <c r="Y51" s="1"/>
      <c r="Z51" s="5">
        <f t="shared" si="43"/>
        <v>0.20403914220278979</v>
      </c>
    </row>
    <row r="52" spans="1:26" s="24" customFormat="1" hidden="1" outlineLevel="2" x14ac:dyDescent="0.25">
      <c r="A52" s="26"/>
      <c r="B52" s="11" t="str">
        <f>CONCATENATE("          ", "6282", " - ", "JANITORIAL/EXTERMINATOR EXPENS")</f>
        <v xml:space="preserve">          6282 - JANITORIAL/EXTERMINATOR EXPENS</v>
      </c>
      <c r="C52" s="11"/>
      <c r="D52" s="6">
        <v>41</v>
      </c>
      <c r="E52" s="2"/>
      <c r="F52" s="7">
        <f t="shared" si="36"/>
        <v>1.7055617954157827E-3</v>
      </c>
      <c r="G52" s="2"/>
      <c r="H52" s="6">
        <v>38.5</v>
      </c>
      <c r="I52" s="2"/>
      <c r="J52" s="7">
        <f t="shared" si="37"/>
        <v>1.5557435019422547E-3</v>
      </c>
      <c r="K52" s="2"/>
      <c r="L52" s="6">
        <f t="shared" si="38"/>
        <v>2.5</v>
      </c>
      <c r="M52" s="2"/>
      <c r="N52" s="7">
        <f t="shared" si="39"/>
        <v>6.4935064935064929E-2</v>
      </c>
      <c r="O52" s="11"/>
      <c r="P52" s="6">
        <v>123</v>
      </c>
      <c r="Q52" s="2"/>
      <c r="R52" s="7">
        <f t="shared" si="40"/>
        <v>6.4004602503318876E-4</v>
      </c>
      <c r="S52" s="2"/>
      <c r="T52" s="6">
        <v>154</v>
      </c>
      <c r="U52" s="2"/>
      <c r="V52" s="7">
        <f t="shared" si="41"/>
        <v>9.1484345988806473E-4</v>
      </c>
      <c r="W52" s="2"/>
      <c r="X52" s="6">
        <f t="shared" si="42"/>
        <v>-31</v>
      </c>
      <c r="Y52" s="2"/>
      <c r="Z52" s="7">
        <f t="shared" si="43"/>
        <v>-0.20129870129870131</v>
      </c>
    </row>
    <row r="53" spans="1:26" s="24" customFormat="1" hidden="1" outlineLevel="2" x14ac:dyDescent="0.25">
      <c r="A53" s="26"/>
      <c r="B53" s="11" t="str">
        <f>CONCATENATE("          ", "6285", " - ", "JANITORIAL SERVICES")</f>
        <v xml:space="preserve">          6285 - JANITORIAL SERVICES</v>
      </c>
      <c r="C53" s="11"/>
      <c r="D53" s="6">
        <v>22.62</v>
      </c>
      <c r="E53" s="2"/>
      <c r="F53" s="7">
        <f t="shared" si="36"/>
        <v>9.4097092225134166E-4</v>
      </c>
      <c r="G53" s="2"/>
      <c r="H53" s="6">
        <v>21</v>
      </c>
      <c r="I53" s="2"/>
      <c r="J53" s="7">
        <f t="shared" si="37"/>
        <v>8.4858736469577525E-4</v>
      </c>
      <c r="K53" s="2"/>
      <c r="L53" s="6">
        <f t="shared" si="38"/>
        <v>1.620000000000001</v>
      </c>
      <c r="M53" s="2"/>
      <c r="N53" s="7">
        <f t="shared" si="39"/>
        <v>7.7142857142857194E-2</v>
      </c>
      <c r="O53" s="11"/>
      <c r="P53" s="6">
        <v>135.72</v>
      </c>
      <c r="Q53" s="2"/>
      <c r="R53" s="7">
        <f t="shared" si="40"/>
        <v>7.062361505488161E-4</v>
      </c>
      <c r="S53" s="2"/>
      <c r="T53" s="6">
        <v>126</v>
      </c>
      <c r="U53" s="2"/>
      <c r="V53" s="7">
        <f t="shared" si="41"/>
        <v>7.4850828536296204E-4</v>
      </c>
      <c r="W53" s="2"/>
      <c r="X53" s="6">
        <f t="shared" si="42"/>
        <v>9.7199999999999989</v>
      </c>
      <c r="Y53" s="2"/>
      <c r="Z53" s="7">
        <f t="shared" si="43"/>
        <v>7.7142857142857138E-2</v>
      </c>
    </row>
    <row r="54" spans="1:26" s="24" customFormat="1" hidden="1" outlineLevel="2" x14ac:dyDescent="0.25">
      <c r="A54" s="26"/>
      <c r="B54" s="11" t="str">
        <f>CONCATENATE("          ", "6286", " - ", "LAUNDRY EXPENSE")</f>
        <v xml:space="preserve">          6286 - LAUNDRY EXPENSE</v>
      </c>
      <c r="C54" s="11"/>
      <c r="D54" s="6">
        <v>88.64</v>
      </c>
      <c r="E54" s="2"/>
      <c r="F54" s="7">
        <f t="shared" si="36"/>
        <v>3.6873414035525605E-3</v>
      </c>
      <c r="G54" s="2"/>
      <c r="H54" s="6">
        <v>94.38</v>
      </c>
      <c r="I54" s="2"/>
      <c r="J54" s="7">
        <f t="shared" si="37"/>
        <v>3.8137940704755843E-3</v>
      </c>
      <c r="K54" s="2"/>
      <c r="L54" s="6">
        <f t="shared" si="38"/>
        <v>-5.7399999999999949</v>
      </c>
      <c r="M54" s="2"/>
      <c r="N54" s="7">
        <f t="shared" si="39"/>
        <v>-6.0817969908878951E-2</v>
      </c>
      <c r="O54" s="11"/>
      <c r="P54" s="6">
        <v>897.88</v>
      </c>
      <c r="Q54" s="2"/>
      <c r="R54" s="7">
        <f t="shared" si="40"/>
        <v>4.6722319102178826E-3</v>
      </c>
      <c r="S54" s="2"/>
      <c r="T54" s="6">
        <v>680.6</v>
      </c>
      <c r="U54" s="2"/>
      <c r="V54" s="7">
        <f t="shared" si="41"/>
        <v>4.0431328493494602E-3</v>
      </c>
      <c r="W54" s="2"/>
      <c r="X54" s="6">
        <f t="shared" si="42"/>
        <v>217.27999999999997</v>
      </c>
      <c r="Y54" s="2"/>
      <c r="Z54" s="7">
        <f t="shared" si="43"/>
        <v>0.31924772259770784</v>
      </c>
    </row>
    <row r="55" spans="1:26" s="27" customFormat="1" outlineLevel="1" collapsed="1" x14ac:dyDescent="0.25">
      <c r="A55" s="25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SUM(OSRRefD22_9x_0)</f>
        <v>506.92</v>
      </c>
      <c r="E55" s="1"/>
      <c r="F55" s="5">
        <f t="shared" ref="F55:F60" si="44">IF(D$12=0,0,D55/D$12)</f>
        <v>2.1087399642248015E-2</v>
      </c>
      <c r="G55" s="1"/>
      <c r="H55" s="1">
        <f>SUM(OSRRefH22_9x_0)</f>
        <v>-20</v>
      </c>
      <c r="I55" s="1"/>
      <c r="J55" s="5">
        <f t="shared" ref="J55:J60" si="45">IF(H$12=0,0,H55/H$12)</f>
        <v>-8.0817844256740503E-4</v>
      </c>
      <c r="K55" s="1"/>
      <c r="L55" s="1">
        <f t="shared" ref="L55:L60" si="46">+D55-H55</f>
        <v>526.92000000000007</v>
      </c>
      <c r="M55" s="1"/>
      <c r="N55" s="5">
        <f t="shared" ref="N55:N60" si="47">IF(H55=0,0,L55/H55)</f>
        <v>-26.346000000000004</v>
      </c>
      <c r="O55" s="13"/>
      <c r="P55" s="1">
        <f>SUM(OSRRefP22_9x_0)</f>
        <v>6139.9900000000007</v>
      </c>
      <c r="Q55" s="1"/>
      <c r="R55" s="5">
        <f t="shared" ref="R55:R60" si="48">IF(P$12=0,0,P55/P$12)</f>
        <v>3.1950212953199421E-2</v>
      </c>
      <c r="S55" s="1"/>
      <c r="T55" s="1">
        <f>SUM(OSRRefT22_9x_0)</f>
        <v>3011.64</v>
      </c>
      <c r="U55" s="1"/>
      <c r="V55" s="5">
        <f t="shared" ref="V55:V60" si="49">IF(T$12=0,0,T55/T$12)</f>
        <v>1.7890773750242152E-2</v>
      </c>
      <c r="W55" s="1"/>
      <c r="X55" s="1">
        <f t="shared" ref="X55:X60" si="50">+P55-T55</f>
        <v>3128.3500000000008</v>
      </c>
      <c r="Y55" s="1"/>
      <c r="Z55" s="5">
        <f t="shared" ref="Z55:Z60" si="51">IF(T55=0,0,X55/T55)</f>
        <v>1.0387529718027391</v>
      </c>
    </row>
    <row r="56" spans="1:26" s="24" customFormat="1" hidden="1" outlineLevel="2" x14ac:dyDescent="0.25">
      <c r="A56" s="26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44"/>
        <v>0</v>
      </c>
      <c r="G56" s="2"/>
      <c r="H56" s="6"/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>
        <v>354.71</v>
      </c>
      <c r="Q56" s="2"/>
      <c r="R56" s="7">
        <f t="shared" si="48"/>
        <v>1.8457782564188811E-3</v>
      </c>
      <c r="S56" s="2"/>
      <c r="T56" s="6"/>
      <c r="U56" s="2"/>
      <c r="V56" s="7">
        <f t="shared" si="49"/>
        <v>0</v>
      </c>
      <c r="W56" s="2"/>
      <c r="X56" s="6">
        <f t="shared" si="50"/>
        <v>354.71</v>
      </c>
      <c r="Y56" s="2"/>
      <c r="Z56" s="7">
        <f t="shared" si="51"/>
        <v>0</v>
      </c>
    </row>
    <row r="57" spans="1:26" s="24" customFormat="1" hidden="1" outlineLevel="2" x14ac:dyDescent="0.25">
      <c r="A57" s="26"/>
      <c r="B57" s="11" t="str">
        <f>CONCATENATE("          ", "6237", " - ", "JANITORIAL SUPPLIES")</f>
        <v xml:space="preserve">          6237 - JANITORIAL SUPPLIES</v>
      </c>
      <c r="C57" s="11"/>
      <c r="D57" s="6"/>
      <c r="E57" s="2"/>
      <c r="F57" s="7">
        <f t="shared" si="44"/>
        <v>0</v>
      </c>
      <c r="G57" s="2"/>
      <c r="H57" s="6"/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>
        <v>20.93</v>
      </c>
      <c r="Q57" s="2"/>
      <c r="R57" s="7">
        <f t="shared" si="48"/>
        <v>1.0891189678003772E-4</v>
      </c>
      <c r="S57" s="2"/>
      <c r="T57" s="6">
        <v>361.04</v>
      </c>
      <c r="U57" s="2"/>
      <c r="V57" s="7">
        <f t="shared" si="49"/>
        <v>2.1447732646622526E-3</v>
      </c>
      <c r="W57" s="2"/>
      <c r="X57" s="6">
        <f t="shared" si="50"/>
        <v>-340.11</v>
      </c>
      <c r="Y57" s="2"/>
      <c r="Z57" s="7">
        <f t="shared" si="51"/>
        <v>-0.94202858409040546</v>
      </c>
    </row>
    <row r="58" spans="1:26" s="24" customFormat="1" hidden="1" outlineLevel="2" x14ac:dyDescent="0.25">
      <c r="A58" s="26"/>
      <c r="B58" s="11" t="str">
        <f>CONCATENATE("          ", "6243", " - ", "PAPER SUPPLIES")</f>
        <v xml:space="preserve">          6243 - PAPER SUPPLIES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45.85</v>
      </c>
      <c r="U58" s="2"/>
      <c r="V58" s="7">
        <f t="shared" si="49"/>
        <v>2.7237384828485568E-4</v>
      </c>
      <c r="W58" s="2"/>
      <c r="X58" s="6">
        <f t="shared" si="50"/>
        <v>-45.85</v>
      </c>
      <c r="Y58" s="2"/>
      <c r="Z58" s="7">
        <f t="shared" si="51"/>
        <v>-1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>
        <v>506.92</v>
      </c>
      <c r="E59" s="2"/>
      <c r="F59" s="7">
        <f t="shared" si="44"/>
        <v>2.1087399642248015E-2</v>
      </c>
      <c r="G59" s="2"/>
      <c r="H59" s="6">
        <v>-20</v>
      </c>
      <c r="I59" s="2"/>
      <c r="J59" s="7">
        <f t="shared" si="45"/>
        <v>-8.0817844256740503E-4</v>
      </c>
      <c r="K59" s="2"/>
      <c r="L59" s="6">
        <f t="shared" si="46"/>
        <v>526.92000000000007</v>
      </c>
      <c r="M59" s="2"/>
      <c r="N59" s="7">
        <f t="shared" si="47"/>
        <v>-26.346000000000004</v>
      </c>
      <c r="O59" s="11"/>
      <c r="P59" s="6">
        <v>5764.35</v>
      </c>
      <c r="Q59" s="2"/>
      <c r="R59" s="7">
        <f t="shared" si="48"/>
        <v>2.9995522800000503E-2</v>
      </c>
      <c r="S59" s="2"/>
      <c r="T59" s="6">
        <v>2416.88</v>
      </c>
      <c r="U59" s="2"/>
      <c r="V59" s="7">
        <f t="shared" si="49"/>
        <v>1.4357577021651078E-2</v>
      </c>
      <c r="W59" s="2"/>
      <c r="X59" s="6">
        <f t="shared" si="50"/>
        <v>3347.4700000000003</v>
      </c>
      <c r="Y59" s="2"/>
      <c r="Z59" s="7">
        <f t="shared" si="51"/>
        <v>1.3850377345999803</v>
      </c>
    </row>
    <row r="60" spans="1:26" s="24" customFormat="1" hidden="1" outlineLevel="2" x14ac:dyDescent="0.25">
      <c r="A60" s="26"/>
      <c r="B60" s="11" t="str">
        <f>CONCATENATE("          ", "6248", " - ", "UNIFORMS")</f>
        <v xml:space="preserve">          6248 - UNIFORMS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187.87</v>
      </c>
      <c r="U60" s="2"/>
      <c r="V60" s="7">
        <f t="shared" si="49"/>
        <v>1.1160496156439657E-3</v>
      </c>
      <c r="W60" s="2"/>
      <c r="X60" s="6">
        <f t="shared" si="50"/>
        <v>-187.87</v>
      </c>
      <c r="Y60" s="2"/>
      <c r="Z60" s="7">
        <f t="shared" si="51"/>
        <v>-1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52.5</v>
      </c>
      <c r="E61" s="1"/>
      <c r="F61" s="5">
        <f t="shared" ref="F61:F66" si="52">IF(D$12=0,0,D61/D$12)</f>
        <v>2.1839510794958192E-3</v>
      </c>
      <c r="G61" s="1"/>
      <c r="H61" s="1">
        <f>SUM(OSRRefH22_10x_0)</f>
        <v>52.5</v>
      </c>
      <c r="I61" s="1"/>
      <c r="J61" s="5">
        <f t="shared" ref="J61:J66" si="53">IF(H$12=0,0,H61/H$12)</f>
        <v>2.1214684117394382E-3</v>
      </c>
      <c r="K61" s="1"/>
      <c r="L61" s="1">
        <f t="shared" ref="L61:L66" si="54">+D61-H61</f>
        <v>0</v>
      </c>
      <c r="M61" s="1"/>
      <c r="N61" s="5">
        <f t="shared" ref="N61:N66" si="55">IF(H61=0,0,L61/H61)</f>
        <v>0</v>
      </c>
      <c r="O61" s="13"/>
      <c r="P61" s="1">
        <f>SUM(OSRRefP22_10x_0)</f>
        <v>330</v>
      </c>
      <c r="Q61" s="1"/>
      <c r="R61" s="5">
        <f t="shared" ref="R61:R66" si="56">IF(P$12=0,0,P61/P$12)</f>
        <v>1.7171966525280674E-3</v>
      </c>
      <c r="S61" s="1"/>
      <c r="T61" s="1">
        <f>SUM(OSRRefT22_10x_0)</f>
        <v>315</v>
      </c>
      <c r="U61" s="1"/>
      <c r="V61" s="5">
        <f t="shared" ref="V61:V66" si="57">IF(T$12=0,0,T61/T$12)</f>
        <v>1.8712707134074052E-3</v>
      </c>
      <c r="W61" s="1"/>
      <c r="X61" s="1">
        <f t="shared" ref="X61:X66" si="58">+P61-T61</f>
        <v>15</v>
      </c>
      <c r="Y61" s="1"/>
      <c r="Z61" s="5">
        <f t="shared" ref="Z61:Z66" si="59">IF(T61=0,0,X61/T61)</f>
        <v>4.7619047619047616E-2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52.5</v>
      </c>
      <c r="E62" s="2"/>
      <c r="F62" s="7">
        <f t="shared" si="52"/>
        <v>2.1839510794958192E-3</v>
      </c>
      <c r="G62" s="2"/>
      <c r="H62" s="6">
        <v>52.5</v>
      </c>
      <c r="I62" s="2"/>
      <c r="J62" s="7">
        <f t="shared" si="53"/>
        <v>2.1214684117394382E-3</v>
      </c>
      <c r="K62" s="2"/>
      <c r="L62" s="6">
        <f t="shared" si="54"/>
        <v>0</v>
      </c>
      <c r="M62" s="2"/>
      <c r="N62" s="7">
        <f t="shared" si="55"/>
        <v>0</v>
      </c>
      <c r="O62" s="11"/>
      <c r="P62" s="6">
        <v>330</v>
      </c>
      <c r="Q62" s="2"/>
      <c r="R62" s="7">
        <f t="shared" si="56"/>
        <v>1.7171966525280674E-3</v>
      </c>
      <c r="S62" s="2"/>
      <c r="T62" s="6">
        <v>315</v>
      </c>
      <c r="U62" s="2"/>
      <c r="V62" s="7">
        <f t="shared" si="57"/>
        <v>1.8712707134074052E-3</v>
      </c>
      <c r="W62" s="2"/>
      <c r="X62" s="6">
        <f t="shared" si="58"/>
        <v>15</v>
      </c>
      <c r="Y62" s="2"/>
      <c r="Z62" s="7">
        <f t="shared" si="59"/>
        <v>4.7619047619047616E-2</v>
      </c>
    </row>
    <row r="63" spans="1:26" s="27" customFormat="1" outlineLevel="1" collapsed="1" x14ac:dyDescent="0.25">
      <c r="A63" s="25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SUM(OSRRefD22_11x_0)</f>
        <v>0</v>
      </c>
      <c r="E63" s="1"/>
      <c r="F63" s="5">
        <f t="shared" si="52"/>
        <v>0</v>
      </c>
      <c r="G63" s="1"/>
      <c r="H63" s="1">
        <f>SUM(OSRRefH22_11x_0)</f>
        <v>0</v>
      </c>
      <c r="I63" s="1"/>
      <c r="J63" s="5">
        <f t="shared" si="53"/>
        <v>0</v>
      </c>
      <c r="K63" s="1"/>
      <c r="L63" s="1">
        <f t="shared" si="54"/>
        <v>0</v>
      </c>
      <c r="M63" s="1"/>
      <c r="N63" s="5">
        <f t="shared" si="55"/>
        <v>0</v>
      </c>
      <c r="O63" s="13"/>
      <c r="P63" s="1">
        <f>SUM(OSRRefP22_11x_0)</f>
        <v>0</v>
      </c>
      <c r="Q63" s="1"/>
      <c r="R63" s="5">
        <f t="shared" si="56"/>
        <v>0</v>
      </c>
      <c r="S63" s="1"/>
      <c r="T63" s="1">
        <f>SUM(OSRRefT22_11x_0)</f>
        <v>60</v>
      </c>
      <c r="U63" s="1"/>
      <c r="V63" s="5">
        <f t="shared" si="57"/>
        <v>3.5643251683950577E-4</v>
      </c>
      <c r="W63" s="1"/>
      <c r="X63" s="1">
        <f t="shared" si="58"/>
        <v>-60</v>
      </c>
      <c r="Y63" s="1"/>
      <c r="Z63" s="5">
        <f t="shared" si="59"/>
        <v>-1</v>
      </c>
    </row>
    <row r="64" spans="1:26" s="24" customFormat="1" hidden="1" outlineLevel="2" x14ac:dyDescent="0.25">
      <c r="A64" s="26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52"/>
        <v>0</v>
      </c>
      <c r="G64" s="2"/>
      <c r="H64" s="6"/>
      <c r="I64" s="2"/>
      <c r="J64" s="7">
        <f t="shared" si="53"/>
        <v>0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/>
      <c r="Q64" s="2"/>
      <c r="R64" s="7">
        <f t="shared" si="56"/>
        <v>0</v>
      </c>
      <c r="S64" s="2"/>
      <c r="T64" s="6">
        <v>60</v>
      </c>
      <c r="U64" s="2"/>
      <c r="V64" s="7">
        <f t="shared" si="57"/>
        <v>3.5643251683950577E-4</v>
      </c>
      <c r="W64" s="2"/>
      <c r="X64" s="6">
        <f t="shared" si="58"/>
        <v>-60</v>
      </c>
      <c r="Y64" s="2"/>
      <c r="Z64" s="7">
        <f t="shared" si="59"/>
        <v>-1</v>
      </c>
    </row>
    <row r="65" spans="1:26" s="27" customFormat="1" outlineLevel="1" collapsed="1" x14ac:dyDescent="0.25">
      <c r="A65" s="25"/>
      <c r="B65" s="13" t="str">
        <f>CONCATENATE("     ","Utilities                                         ")</f>
        <v xml:space="preserve">     Utilities                                         </v>
      </c>
      <c r="C65" s="13"/>
      <c r="D65" s="1">
        <f>SUM(OSRRefD22_12x_0)</f>
        <v>23</v>
      </c>
      <c r="E65" s="1"/>
      <c r="F65" s="5">
        <f t="shared" si="52"/>
        <v>9.5677856816007317E-4</v>
      </c>
      <c r="G65" s="1"/>
      <c r="H65" s="1">
        <f>SUM(OSRRefH22_12x_0)</f>
        <v>136</v>
      </c>
      <c r="I65" s="1"/>
      <c r="J65" s="5">
        <f t="shared" si="53"/>
        <v>5.4956134094583543E-3</v>
      </c>
      <c r="K65" s="1"/>
      <c r="L65" s="1">
        <f t="shared" si="54"/>
        <v>-113</v>
      </c>
      <c r="M65" s="1"/>
      <c r="N65" s="5">
        <f t="shared" si="55"/>
        <v>-0.83088235294117652</v>
      </c>
      <c r="O65" s="13"/>
      <c r="P65" s="1">
        <f>SUM(OSRRefP22_12x_0)</f>
        <v>-750.88</v>
      </c>
      <c r="Q65" s="1"/>
      <c r="R65" s="5">
        <f t="shared" si="56"/>
        <v>-3.9072988559099246E-3</v>
      </c>
      <c r="S65" s="1"/>
      <c r="T65" s="1">
        <f>SUM(OSRRefT22_12x_0)</f>
        <v>97.11</v>
      </c>
      <c r="U65" s="1"/>
      <c r="V65" s="5">
        <f t="shared" si="57"/>
        <v>5.7688602850474011E-4</v>
      </c>
      <c r="W65" s="1"/>
      <c r="X65" s="1">
        <f t="shared" si="58"/>
        <v>-847.99</v>
      </c>
      <c r="Y65" s="1"/>
      <c r="Z65" s="5">
        <f t="shared" si="59"/>
        <v>-8.7322623828647927</v>
      </c>
    </row>
    <row r="66" spans="1:26" s="24" customFormat="1" hidden="1" outlineLevel="2" x14ac:dyDescent="0.25">
      <c r="A66" s="26"/>
      <c r="B66" s="11" t="str">
        <f>CONCATENATE("          ", "6274", " - ", "UTILITIES")</f>
        <v xml:space="preserve">          6274 - UTILITIES</v>
      </c>
      <c r="C66" s="11"/>
      <c r="D66" s="6">
        <v>23</v>
      </c>
      <c r="E66" s="2"/>
      <c r="F66" s="7">
        <f t="shared" si="52"/>
        <v>9.5677856816007317E-4</v>
      </c>
      <c r="G66" s="2"/>
      <c r="H66" s="6">
        <v>136</v>
      </c>
      <c r="I66" s="2"/>
      <c r="J66" s="7">
        <f t="shared" si="53"/>
        <v>5.4956134094583543E-3</v>
      </c>
      <c r="K66" s="2"/>
      <c r="L66" s="6">
        <f t="shared" si="54"/>
        <v>-113</v>
      </c>
      <c r="M66" s="2"/>
      <c r="N66" s="7">
        <f t="shared" si="55"/>
        <v>-0.83088235294117652</v>
      </c>
      <c r="O66" s="11"/>
      <c r="P66" s="6">
        <v>-750.88</v>
      </c>
      <c r="Q66" s="2"/>
      <c r="R66" s="7">
        <f t="shared" si="56"/>
        <v>-3.9072988559099246E-3</v>
      </c>
      <c r="S66" s="2"/>
      <c r="T66" s="6">
        <v>97.11</v>
      </c>
      <c r="U66" s="2"/>
      <c r="V66" s="7">
        <f t="shared" si="57"/>
        <v>5.7688602850474011E-4</v>
      </c>
      <c r="W66" s="2"/>
      <c r="X66" s="6">
        <f t="shared" si="58"/>
        <v>-847.99</v>
      </c>
      <c r="Y66" s="2"/>
      <c r="Z66" s="7">
        <f t="shared" si="59"/>
        <v>-8.7322623828647927</v>
      </c>
    </row>
    <row r="67" spans="1:26" s="61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8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0">
        <f>+D20-D22+D68</f>
        <v>-2706.49</v>
      </c>
      <c r="E70" s="14"/>
      <c r="F70" s="21">
        <f>IF(D$12=0,0,D70/D$12)</f>
        <v>-0.11258746204085028</v>
      </c>
      <c r="G70" s="14"/>
      <c r="H70" s="20">
        <f>+H20-H22+H68</f>
        <v>2142.9000000000015</v>
      </c>
      <c r="I70" s="14"/>
      <c r="J70" s="21">
        <f>IF(H$12=0,0,H70/H$12)</f>
        <v>8.6592279228884669E-2</v>
      </c>
      <c r="K70" s="15"/>
      <c r="L70" s="20">
        <f>+D70-H70</f>
        <v>-4849.3900000000012</v>
      </c>
      <c r="M70" s="15"/>
      <c r="N70" s="21">
        <f>IF(H70=0,0,L70/H70)</f>
        <v>-2.2630034065985338</v>
      </c>
      <c r="O70" s="28"/>
      <c r="P70" s="20">
        <f>+P20-P22+P68</f>
        <v>19162.790000000008</v>
      </c>
      <c r="Q70" s="14"/>
      <c r="R70" s="21">
        <f>IF(P$12=0,0,P70/P$12)</f>
        <v>9.9715996488176778E-2</v>
      </c>
      <c r="S70" s="14"/>
      <c r="T70" s="20">
        <f>+T20-T22+T68</f>
        <v>40993.019999999997</v>
      </c>
      <c r="U70" s="14"/>
      <c r="V70" s="21">
        <f>IF(T$12=0,0,T70/T$12)</f>
        <v>0.24352075485753658</v>
      </c>
      <c r="W70" s="15"/>
      <c r="X70" s="20">
        <f>+P70-T70</f>
        <v>-21830.229999999989</v>
      </c>
      <c r="Y70" s="15"/>
      <c r="Z70" s="21">
        <f>IF(T70=0,0,X70/T70)</f>
        <v>-0.53253529503315422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2951.91</v>
      </c>
      <c r="E72" s="4"/>
      <c r="F72" s="12">
        <f>IF(D$12=0,0,D72/D$12)</f>
        <v>0.12279670535380006</v>
      </c>
      <c r="G72" s="4"/>
      <c r="H72" s="4">
        <v>3057.22</v>
      </c>
      <c r="I72" s="4"/>
      <c r="J72" s="12">
        <f>IF(H$12=0,0,H72/H$12)</f>
        <v>0.1235389649092961</v>
      </c>
      <c r="K72" s="4"/>
      <c r="L72" s="4">
        <f>+D72-H72</f>
        <v>-105.30999999999995</v>
      </c>
      <c r="M72" s="4"/>
      <c r="N72" s="12">
        <f>IF(H72=0,0,L72/H72)</f>
        <v>-3.4446327055298591E-2</v>
      </c>
      <c r="O72" s="10"/>
      <c r="P72" s="4">
        <v>20756.240000000002</v>
      </c>
      <c r="Q72" s="4"/>
      <c r="R72" s="12">
        <f>IF(P$12=0,0,P72/P$12)</f>
        <v>0.10800771468808841</v>
      </c>
      <c r="S72" s="4"/>
      <c r="T72" s="4">
        <v>18165.870000000003</v>
      </c>
      <c r="U72" s="4"/>
      <c r="V72" s="12">
        <f>IF(T$12=0,0,T72/T$12)</f>
        <v>0.10791511274465455</v>
      </c>
      <c r="W72" s="4"/>
      <c r="X72" s="4">
        <f>+P72-T72</f>
        <v>2590.369999999999</v>
      </c>
      <c r="Y72" s="4"/>
      <c r="Z72" s="12">
        <f>IF(T72=0,0,X72/T72)</f>
        <v>0.1425954275793011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2">
        <f>+D70-D72</f>
        <v>-5658.4</v>
      </c>
      <c r="E74" s="14"/>
      <c r="F74" s="30">
        <f>IF(D$12=0,0,D74/D$12)</f>
        <v>-0.23538416739465035</v>
      </c>
      <c r="G74" s="14"/>
      <c r="H74" s="32">
        <f>+H70-H72</f>
        <v>-914.31999999999834</v>
      </c>
      <c r="I74" s="14"/>
      <c r="J74" s="30">
        <f>IF(H$12=0,0,H74/H$12)</f>
        <v>-3.6946685680411422E-2</v>
      </c>
      <c r="K74" s="15"/>
      <c r="L74" s="32">
        <f>D74-H74</f>
        <v>-4744.0800000000017</v>
      </c>
      <c r="M74" s="15"/>
      <c r="N74" s="30">
        <f>IF(H74=0,0,L74/H74)</f>
        <v>5.1886429258902904</v>
      </c>
      <c r="O74" s="28"/>
      <c r="P74" s="32">
        <f>+P70-P72</f>
        <v>-1593.4499999999935</v>
      </c>
      <c r="Q74" s="14"/>
      <c r="R74" s="30">
        <f>IF(P$12=0,0,P74/P$12)</f>
        <v>-8.2917181999116289E-3</v>
      </c>
      <c r="S74" s="14"/>
      <c r="T74" s="32">
        <f>+T70-T72</f>
        <v>22827.149999999994</v>
      </c>
      <c r="U74" s="14"/>
      <c r="V74" s="30">
        <f>IF(T$12=0,0,T74/T$12)</f>
        <v>0.13560564211288204</v>
      </c>
      <c r="W74" s="15"/>
      <c r="X74" s="32">
        <f>P74-T74</f>
        <v>-24420.599999999988</v>
      </c>
      <c r="Y74" s="15"/>
      <c r="Z74" s="30">
        <f>IF(T74=0,0,X74/T74)</f>
        <v>-1.0698050347940935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6">
        <f>SUM(D74:D76)</f>
        <v>-5658.4</v>
      </c>
      <c r="E77" s="14"/>
      <c r="F77" s="31">
        <f>IF(D$12=0,0,D77/D$12)</f>
        <v>-0.23538416739465035</v>
      </c>
      <c r="G77" s="14"/>
      <c r="H77" s="36">
        <f>SUM(H74:H76)</f>
        <v>-914.31999999999834</v>
      </c>
      <c r="I77" s="14"/>
      <c r="J77" s="31">
        <f>IF(H$12=0,0,H77/H$12)</f>
        <v>-3.6946685680411422E-2</v>
      </c>
      <c r="K77" s="15"/>
      <c r="L77" s="36">
        <f>+D77-H77</f>
        <v>-4744.0800000000017</v>
      </c>
      <c r="M77" s="15"/>
      <c r="N77" s="31">
        <f>IF(H77=0,0,L77/H77)</f>
        <v>5.1886429258902904</v>
      </c>
      <c r="O77" s="28"/>
      <c r="P77" s="36">
        <f>SUM(P74:P76)</f>
        <v>-1593.4499999999935</v>
      </c>
      <c r="Q77" s="14"/>
      <c r="R77" s="31">
        <f>IF(P$12=0,0,P77/P$12)</f>
        <v>-8.2917181999116289E-3</v>
      </c>
      <c r="S77" s="14"/>
      <c r="T77" s="36">
        <f>SUM(T74:T76)</f>
        <v>22827.149999999994</v>
      </c>
      <c r="U77" s="14"/>
      <c r="V77" s="31">
        <f>IF(T$12=0,0,T77/T$12)</f>
        <v>0.13560564211288204</v>
      </c>
      <c r="W77" s="15"/>
      <c r="X77" s="36">
        <f>+P77-T77</f>
        <v>-24420.599999999988</v>
      </c>
      <c r="Y77" s="15"/>
      <c r="Z77" s="31">
        <f>IF(T77=0,0,X77/T77)</f>
        <v>-1.0698050347940935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2">
        <v>43847.453830555554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6" t="s">
        <v>313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4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","322", " - ", "Beach Hut")</f>
        <v>Department 322 - Beach Hut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70553.149999999994</v>
      </c>
      <c r="E12" s="4"/>
      <c r="F12" s="12"/>
      <c r="G12" s="4"/>
      <c r="H12" s="4">
        <f>SUM(OSRRefH13x_0)</f>
        <v>85000.430000000008</v>
      </c>
      <c r="I12" s="4"/>
      <c r="J12" s="12"/>
      <c r="K12" s="4"/>
      <c r="L12" s="4">
        <f t="shared" ref="L12:L14" si="0">+D12-H12</f>
        <v>-14447.280000000013</v>
      </c>
      <c r="M12" s="4"/>
      <c r="N12" s="12">
        <f t="shared" ref="N12:N14" si="1">IF(H12=0,0,L12/H12)</f>
        <v>-0.16996714016623224</v>
      </c>
      <c r="O12" s="10"/>
      <c r="P12" s="4">
        <f>SUM(OSRRefP13x_0)</f>
        <v>485614.97</v>
      </c>
      <c r="Q12" s="4"/>
      <c r="R12" s="12"/>
      <c r="S12" s="4"/>
      <c r="T12" s="4">
        <f>SUM(OSRRefT13x_0)</f>
        <v>471795.30000000005</v>
      </c>
      <c r="U12" s="4"/>
      <c r="V12" s="12"/>
      <c r="W12" s="4"/>
      <c r="X12" s="4">
        <f t="shared" ref="X12:X14" si="2">+P12-T12</f>
        <v>13819.669999999925</v>
      </c>
      <c r="Y12" s="4"/>
      <c r="Z12" s="12">
        <f t="shared" ref="Z12:Z14" si="3">IF(T12=0,0,X12/T12)</f>
        <v>2.9291665262455822E-2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--10073.39</f>
        <v>10073.39</v>
      </c>
      <c r="E13" s="2"/>
      <c r="F13" s="19"/>
      <c r="G13" s="2"/>
      <c r="H13" s="2">
        <f>--15528.88</f>
        <v>15528.88</v>
      </c>
      <c r="I13" s="2"/>
      <c r="J13" s="19"/>
      <c r="K13" s="2"/>
      <c r="L13" s="2">
        <f t="shared" si="0"/>
        <v>-5455.49</v>
      </c>
      <c r="M13" s="2"/>
      <c r="N13" s="19">
        <f t="shared" si="1"/>
        <v>-0.35131252221666986</v>
      </c>
      <c r="O13" s="11"/>
      <c r="P13" s="2">
        <f>--63131.47</f>
        <v>63131.47</v>
      </c>
      <c r="Q13" s="2"/>
      <c r="R13" s="19"/>
      <c r="S13" s="2"/>
      <c r="T13" s="2">
        <f>--83604.4</f>
        <v>83604.399999999994</v>
      </c>
      <c r="U13" s="2"/>
      <c r="V13" s="19"/>
      <c r="W13" s="2"/>
      <c r="X13" s="2">
        <f t="shared" si="2"/>
        <v>-20472.929999999993</v>
      </c>
      <c r="Y13" s="2"/>
      <c r="Z13" s="19">
        <f t="shared" si="3"/>
        <v>-0.24487861882867401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--60479.76</f>
        <v>60479.76</v>
      </c>
      <c r="E14" s="2"/>
      <c r="F14" s="19"/>
      <c r="G14" s="2"/>
      <c r="H14" s="2">
        <f>--69471.55</f>
        <v>69471.55</v>
      </c>
      <c r="I14" s="2"/>
      <c r="J14" s="19"/>
      <c r="K14" s="2"/>
      <c r="L14" s="2">
        <f t="shared" si="0"/>
        <v>-8991.7900000000009</v>
      </c>
      <c r="M14" s="2"/>
      <c r="N14" s="19">
        <f t="shared" si="1"/>
        <v>-0.12943125639200509</v>
      </c>
      <c r="O14" s="11"/>
      <c r="P14" s="2">
        <f>--422483.5</f>
        <v>422483.5</v>
      </c>
      <c r="Q14" s="2"/>
      <c r="R14" s="19"/>
      <c r="S14" s="2"/>
      <c r="T14" s="2">
        <f>--388190.9</f>
        <v>388190.9</v>
      </c>
      <c r="U14" s="2"/>
      <c r="V14" s="19"/>
      <c r="W14" s="2"/>
      <c r="X14" s="2">
        <f t="shared" si="2"/>
        <v>34292.599999999977</v>
      </c>
      <c r="Y14" s="2"/>
      <c r="Z14" s="19">
        <f t="shared" si="3"/>
        <v>8.8339525733344013E-2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35676.959999999999</v>
      </c>
      <c r="E16" s="4"/>
      <c r="F16" s="12">
        <f t="shared" ref="F16:F18" si="4">IF(D$12=0,0,D16/D$12)</f>
        <v>0.50567494151572256</v>
      </c>
      <c r="G16" s="4"/>
      <c r="H16" s="4">
        <f>SUM(OSRRefH16x_0)</f>
        <v>38067.99</v>
      </c>
      <c r="I16" s="4"/>
      <c r="J16" s="12">
        <f t="shared" ref="J16:J18" si="5">IF(H$12=0,0,H16/H$12)</f>
        <v>0.44785644025565513</v>
      </c>
      <c r="K16" s="4"/>
      <c r="L16" s="4">
        <f t="shared" ref="L16:L18" si="6">+D16-H16</f>
        <v>-2391.0299999999988</v>
      </c>
      <c r="M16" s="4"/>
      <c r="N16" s="12">
        <f t="shared" ref="N16:N18" si="7">IF(H16=0,0,L16/H16)</f>
        <v>-6.2809462753352599E-2</v>
      </c>
      <c r="O16" s="10"/>
      <c r="P16" s="4">
        <f>SUM(OSRRefP16x_0)</f>
        <v>247036.13</v>
      </c>
      <c r="Q16" s="4"/>
      <c r="R16" s="12">
        <f t="shared" ref="R16:R18" si="8">IF(P$12=0,0,P16/P$12)</f>
        <v>0.50870781434106127</v>
      </c>
      <c r="S16" s="4"/>
      <c r="T16" s="4">
        <f>SUM(OSRRefT16x_0)</f>
        <v>222889.34</v>
      </c>
      <c r="U16" s="4"/>
      <c r="V16" s="12">
        <f t="shared" ref="V16:V18" si="9">IF(T$12=0,0,T16/T$12)</f>
        <v>0.4724280636114857</v>
      </c>
      <c r="W16" s="4"/>
      <c r="X16" s="4">
        <f t="shared" ref="X16:X18" si="10">+P16-T16</f>
        <v>24146.790000000008</v>
      </c>
      <c r="Y16" s="4"/>
      <c r="Z16" s="12">
        <f t="shared" ref="Z16:Z18" si="11">IF(T16=0,0,X16/T16)</f>
        <v>0.10833532909200597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27088.449999999997</v>
      </c>
      <c r="E17" s="2"/>
      <c r="F17" s="19">
        <f t="shared" si="4"/>
        <v>0.38394387777158073</v>
      </c>
      <c r="G17" s="2"/>
      <c r="H17" s="2">
        <v>28576.98</v>
      </c>
      <c r="I17" s="2"/>
      <c r="J17" s="19">
        <f t="shared" si="5"/>
        <v>0.33619806393920593</v>
      </c>
      <c r="K17" s="2"/>
      <c r="L17" s="2">
        <f t="shared" si="6"/>
        <v>-1488.5300000000025</v>
      </c>
      <c r="M17" s="2"/>
      <c r="N17" s="19">
        <f t="shared" si="7"/>
        <v>-5.2088429218202989E-2</v>
      </c>
      <c r="O17" s="11"/>
      <c r="P17" s="2">
        <v>253238.29</v>
      </c>
      <c r="Q17" s="2"/>
      <c r="R17" s="19">
        <f t="shared" si="8"/>
        <v>0.5214795787699873</v>
      </c>
      <c r="S17" s="2"/>
      <c r="T17" s="2">
        <v>227326.24</v>
      </c>
      <c r="U17" s="2"/>
      <c r="V17" s="19">
        <f t="shared" si="9"/>
        <v>0.48183235398911345</v>
      </c>
      <c r="W17" s="2"/>
      <c r="X17" s="2">
        <f t="shared" si="10"/>
        <v>25912.050000000017</v>
      </c>
      <c r="Y17" s="2"/>
      <c r="Z17" s="19">
        <f t="shared" si="11"/>
        <v>0.11398618126970304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8588.51</v>
      </c>
      <c r="E18" s="2"/>
      <c r="F18" s="19">
        <f t="shared" si="4"/>
        <v>0.12173106374414185</v>
      </c>
      <c r="G18" s="2"/>
      <c r="H18" s="2">
        <v>9491.01</v>
      </c>
      <c r="I18" s="2"/>
      <c r="J18" s="19">
        <f t="shared" si="5"/>
        <v>0.11165837631644922</v>
      </c>
      <c r="K18" s="2"/>
      <c r="L18" s="2">
        <f t="shared" si="6"/>
        <v>-902.5</v>
      </c>
      <c r="M18" s="2"/>
      <c r="N18" s="19">
        <f t="shared" si="7"/>
        <v>-9.5089985154372392E-2</v>
      </c>
      <c r="O18" s="11"/>
      <c r="P18" s="2">
        <v>-6202.16</v>
      </c>
      <c r="Q18" s="2"/>
      <c r="R18" s="19">
        <f t="shared" si="8"/>
        <v>-1.277176442892607E-2</v>
      </c>
      <c r="S18" s="2"/>
      <c r="T18" s="2">
        <v>-4436.8999999999996</v>
      </c>
      <c r="U18" s="2"/>
      <c r="V18" s="19">
        <f t="shared" si="9"/>
        <v>-9.4042903776277529E-3</v>
      </c>
      <c r="W18" s="2"/>
      <c r="X18" s="2">
        <f t="shared" si="10"/>
        <v>-1765.2600000000002</v>
      </c>
      <c r="Y18" s="2"/>
      <c r="Z18" s="19">
        <f t="shared" si="11"/>
        <v>0.39785886542405741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34876.189999999995</v>
      </c>
      <c r="E20" s="14"/>
      <c r="F20" s="21">
        <f>IF(D$12=0,0,D20/D$12)</f>
        <v>0.49432505848427744</v>
      </c>
      <c r="G20" s="14"/>
      <c r="H20" s="20">
        <f>H12-H16</f>
        <v>46932.44000000001</v>
      </c>
      <c r="I20" s="14"/>
      <c r="J20" s="21">
        <f>IF(H$12=0,0,H20/H$12)</f>
        <v>0.55214355974434493</v>
      </c>
      <c r="K20" s="15"/>
      <c r="L20" s="20">
        <f>+D20-H20</f>
        <v>-12056.250000000015</v>
      </c>
      <c r="M20" s="15"/>
      <c r="N20" s="21">
        <f>IF(H20=0,0,L20/H20)</f>
        <v>-0.25688521628110561</v>
      </c>
      <c r="O20" s="28"/>
      <c r="P20" s="20">
        <f>P12-P16</f>
        <v>238578.83999999997</v>
      </c>
      <c r="Q20" s="14"/>
      <c r="R20" s="21">
        <f>IF(P$12=0,0,P20/P$12)</f>
        <v>0.49129218565893878</v>
      </c>
      <c r="S20" s="14"/>
      <c r="T20" s="20">
        <f>T12-T16</f>
        <v>248905.96000000005</v>
      </c>
      <c r="U20" s="14"/>
      <c r="V20" s="21">
        <f>IF(T$12=0,0,T20/T$12)</f>
        <v>0.5275719363885143</v>
      </c>
      <c r="W20" s="15"/>
      <c r="X20" s="20">
        <f>+P20-T20</f>
        <v>-10327.120000000083</v>
      </c>
      <c r="Y20" s="15"/>
      <c r="Z20" s="21">
        <f>IF(T20=0,0,X20/T20)</f>
        <v>-4.1490047084449408E-2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28032.560000000001</v>
      </c>
      <c r="E22" s="22"/>
      <c r="F22" s="33">
        <f t="shared" ref="F22:F31" si="12">IF(D$12=0,0,D22/D$12)</f>
        <v>0.39732542062260867</v>
      </c>
      <c r="G22" s="22"/>
      <c r="H22" s="22">
        <f>SUM(OSRRefH22x_0)</f>
        <v>26491.52</v>
      </c>
      <c r="I22" s="22"/>
      <c r="J22" s="33">
        <f t="shared" ref="J22:J31" si="13">IF(H$12=0,0,H22/H$12)</f>
        <v>0.31166336452650883</v>
      </c>
      <c r="K22" s="4"/>
      <c r="L22" s="22">
        <f t="shared" ref="L22:L31" si="14">+D22-H22</f>
        <v>1541.0400000000009</v>
      </c>
      <c r="M22" s="4"/>
      <c r="N22" s="33">
        <f t="shared" ref="N22:N31" si="15">IF(H22=0,0,L22/H22)</f>
        <v>5.8171067571811688E-2</v>
      </c>
      <c r="O22" s="10"/>
      <c r="P22" s="22">
        <f>SUM(OSRRefP22x_0)</f>
        <v>172971.97999999998</v>
      </c>
      <c r="Q22" s="22"/>
      <c r="R22" s="33">
        <f t="shared" ref="R22:R31" si="16">IF(P$12=0,0,P22/P$12)</f>
        <v>0.35619161410942496</v>
      </c>
      <c r="S22" s="22"/>
      <c r="T22" s="22">
        <f>SUM(OSRRefT22x_0)</f>
        <v>157572.87999999995</v>
      </c>
      <c r="U22" s="22"/>
      <c r="V22" s="33">
        <f t="shared" ref="V22:V31" si="17">IF(T$12=0,0,T22/T$12)</f>
        <v>0.33398569252385502</v>
      </c>
      <c r="W22" s="4"/>
      <c r="X22" s="22">
        <f t="shared" ref="X22:X31" si="18">+P22-T22</f>
        <v>15399.100000000035</v>
      </c>
      <c r="Y22" s="4"/>
      <c r="Z22" s="33">
        <f t="shared" ref="Z22:Z31" si="19">IF(T22=0,0,X22/T22)</f>
        <v>9.7726842334797975E-2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2376.46</v>
      </c>
      <c r="E23" s="1"/>
      <c r="F23" s="5">
        <f t="shared" si="12"/>
        <v>3.3683258649684675E-2</v>
      </c>
      <c r="G23" s="1"/>
      <c r="H23" s="1">
        <f>SUM(OSRRefH22_0x_0)</f>
        <v>2241.6000000000004</v>
      </c>
      <c r="I23" s="1"/>
      <c r="J23" s="5">
        <f t="shared" si="13"/>
        <v>2.6371631296453445E-2</v>
      </c>
      <c r="K23" s="1"/>
      <c r="L23" s="1">
        <f t="shared" si="14"/>
        <v>134.85999999999967</v>
      </c>
      <c r="M23" s="1"/>
      <c r="N23" s="5">
        <f t="shared" si="15"/>
        <v>6.016238401142026E-2</v>
      </c>
      <c r="O23" s="13"/>
      <c r="P23" s="1">
        <f>SUM(OSRRefP22_0x_0)</f>
        <v>14444.28</v>
      </c>
      <c r="Q23" s="1"/>
      <c r="R23" s="5">
        <f t="shared" si="16"/>
        <v>2.9744305452527549E-2</v>
      </c>
      <c r="S23" s="1"/>
      <c r="T23" s="1">
        <f>SUM(OSRRefT22_0x_0)</f>
        <v>13939.570000000003</v>
      </c>
      <c r="U23" s="1"/>
      <c r="V23" s="5">
        <f t="shared" si="17"/>
        <v>2.954580090136549E-2</v>
      </c>
      <c r="W23" s="1"/>
      <c r="X23" s="1">
        <f t="shared" si="18"/>
        <v>504.70999999999731</v>
      </c>
      <c r="Y23" s="1"/>
      <c r="Z23" s="5">
        <f t="shared" si="19"/>
        <v>3.6206999211596716E-2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367.84</v>
      </c>
      <c r="E24" s="2"/>
      <c r="F24" s="7">
        <f t="shared" si="12"/>
        <v>5.2136580719641858E-3</v>
      </c>
      <c r="G24" s="2"/>
      <c r="H24" s="6">
        <v>459.67</v>
      </c>
      <c r="I24" s="2"/>
      <c r="J24" s="7">
        <f t="shared" si="13"/>
        <v>5.4078549955570814E-3</v>
      </c>
      <c r="K24" s="2"/>
      <c r="L24" s="6">
        <f t="shared" si="14"/>
        <v>-91.830000000000041</v>
      </c>
      <c r="M24" s="2"/>
      <c r="N24" s="7">
        <f t="shared" si="15"/>
        <v>-0.19977375073422246</v>
      </c>
      <c r="O24" s="11"/>
      <c r="P24" s="6">
        <v>3555.66</v>
      </c>
      <c r="Q24" s="2"/>
      <c r="R24" s="7">
        <f t="shared" si="16"/>
        <v>7.3219736203766535E-3</v>
      </c>
      <c r="S24" s="2"/>
      <c r="T24" s="6">
        <v>3708.01</v>
      </c>
      <c r="U24" s="2"/>
      <c r="V24" s="7">
        <f t="shared" si="17"/>
        <v>7.8593618885139382E-3</v>
      </c>
      <c r="W24" s="2"/>
      <c r="X24" s="6">
        <f t="shared" si="18"/>
        <v>-152.35000000000036</v>
      </c>
      <c r="Y24" s="2"/>
      <c r="Z24" s="7">
        <f t="shared" si="19"/>
        <v>-4.1086728460818699E-2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462.86</v>
      </c>
      <c r="E25" s="2"/>
      <c r="F25" s="7">
        <f t="shared" si="12"/>
        <v>6.5604441474264447E-3</v>
      </c>
      <c r="G25" s="2"/>
      <c r="H25" s="6">
        <v>259.49</v>
      </c>
      <c r="I25" s="2"/>
      <c r="J25" s="7">
        <f t="shared" si="13"/>
        <v>3.0528080857943896E-3</v>
      </c>
      <c r="K25" s="2"/>
      <c r="L25" s="6">
        <f t="shared" si="14"/>
        <v>203.37</v>
      </c>
      <c r="M25" s="2"/>
      <c r="N25" s="7">
        <f t="shared" si="15"/>
        <v>0.78372962349223474</v>
      </c>
      <c r="O25" s="11"/>
      <c r="P25" s="6">
        <v>1737.45</v>
      </c>
      <c r="Q25" s="2"/>
      <c r="R25" s="7">
        <f t="shared" si="16"/>
        <v>3.5778345136271233E-3</v>
      </c>
      <c r="S25" s="2"/>
      <c r="T25" s="6">
        <v>1211.1500000000001</v>
      </c>
      <c r="U25" s="2"/>
      <c r="V25" s="7">
        <f t="shared" si="17"/>
        <v>2.5671090831129516E-3</v>
      </c>
      <c r="W25" s="2"/>
      <c r="X25" s="6">
        <f t="shared" si="18"/>
        <v>526.29999999999995</v>
      </c>
      <c r="Y25" s="2"/>
      <c r="Z25" s="7">
        <f t="shared" si="19"/>
        <v>0.43454567972588032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641.14</v>
      </c>
      <c r="E26" s="2"/>
      <c r="F26" s="7">
        <f t="shared" si="12"/>
        <v>9.0873334500302261E-3</v>
      </c>
      <c r="G26" s="2"/>
      <c r="H26" s="6">
        <v>691.52</v>
      </c>
      <c r="I26" s="2"/>
      <c r="J26" s="7">
        <f t="shared" si="13"/>
        <v>8.1354882557652941E-3</v>
      </c>
      <c r="K26" s="2"/>
      <c r="L26" s="6">
        <f t="shared" si="14"/>
        <v>-50.379999999999995</v>
      </c>
      <c r="M26" s="2"/>
      <c r="N26" s="7">
        <f t="shared" si="15"/>
        <v>-7.2854002776492358E-2</v>
      </c>
      <c r="O26" s="11"/>
      <c r="P26" s="6">
        <v>3846.84</v>
      </c>
      <c r="Q26" s="2"/>
      <c r="R26" s="7">
        <f t="shared" si="16"/>
        <v>7.921584460215467E-3</v>
      </c>
      <c r="S26" s="2"/>
      <c r="T26" s="6">
        <v>3722.88</v>
      </c>
      <c r="U26" s="2"/>
      <c r="V26" s="7">
        <f t="shared" si="17"/>
        <v>7.8908797946906205E-3</v>
      </c>
      <c r="W26" s="2"/>
      <c r="X26" s="6">
        <f t="shared" si="18"/>
        <v>123.96000000000004</v>
      </c>
      <c r="Y26" s="2"/>
      <c r="Z26" s="7">
        <f t="shared" si="19"/>
        <v>3.3296802475502846E-2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63.34</v>
      </c>
      <c r="E27" s="2"/>
      <c r="F27" s="7">
        <f t="shared" si="12"/>
        <v>8.9776289223089277E-4</v>
      </c>
      <c r="G27" s="2"/>
      <c r="H27" s="6">
        <v>56.7</v>
      </c>
      <c r="I27" s="2"/>
      <c r="J27" s="7">
        <f t="shared" si="13"/>
        <v>6.6705544901361085E-4</v>
      </c>
      <c r="K27" s="2"/>
      <c r="L27" s="6">
        <f t="shared" si="14"/>
        <v>6.6400000000000006</v>
      </c>
      <c r="M27" s="2"/>
      <c r="N27" s="7">
        <f t="shared" si="15"/>
        <v>0.11710758377425044</v>
      </c>
      <c r="O27" s="11"/>
      <c r="P27" s="6">
        <v>282.93</v>
      </c>
      <c r="Q27" s="2"/>
      <c r="R27" s="7">
        <f t="shared" si="16"/>
        <v>5.8262207196783911E-4</v>
      </c>
      <c r="S27" s="2"/>
      <c r="T27" s="6">
        <v>264.61</v>
      </c>
      <c r="U27" s="2"/>
      <c r="V27" s="7">
        <f t="shared" si="17"/>
        <v>5.6085764313463908E-4</v>
      </c>
      <c r="W27" s="2"/>
      <c r="X27" s="6">
        <f t="shared" si="18"/>
        <v>18.319999999999993</v>
      </c>
      <c r="Y27" s="2"/>
      <c r="Z27" s="7">
        <f t="shared" si="19"/>
        <v>6.923396697025809E-2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268.22000000000003</v>
      </c>
      <c r="E28" s="2"/>
      <c r="F28" s="7">
        <f t="shared" si="12"/>
        <v>3.8016729231791927E-3</v>
      </c>
      <c r="G28" s="2"/>
      <c r="H28" s="6">
        <v>248.06</v>
      </c>
      <c r="I28" s="2"/>
      <c r="J28" s="7">
        <f t="shared" si="13"/>
        <v>2.9183381778186295E-3</v>
      </c>
      <c r="K28" s="2"/>
      <c r="L28" s="6">
        <f t="shared" si="14"/>
        <v>20.160000000000025</v>
      </c>
      <c r="M28" s="2"/>
      <c r="N28" s="7">
        <f t="shared" si="15"/>
        <v>8.1270660324115229E-2</v>
      </c>
      <c r="O28" s="11"/>
      <c r="P28" s="6">
        <v>1475.21</v>
      </c>
      <c r="Q28" s="2"/>
      <c r="R28" s="7">
        <f t="shared" si="16"/>
        <v>3.0378182122350965E-3</v>
      </c>
      <c r="S28" s="2"/>
      <c r="T28" s="6">
        <v>1608.78</v>
      </c>
      <c r="U28" s="2"/>
      <c r="V28" s="7">
        <f t="shared" si="17"/>
        <v>3.409911035569875E-3</v>
      </c>
      <c r="W28" s="2"/>
      <c r="X28" s="6">
        <f t="shared" si="18"/>
        <v>-133.56999999999994</v>
      </c>
      <c r="Y28" s="2"/>
      <c r="Z28" s="7">
        <f t="shared" si="19"/>
        <v>-8.3025646763385877E-2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221.28</v>
      </c>
      <c r="E29" s="2"/>
      <c r="F29" s="7">
        <f t="shared" si="12"/>
        <v>3.1363589010554456E-3</v>
      </c>
      <c r="G29" s="2"/>
      <c r="H29" s="6">
        <v>208.92</v>
      </c>
      <c r="I29" s="2"/>
      <c r="J29" s="7">
        <f t="shared" si="13"/>
        <v>2.4578699190109976E-3</v>
      </c>
      <c r="K29" s="2"/>
      <c r="L29" s="6">
        <f t="shared" si="14"/>
        <v>12.360000000000014</v>
      </c>
      <c r="M29" s="2"/>
      <c r="N29" s="7">
        <f t="shared" si="15"/>
        <v>5.9161401493394668E-2</v>
      </c>
      <c r="O29" s="11"/>
      <c r="P29" s="6">
        <v>1438.32</v>
      </c>
      <c r="Q29" s="2"/>
      <c r="R29" s="7">
        <f t="shared" si="16"/>
        <v>2.9618526792944623E-3</v>
      </c>
      <c r="S29" s="2"/>
      <c r="T29" s="6">
        <v>1391.61</v>
      </c>
      <c r="U29" s="2"/>
      <c r="V29" s="7">
        <f t="shared" si="17"/>
        <v>2.9496054750863345E-3</v>
      </c>
      <c r="W29" s="2"/>
      <c r="X29" s="6">
        <f t="shared" si="18"/>
        <v>46.710000000000036</v>
      </c>
      <c r="Y29" s="2"/>
      <c r="Z29" s="7">
        <f t="shared" si="19"/>
        <v>3.356543859270919E-2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177.12</v>
      </c>
      <c r="E30" s="2"/>
      <c r="F30" s="7">
        <f t="shared" si="12"/>
        <v>2.5104477971571791E-3</v>
      </c>
      <c r="G30" s="2"/>
      <c r="H30" s="6">
        <v>167.24</v>
      </c>
      <c r="I30" s="2"/>
      <c r="J30" s="7">
        <f t="shared" si="13"/>
        <v>1.9675194584309751E-3</v>
      </c>
      <c r="K30" s="2"/>
      <c r="L30" s="6">
        <f t="shared" si="14"/>
        <v>9.8799999999999955</v>
      </c>
      <c r="M30" s="2"/>
      <c r="N30" s="7">
        <f t="shared" si="15"/>
        <v>5.907677589093515E-2</v>
      </c>
      <c r="O30" s="11"/>
      <c r="P30" s="6">
        <v>1151.28</v>
      </c>
      <c r="Q30" s="2"/>
      <c r="R30" s="7">
        <f t="shared" si="16"/>
        <v>2.370767112059993E-3</v>
      </c>
      <c r="S30" s="2"/>
      <c r="T30" s="6">
        <v>1134.8499999999999</v>
      </c>
      <c r="U30" s="2"/>
      <c r="V30" s="7">
        <f t="shared" si="17"/>
        <v>2.4053864038069048E-3</v>
      </c>
      <c r="W30" s="2"/>
      <c r="X30" s="6">
        <f t="shared" si="18"/>
        <v>16.430000000000064</v>
      </c>
      <c r="Y30" s="2"/>
      <c r="Z30" s="7">
        <f t="shared" si="19"/>
        <v>1.4477684275454964E-2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174.66</v>
      </c>
      <c r="E31" s="2"/>
      <c r="F31" s="7">
        <f t="shared" si="12"/>
        <v>2.4755804666411071E-3</v>
      </c>
      <c r="G31" s="2"/>
      <c r="H31" s="6">
        <v>150</v>
      </c>
      <c r="I31" s="2"/>
      <c r="J31" s="7">
        <f t="shared" si="13"/>
        <v>1.7646969550624626E-3</v>
      </c>
      <c r="K31" s="2"/>
      <c r="L31" s="6">
        <f t="shared" si="14"/>
        <v>24.659999999999997</v>
      </c>
      <c r="M31" s="2"/>
      <c r="N31" s="7">
        <f t="shared" si="15"/>
        <v>0.16439999999999999</v>
      </c>
      <c r="O31" s="11"/>
      <c r="P31" s="6">
        <v>956.59</v>
      </c>
      <c r="Q31" s="2"/>
      <c r="R31" s="7">
        <f t="shared" si="16"/>
        <v>1.9698527827509108E-3</v>
      </c>
      <c r="S31" s="2"/>
      <c r="T31" s="6">
        <v>897.68</v>
      </c>
      <c r="U31" s="2"/>
      <c r="V31" s="7">
        <f t="shared" si="17"/>
        <v>1.9026895774502202E-3</v>
      </c>
      <c r="W31" s="2"/>
      <c r="X31" s="6">
        <f t="shared" si="18"/>
        <v>58.910000000000082</v>
      </c>
      <c r="Y31" s="2"/>
      <c r="Z31" s="7">
        <f t="shared" si="19"/>
        <v>6.5624721504322345E-2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15140.29</v>
      </c>
      <c r="E32" s="1"/>
      <c r="F32" s="5">
        <f t="shared" ref="F32:F37" si="20">IF(D$12=0,0,D32/D$12)</f>
        <v>0.21459410387771491</v>
      </c>
      <c r="G32" s="1"/>
      <c r="H32" s="1">
        <f>SUM(OSRRefH22_1x_0)</f>
        <v>15581.300000000001</v>
      </c>
      <c r="I32" s="1"/>
      <c r="J32" s="5">
        <f t="shared" ref="J32:J37" si="21">IF(H$12=0,0,H32/H$12)</f>
        <v>0.18330848443943165</v>
      </c>
      <c r="K32" s="1"/>
      <c r="L32" s="1">
        <f t="shared" ref="L32:L37" si="22">+D32-H32</f>
        <v>-441.01000000000022</v>
      </c>
      <c r="M32" s="1"/>
      <c r="N32" s="5">
        <f t="shared" ref="N32:N37" si="23">IF(H32=0,0,L32/H32)</f>
        <v>-2.830380006803028E-2</v>
      </c>
      <c r="O32" s="13"/>
      <c r="P32" s="1">
        <f>SUM(OSRRefP22_1x_0)</f>
        <v>100402.89</v>
      </c>
      <c r="Q32" s="1"/>
      <c r="R32" s="5">
        <f t="shared" ref="R32:R37" si="24">IF(P$12=0,0,P32/P$12)</f>
        <v>0.20675410809514377</v>
      </c>
      <c r="S32" s="1"/>
      <c r="T32" s="1">
        <f>SUM(OSRRefT22_1x_0)</f>
        <v>90713.709999999992</v>
      </c>
      <c r="U32" s="1"/>
      <c r="V32" s="5">
        <f t="shared" ref="V32:V37" si="25">IF(T$12=0,0,T32/T$12)</f>
        <v>0.19227344994746659</v>
      </c>
      <c r="W32" s="1"/>
      <c r="X32" s="1">
        <f t="shared" ref="X32:X37" si="26">+P32-T32</f>
        <v>9689.1800000000076</v>
      </c>
      <c r="Y32" s="1"/>
      <c r="Z32" s="5">
        <f t="shared" ref="Z32:Z37" si="27">IF(T32=0,0,X32/T32)</f>
        <v>0.10681053613615857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3264</v>
      </c>
      <c r="E33" s="2"/>
      <c r="F33" s="7">
        <f t="shared" si="20"/>
        <v>4.626299463595885E-2</v>
      </c>
      <c r="G33" s="2"/>
      <c r="H33" s="6">
        <v>3625.6</v>
      </c>
      <c r="I33" s="2"/>
      <c r="J33" s="7">
        <f t="shared" si="21"/>
        <v>4.2653901868496422E-2</v>
      </c>
      <c r="K33" s="2"/>
      <c r="L33" s="6">
        <f t="shared" si="22"/>
        <v>-361.59999999999991</v>
      </c>
      <c r="M33" s="2"/>
      <c r="N33" s="7">
        <f t="shared" si="23"/>
        <v>-9.973521624007059E-2</v>
      </c>
      <c r="O33" s="11"/>
      <c r="P33" s="6">
        <v>22080</v>
      </c>
      <c r="Q33" s="2"/>
      <c r="R33" s="7">
        <f t="shared" si="24"/>
        <v>4.5468120556497675E-2</v>
      </c>
      <c r="S33" s="2"/>
      <c r="T33" s="6">
        <v>21255.08</v>
      </c>
      <c r="U33" s="2"/>
      <c r="V33" s="7">
        <f t="shared" si="25"/>
        <v>4.5051487371747877E-2</v>
      </c>
      <c r="W33" s="2"/>
      <c r="X33" s="6">
        <f t="shared" si="26"/>
        <v>824.91999999999825</v>
      </c>
      <c r="Y33" s="2"/>
      <c r="Z33" s="7">
        <f t="shared" si="27"/>
        <v>3.8810486716587198E-2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969.5</v>
      </c>
      <c r="E34" s="2"/>
      <c r="F34" s="7">
        <f t="shared" si="20"/>
        <v>1.3741413388346235E-2</v>
      </c>
      <c r="G34" s="2"/>
      <c r="H34" s="6"/>
      <c r="I34" s="2"/>
      <c r="J34" s="7">
        <f t="shared" si="21"/>
        <v>0</v>
      </c>
      <c r="K34" s="2"/>
      <c r="L34" s="6">
        <f t="shared" si="22"/>
        <v>969.5</v>
      </c>
      <c r="M34" s="2"/>
      <c r="N34" s="7">
        <f t="shared" si="23"/>
        <v>0</v>
      </c>
      <c r="O34" s="11"/>
      <c r="P34" s="6">
        <v>7924</v>
      </c>
      <c r="Q34" s="2"/>
      <c r="R34" s="7">
        <f t="shared" si="24"/>
        <v>1.6317454134496718E-2</v>
      </c>
      <c r="S34" s="2"/>
      <c r="T34" s="6"/>
      <c r="U34" s="2"/>
      <c r="V34" s="7">
        <f t="shared" si="25"/>
        <v>0</v>
      </c>
      <c r="W34" s="2"/>
      <c r="X34" s="6">
        <f t="shared" si="26"/>
        <v>7924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2383.16</v>
      </c>
      <c r="I35" s="2"/>
      <c r="J35" s="7">
        <f t="shared" si="21"/>
        <v>2.8037034636177717E-2</v>
      </c>
      <c r="K35" s="2"/>
      <c r="L35" s="6">
        <f t="shared" si="22"/>
        <v>-2383.16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15114.649999999998</v>
      </c>
      <c r="U35" s="2"/>
      <c r="V35" s="7">
        <f t="shared" si="25"/>
        <v>3.2036457336476212E-2</v>
      </c>
      <c r="W35" s="2"/>
      <c r="X35" s="6">
        <f t="shared" si="26"/>
        <v>-15114.649999999998</v>
      </c>
      <c r="Y35" s="2"/>
      <c r="Z35" s="7">
        <f t="shared" si="27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10537.79</v>
      </c>
      <c r="E36" s="2"/>
      <c r="F36" s="7">
        <f t="shared" si="20"/>
        <v>0.14935959627599904</v>
      </c>
      <c r="G36" s="2"/>
      <c r="H36" s="6">
        <v>9572.5400000000009</v>
      </c>
      <c r="I36" s="2"/>
      <c r="J36" s="7">
        <f t="shared" si="21"/>
        <v>0.11261754793475751</v>
      </c>
      <c r="K36" s="2"/>
      <c r="L36" s="6">
        <f t="shared" si="22"/>
        <v>965.25</v>
      </c>
      <c r="M36" s="2"/>
      <c r="N36" s="7">
        <f t="shared" si="23"/>
        <v>0.10083530598984176</v>
      </c>
      <c r="O36" s="11"/>
      <c r="P36" s="6">
        <v>68553.89</v>
      </c>
      <c r="Q36" s="2"/>
      <c r="R36" s="7">
        <f t="shared" si="24"/>
        <v>0.14116922713482247</v>
      </c>
      <c r="S36" s="2"/>
      <c r="T36" s="6">
        <v>53692.23</v>
      </c>
      <c r="U36" s="2"/>
      <c r="V36" s="7">
        <f t="shared" si="25"/>
        <v>0.11380407986260142</v>
      </c>
      <c r="W36" s="2"/>
      <c r="X36" s="6">
        <f t="shared" si="26"/>
        <v>14861.659999999996</v>
      </c>
      <c r="Y36" s="2"/>
      <c r="Z36" s="7">
        <f t="shared" si="27"/>
        <v>0.27679349507368189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369</v>
      </c>
      <c r="E37" s="2"/>
      <c r="F37" s="7">
        <f t="shared" si="20"/>
        <v>5.2300995774107895E-3</v>
      </c>
      <c r="G37" s="2"/>
      <c r="H37" s="6"/>
      <c r="I37" s="2"/>
      <c r="J37" s="7">
        <f t="shared" si="21"/>
        <v>0</v>
      </c>
      <c r="K37" s="2"/>
      <c r="L37" s="6">
        <f t="shared" si="22"/>
        <v>369</v>
      </c>
      <c r="M37" s="2"/>
      <c r="N37" s="7">
        <f t="shared" si="23"/>
        <v>0</v>
      </c>
      <c r="O37" s="11"/>
      <c r="P37" s="6">
        <v>1845</v>
      </c>
      <c r="Q37" s="2"/>
      <c r="R37" s="7">
        <f t="shared" si="24"/>
        <v>3.7993062693269116E-3</v>
      </c>
      <c r="S37" s="2"/>
      <c r="T37" s="6">
        <v>651.75</v>
      </c>
      <c r="U37" s="2"/>
      <c r="V37" s="7">
        <f t="shared" si="25"/>
        <v>1.3814253766410982E-3</v>
      </c>
      <c r="W37" s="2"/>
      <c r="X37" s="6">
        <f t="shared" si="26"/>
        <v>1193.25</v>
      </c>
      <c r="Y37" s="2"/>
      <c r="Z37" s="7">
        <f t="shared" si="27"/>
        <v>1.8308400460299195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28">IF(D$12=0,0,D38/D$12)</f>
        <v>0</v>
      </c>
      <c r="G38" s="1"/>
      <c r="H38" s="1">
        <f>SUM(OSRRefH22_2x_0)</f>
        <v>6</v>
      </c>
      <c r="I38" s="1"/>
      <c r="J38" s="5">
        <f t="shared" ref="J38:J54" si="29">IF(H$12=0,0,H38/H$12)</f>
        <v>7.0587878202498495E-5</v>
      </c>
      <c r="K38" s="1"/>
      <c r="L38" s="1">
        <f t="shared" ref="L38:L54" si="30">+D38-H38</f>
        <v>-6</v>
      </c>
      <c r="M38" s="1"/>
      <c r="N38" s="5">
        <f t="shared" ref="N38:N54" si="31">IF(H38=0,0,L38/H38)</f>
        <v>-1</v>
      </c>
      <c r="O38" s="13"/>
      <c r="P38" s="1">
        <f>SUM(OSRRefP22_2x_0)</f>
        <v>150</v>
      </c>
      <c r="Q38" s="1"/>
      <c r="R38" s="5">
        <f t="shared" ref="R38:R54" si="32">IF(P$12=0,0,P38/P$12)</f>
        <v>3.0888668856316354E-4</v>
      </c>
      <c r="S38" s="1"/>
      <c r="T38" s="1">
        <f>SUM(OSRRefT22_2x_0)</f>
        <v>216</v>
      </c>
      <c r="U38" s="1"/>
      <c r="V38" s="5">
        <f t="shared" ref="V38:V54" si="33">IF(T$12=0,0,T38/T$12)</f>
        <v>4.5782567142996119E-4</v>
      </c>
      <c r="W38" s="1"/>
      <c r="X38" s="1">
        <f t="shared" ref="X38:X54" si="34">+P38-T38</f>
        <v>-66</v>
      </c>
      <c r="Y38" s="1"/>
      <c r="Z38" s="5">
        <f t="shared" ref="Z38:Z54" si="35">IF(T38=0,0,X38/T38)</f>
        <v>-0.30555555555555558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8"/>
        <v>0</v>
      </c>
      <c r="G39" s="2"/>
      <c r="H39" s="6">
        <v>6</v>
      </c>
      <c r="I39" s="2"/>
      <c r="J39" s="7">
        <f t="shared" si="29"/>
        <v>7.0587878202498495E-5</v>
      </c>
      <c r="K39" s="2"/>
      <c r="L39" s="6">
        <f t="shared" si="30"/>
        <v>-6</v>
      </c>
      <c r="M39" s="2"/>
      <c r="N39" s="7">
        <f t="shared" si="31"/>
        <v>-1</v>
      </c>
      <c r="O39" s="11"/>
      <c r="P39" s="6">
        <v>150</v>
      </c>
      <c r="Q39" s="2"/>
      <c r="R39" s="7">
        <f t="shared" si="32"/>
        <v>3.0888668856316354E-4</v>
      </c>
      <c r="S39" s="2"/>
      <c r="T39" s="6">
        <v>216</v>
      </c>
      <c r="U39" s="2"/>
      <c r="V39" s="7">
        <f t="shared" si="33"/>
        <v>4.5782567142996119E-4</v>
      </c>
      <c r="W39" s="2"/>
      <c r="X39" s="6">
        <f t="shared" si="34"/>
        <v>-66</v>
      </c>
      <c r="Y39" s="2"/>
      <c r="Z39" s="7">
        <f t="shared" si="35"/>
        <v>-0.30555555555555558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16.18</v>
      </c>
      <c r="E40" s="1"/>
      <c r="F40" s="5">
        <f t="shared" si="28"/>
        <v>2.2933065355692839E-4</v>
      </c>
      <c r="G40" s="1"/>
      <c r="H40" s="1">
        <f>SUM(OSRRefH22_3x_0)</f>
        <v>-13.61</v>
      </c>
      <c r="I40" s="1"/>
      <c r="J40" s="5">
        <f t="shared" si="29"/>
        <v>-1.6011683705600076E-4</v>
      </c>
      <c r="K40" s="1"/>
      <c r="L40" s="1">
        <f t="shared" si="30"/>
        <v>29.79</v>
      </c>
      <c r="M40" s="1"/>
      <c r="N40" s="5">
        <f t="shared" si="31"/>
        <v>-2.1888317413666423</v>
      </c>
      <c r="O40" s="13"/>
      <c r="P40" s="1">
        <f>SUM(OSRRefP22_3x_0)</f>
        <v>-21.9</v>
      </c>
      <c r="Q40" s="1"/>
      <c r="R40" s="5">
        <f t="shared" si="32"/>
        <v>-4.5097456530221875E-5</v>
      </c>
      <c r="S40" s="1"/>
      <c r="T40" s="1">
        <f>SUM(OSRRefT22_3x_0)</f>
        <v>-135.36000000000001</v>
      </c>
      <c r="U40" s="1"/>
      <c r="V40" s="5">
        <f t="shared" si="33"/>
        <v>-2.8690408742944236E-4</v>
      </c>
      <c r="W40" s="1"/>
      <c r="X40" s="1">
        <f t="shared" si="34"/>
        <v>113.46000000000001</v>
      </c>
      <c r="Y40" s="1"/>
      <c r="Z40" s="5">
        <f t="shared" si="35"/>
        <v>-0.838209219858156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16.18</v>
      </c>
      <c r="E41" s="2"/>
      <c r="F41" s="7">
        <f t="shared" si="28"/>
        <v>2.2933065355692839E-4</v>
      </c>
      <c r="G41" s="2"/>
      <c r="H41" s="6">
        <v>-13.61</v>
      </c>
      <c r="I41" s="2"/>
      <c r="J41" s="7">
        <f t="shared" si="29"/>
        <v>-1.6011683705600076E-4</v>
      </c>
      <c r="K41" s="2"/>
      <c r="L41" s="6">
        <f t="shared" si="30"/>
        <v>29.79</v>
      </c>
      <c r="M41" s="2"/>
      <c r="N41" s="7">
        <f t="shared" si="31"/>
        <v>-2.1888317413666423</v>
      </c>
      <c r="O41" s="11"/>
      <c r="P41" s="6">
        <v>-21.9</v>
      </c>
      <c r="Q41" s="2"/>
      <c r="R41" s="7">
        <f t="shared" si="32"/>
        <v>-4.5097456530221875E-5</v>
      </c>
      <c r="S41" s="2"/>
      <c r="T41" s="6">
        <v>-135.36000000000001</v>
      </c>
      <c r="U41" s="2"/>
      <c r="V41" s="7">
        <f t="shared" si="33"/>
        <v>-2.8690408742944236E-4</v>
      </c>
      <c r="W41" s="2"/>
      <c r="X41" s="6">
        <f t="shared" si="34"/>
        <v>113.46000000000001</v>
      </c>
      <c r="Y41" s="2"/>
      <c r="Z41" s="7">
        <f t="shared" si="35"/>
        <v>-0.838209219858156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2447.3200000000002</v>
      </c>
      <c r="E42" s="1"/>
      <c r="F42" s="5">
        <f t="shared" si="28"/>
        <v>3.4687607853086652E-2</v>
      </c>
      <c r="G42" s="1"/>
      <c r="H42" s="1">
        <f>SUM(OSRRefH22_4x_0)</f>
        <v>3089.99</v>
      </c>
      <c r="I42" s="1"/>
      <c r="J42" s="5">
        <f t="shared" si="29"/>
        <v>3.6352639627823057E-2</v>
      </c>
      <c r="K42" s="1"/>
      <c r="L42" s="1">
        <f t="shared" si="30"/>
        <v>-642.66999999999962</v>
      </c>
      <c r="M42" s="1"/>
      <c r="N42" s="5">
        <f t="shared" si="31"/>
        <v>-0.20798449185919685</v>
      </c>
      <c r="O42" s="13"/>
      <c r="P42" s="1">
        <f>SUM(OSRRefP22_4x_0)</f>
        <v>16783.560000000001</v>
      </c>
      <c r="Q42" s="1"/>
      <c r="R42" s="5">
        <f t="shared" si="32"/>
        <v>3.4561455138007798E-2</v>
      </c>
      <c r="S42" s="1"/>
      <c r="T42" s="1">
        <f>SUM(OSRRefT22_4x_0)</f>
        <v>15968</v>
      </c>
      <c r="U42" s="1"/>
      <c r="V42" s="5">
        <f t="shared" si="33"/>
        <v>3.3845186673118616E-2</v>
      </c>
      <c r="W42" s="1"/>
      <c r="X42" s="1">
        <f t="shared" si="34"/>
        <v>815.56000000000131</v>
      </c>
      <c r="Y42" s="1"/>
      <c r="Z42" s="5">
        <f t="shared" si="35"/>
        <v>5.1074649298597279E-2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2447.3200000000002</v>
      </c>
      <c r="E43" s="2"/>
      <c r="F43" s="7">
        <f t="shared" si="28"/>
        <v>3.4687607853086652E-2</v>
      </c>
      <c r="G43" s="2"/>
      <c r="H43" s="6">
        <v>3089.99</v>
      </c>
      <c r="I43" s="2"/>
      <c r="J43" s="7">
        <f t="shared" si="29"/>
        <v>3.6352639627823057E-2</v>
      </c>
      <c r="K43" s="2"/>
      <c r="L43" s="6">
        <f t="shared" si="30"/>
        <v>-642.66999999999962</v>
      </c>
      <c r="M43" s="2"/>
      <c r="N43" s="7">
        <f t="shared" si="31"/>
        <v>-0.20798449185919685</v>
      </c>
      <c r="O43" s="11"/>
      <c r="P43" s="6">
        <v>16783.560000000001</v>
      </c>
      <c r="Q43" s="2"/>
      <c r="R43" s="7">
        <f t="shared" si="32"/>
        <v>3.4561455138007798E-2</v>
      </c>
      <c r="S43" s="2"/>
      <c r="T43" s="6">
        <v>15968</v>
      </c>
      <c r="U43" s="2"/>
      <c r="V43" s="7">
        <f t="shared" si="33"/>
        <v>3.3845186673118616E-2</v>
      </c>
      <c r="W43" s="2"/>
      <c r="X43" s="6">
        <f t="shared" si="34"/>
        <v>815.56000000000131</v>
      </c>
      <c r="Y43" s="2"/>
      <c r="Z43" s="7">
        <f t="shared" si="35"/>
        <v>5.1074649298597279E-2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1857.58</v>
      </c>
      <c r="E44" s="1"/>
      <c r="F44" s="5">
        <f t="shared" si="28"/>
        <v>2.6328803178880037E-2</v>
      </c>
      <c r="G44" s="1"/>
      <c r="H44" s="1">
        <f>SUM(OSRRefH22_5x_0)</f>
        <v>2114.62</v>
      </c>
      <c r="I44" s="1"/>
      <c r="J44" s="5">
        <f t="shared" si="29"/>
        <v>2.4877756500761228E-2</v>
      </c>
      <c r="K44" s="1"/>
      <c r="L44" s="1">
        <f t="shared" si="30"/>
        <v>-257.03999999999996</v>
      </c>
      <c r="M44" s="1"/>
      <c r="N44" s="5">
        <f t="shared" si="31"/>
        <v>-0.12155375433884101</v>
      </c>
      <c r="O44" s="13"/>
      <c r="P44" s="1">
        <f>SUM(OSRRefP22_5x_0)</f>
        <v>11145.48</v>
      </c>
      <c r="Q44" s="1"/>
      <c r="R44" s="5">
        <f t="shared" si="32"/>
        <v>2.2951269397646454E-2</v>
      </c>
      <c r="S44" s="1"/>
      <c r="T44" s="1">
        <f>SUM(OSRRefT22_5x_0)</f>
        <v>12687.72</v>
      </c>
      <c r="U44" s="1"/>
      <c r="V44" s="5">
        <f t="shared" si="33"/>
        <v>2.6892425592200682E-2</v>
      </c>
      <c r="W44" s="1"/>
      <c r="X44" s="1">
        <f t="shared" si="34"/>
        <v>-1542.2399999999998</v>
      </c>
      <c r="Y44" s="1"/>
      <c r="Z44" s="5">
        <f t="shared" si="35"/>
        <v>-0.12155375433884101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1857.58</v>
      </c>
      <c r="E45" s="2"/>
      <c r="F45" s="7">
        <f t="shared" si="28"/>
        <v>2.6328803178880037E-2</v>
      </c>
      <c r="G45" s="2"/>
      <c r="H45" s="6">
        <v>2114.62</v>
      </c>
      <c r="I45" s="2"/>
      <c r="J45" s="7">
        <f t="shared" si="29"/>
        <v>2.4877756500761228E-2</v>
      </c>
      <c r="K45" s="2"/>
      <c r="L45" s="6">
        <f t="shared" si="30"/>
        <v>-257.03999999999996</v>
      </c>
      <c r="M45" s="2"/>
      <c r="N45" s="7">
        <f t="shared" si="31"/>
        <v>-0.12155375433884101</v>
      </c>
      <c r="O45" s="11"/>
      <c r="P45" s="6">
        <v>11145.48</v>
      </c>
      <c r="Q45" s="2"/>
      <c r="R45" s="7">
        <f t="shared" si="32"/>
        <v>2.2951269397646454E-2</v>
      </c>
      <c r="S45" s="2"/>
      <c r="T45" s="6">
        <v>12687.72</v>
      </c>
      <c r="U45" s="2"/>
      <c r="V45" s="7">
        <f t="shared" si="33"/>
        <v>2.6892425592200682E-2</v>
      </c>
      <c r="W45" s="2"/>
      <c r="X45" s="6">
        <f t="shared" si="34"/>
        <v>-1542.2399999999998</v>
      </c>
      <c r="Y45" s="2"/>
      <c r="Z45" s="7">
        <f t="shared" si="35"/>
        <v>-0.12155375433884101</v>
      </c>
    </row>
    <row r="46" spans="1:26" s="27" customFormat="1" outlineLevel="1" collapsed="1" x14ac:dyDescent="0.25">
      <c r="A46" s="25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0</v>
      </c>
      <c r="Q46" s="1"/>
      <c r="R46" s="5">
        <f t="shared" si="32"/>
        <v>0</v>
      </c>
      <c r="S46" s="1"/>
      <c r="T46" s="1">
        <f>SUM(OSRRefT22_6x_0)</f>
        <v>61.8</v>
      </c>
      <c r="U46" s="1"/>
      <c r="V46" s="5">
        <f t="shared" si="33"/>
        <v>1.3098901154801667E-4</v>
      </c>
      <c r="W46" s="1"/>
      <c r="X46" s="1">
        <f t="shared" si="34"/>
        <v>-61.8</v>
      </c>
      <c r="Y46" s="1"/>
      <c r="Z46" s="5">
        <f t="shared" si="35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/>
      <c r="Q47" s="2"/>
      <c r="R47" s="7">
        <f t="shared" si="32"/>
        <v>0</v>
      </c>
      <c r="S47" s="2"/>
      <c r="T47" s="6">
        <v>61.8</v>
      </c>
      <c r="U47" s="2"/>
      <c r="V47" s="7">
        <f t="shared" si="33"/>
        <v>1.3098901154801667E-4</v>
      </c>
      <c r="W47" s="2"/>
      <c r="X47" s="6">
        <f t="shared" si="34"/>
        <v>-61.8</v>
      </c>
      <c r="Y47" s="2"/>
      <c r="Z47" s="7">
        <f t="shared" si="35"/>
        <v>-1</v>
      </c>
    </row>
    <row r="48" spans="1:26" s="27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SUM(OSRRefD22_7x_0)</f>
        <v>187</v>
      </c>
      <c r="E48" s="1"/>
      <c r="F48" s="5">
        <f t="shared" si="28"/>
        <v>2.6504840676851425E-3</v>
      </c>
      <c r="G48" s="1"/>
      <c r="H48" s="1">
        <f>SUM(OSRRefH22_7x_0)</f>
        <v>276.20999999999998</v>
      </c>
      <c r="I48" s="1"/>
      <c r="J48" s="5">
        <f t="shared" si="29"/>
        <v>3.2495129730520183E-3</v>
      </c>
      <c r="K48" s="1"/>
      <c r="L48" s="1">
        <f t="shared" si="30"/>
        <v>-89.20999999999998</v>
      </c>
      <c r="M48" s="1"/>
      <c r="N48" s="5">
        <f t="shared" si="31"/>
        <v>-0.32297889287136594</v>
      </c>
      <c r="O48" s="13"/>
      <c r="P48" s="1">
        <f>SUM(OSRRefP22_7x_0)</f>
        <v>1193.53</v>
      </c>
      <c r="Q48" s="1"/>
      <c r="R48" s="5">
        <f t="shared" si="32"/>
        <v>2.4577701960052838E-3</v>
      </c>
      <c r="S48" s="1"/>
      <c r="T48" s="1">
        <f>SUM(OSRRefT22_7x_0)</f>
        <v>1364.51</v>
      </c>
      <c r="U48" s="1"/>
      <c r="V48" s="5">
        <f t="shared" si="33"/>
        <v>2.8921653098282238E-3</v>
      </c>
      <c r="W48" s="1"/>
      <c r="X48" s="1">
        <f t="shared" si="34"/>
        <v>-170.98000000000002</v>
      </c>
      <c r="Y48" s="1"/>
      <c r="Z48" s="5">
        <f t="shared" si="35"/>
        <v>-0.12530505456171082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6">
        <v>187</v>
      </c>
      <c r="E49" s="2"/>
      <c r="F49" s="7">
        <f t="shared" si="28"/>
        <v>2.6504840676851425E-3</v>
      </c>
      <c r="G49" s="2"/>
      <c r="H49" s="6">
        <v>276.20999999999998</v>
      </c>
      <c r="I49" s="2"/>
      <c r="J49" s="7">
        <f t="shared" si="29"/>
        <v>3.2495129730520183E-3</v>
      </c>
      <c r="K49" s="2"/>
      <c r="L49" s="6">
        <f t="shared" si="30"/>
        <v>-89.20999999999998</v>
      </c>
      <c r="M49" s="2"/>
      <c r="N49" s="7">
        <f t="shared" si="31"/>
        <v>-0.32297889287136594</v>
      </c>
      <c r="O49" s="11"/>
      <c r="P49" s="6">
        <v>1193.53</v>
      </c>
      <c r="Q49" s="2"/>
      <c r="R49" s="7">
        <f t="shared" si="32"/>
        <v>2.4577701960052838E-3</v>
      </c>
      <c r="S49" s="2"/>
      <c r="T49" s="6">
        <v>1364.51</v>
      </c>
      <c r="U49" s="2"/>
      <c r="V49" s="7">
        <f t="shared" si="33"/>
        <v>2.8921653098282238E-3</v>
      </c>
      <c r="W49" s="2"/>
      <c r="X49" s="6">
        <f t="shared" si="34"/>
        <v>-170.98000000000002</v>
      </c>
      <c r="Y49" s="2"/>
      <c r="Z49" s="7">
        <f t="shared" si="35"/>
        <v>-0.12530505456171082</v>
      </c>
    </row>
    <row r="50" spans="1:26" s="27" customFormat="1" outlineLevel="1" collapsed="1" x14ac:dyDescent="0.25">
      <c r="A50" s="25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SUM(OSRRefD22_8x_0)</f>
        <v>1150</v>
      </c>
      <c r="E50" s="1"/>
      <c r="F50" s="5">
        <f t="shared" si="28"/>
        <v>1.6299768330684031E-2</v>
      </c>
      <c r="G50" s="1"/>
      <c r="H50" s="1">
        <f>SUM(OSRRefH22_8x_0)</f>
        <v>1150</v>
      </c>
      <c r="I50" s="1"/>
      <c r="J50" s="5">
        <f t="shared" si="29"/>
        <v>1.3529343322145546E-2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SUM(OSRRefP22_8x_0)</f>
        <v>6900</v>
      </c>
      <c r="Q50" s="1"/>
      <c r="R50" s="5">
        <f t="shared" si="32"/>
        <v>1.4208787673905524E-2</v>
      </c>
      <c r="S50" s="1"/>
      <c r="T50" s="1">
        <f>SUM(OSRRefT22_8x_0)</f>
        <v>6900</v>
      </c>
      <c r="U50" s="1"/>
      <c r="V50" s="5">
        <f t="shared" si="33"/>
        <v>1.4624986726234872E-2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6">
        <v>1150</v>
      </c>
      <c r="E51" s="2"/>
      <c r="F51" s="7">
        <f t="shared" si="28"/>
        <v>1.6299768330684031E-2</v>
      </c>
      <c r="G51" s="2"/>
      <c r="H51" s="6">
        <v>1150</v>
      </c>
      <c r="I51" s="2"/>
      <c r="J51" s="7">
        <f t="shared" si="29"/>
        <v>1.3529343322145546E-2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6900</v>
      </c>
      <c r="Q51" s="2"/>
      <c r="R51" s="7">
        <f t="shared" si="32"/>
        <v>1.4208787673905524E-2</v>
      </c>
      <c r="S51" s="2"/>
      <c r="T51" s="6">
        <v>6900</v>
      </c>
      <c r="U51" s="2"/>
      <c r="V51" s="7">
        <f t="shared" si="33"/>
        <v>1.4624986726234872E-2</v>
      </c>
      <c r="W51" s="2"/>
      <c r="X51" s="6">
        <f t="shared" si="34"/>
        <v>0</v>
      </c>
      <c r="Y51" s="2"/>
      <c r="Z51" s="7">
        <f t="shared" si="35"/>
        <v>0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2651.96</v>
      </c>
      <c r="E52" s="1"/>
      <c r="F52" s="5">
        <f t="shared" si="28"/>
        <v>3.7588116193252891E-2</v>
      </c>
      <c r="G52" s="1"/>
      <c r="H52" s="1">
        <f>SUM(OSRRefH22_9x_0)</f>
        <v>606.89</v>
      </c>
      <c r="I52" s="1"/>
      <c r="J52" s="5">
        <f t="shared" si="29"/>
        <v>7.139846233719052E-3</v>
      </c>
      <c r="K52" s="1"/>
      <c r="L52" s="1">
        <f t="shared" si="30"/>
        <v>2045.0700000000002</v>
      </c>
      <c r="M52" s="1"/>
      <c r="N52" s="5">
        <f t="shared" si="31"/>
        <v>3.3697539916624102</v>
      </c>
      <c r="O52" s="13"/>
      <c r="P52" s="1">
        <f>SUM(OSRRefP22_9x_0)</f>
        <v>5561.64</v>
      </c>
      <c r="Q52" s="1"/>
      <c r="R52" s="5">
        <f t="shared" si="32"/>
        <v>1.1452777083869553E-2</v>
      </c>
      <c r="S52" s="1"/>
      <c r="T52" s="1">
        <f>SUM(OSRRefT22_9x_0)</f>
        <v>2074.48</v>
      </c>
      <c r="U52" s="1"/>
      <c r="V52" s="5">
        <f t="shared" si="33"/>
        <v>4.3969916614260461E-3</v>
      </c>
      <c r="W52" s="1"/>
      <c r="X52" s="1">
        <f t="shared" si="34"/>
        <v>3487.1600000000003</v>
      </c>
      <c r="Y52" s="1"/>
      <c r="Z52" s="5">
        <f t="shared" si="35"/>
        <v>1.6809802938567739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>
        <v>71.349999999999994</v>
      </c>
      <c r="E53" s="2"/>
      <c r="F53" s="7">
        <f t="shared" si="28"/>
        <v>1.0112943220820048E-3</v>
      </c>
      <c r="G53" s="2"/>
      <c r="H53" s="6">
        <v>67.47</v>
      </c>
      <c r="I53" s="2"/>
      <c r="J53" s="7">
        <f t="shared" si="29"/>
        <v>7.937606903870956E-4</v>
      </c>
      <c r="K53" s="2"/>
      <c r="L53" s="6">
        <f t="shared" si="30"/>
        <v>3.8799999999999955</v>
      </c>
      <c r="M53" s="2"/>
      <c r="N53" s="7">
        <f t="shared" si="31"/>
        <v>5.750704016599964E-2</v>
      </c>
      <c r="O53" s="11"/>
      <c r="P53" s="6">
        <v>139.83000000000001</v>
      </c>
      <c r="Q53" s="2"/>
      <c r="R53" s="7">
        <f t="shared" si="32"/>
        <v>2.8794417107858109E-4</v>
      </c>
      <c r="S53" s="2"/>
      <c r="T53" s="6">
        <v>134.94</v>
      </c>
      <c r="U53" s="2"/>
      <c r="V53" s="7">
        <f t="shared" si="33"/>
        <v>2.8601387084610633E-4</v>
      </c>
      <c r="W53" s="2"/>
      <c r="X53" s="6">
        <f t="shared" si="34"/>
        <v>4.8900000000000148</v>
      </c>
      <c r="Y53" s="2"/>
      <c r="Z53" s="7">
        <f t="shared" si="35"/>
        <v>3.6238328145842706E-2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>
        <v>2580.61</v>
      </c>
      <c r="E54" s="2"/>
      <c r="F54" s="7">
        <f t="shared" si="28"/>
        <v>3.6576821871170888E-2</v>
      </c>
      <c r="G54" s="2"/>
      <c r="H54" s="6">
        <v>539.41999999999996</v>
      </c>
      <c r="I54" s="2"/>
      <c r="J54" s="7">
        <f t="shared" si="29"/>
        <v>6.3460855433319563E-3</v>
      </c>
      <c r="K54" s="2"/>
      <c r="L54" s="6">
        <f t="shared" si="30"/>
        <v>2041.19</v>
      </c>
      <c r="M54" s="2"/>
      <c r="N54" s="7">
        <f t="shared" si="31"/>
        <v>3.7840458269993702</v>
      </c>
      <c r="O54" s="11"/>
      <c r="P54" s="6">
        <v>5421.81</v>
      </c>
      <c r="Q54" s="2"/>
      <c r="R54" s="7">
        <f t="shared" si="32"/>
        <v>1.1164832912790973E-2</v>
      </c>
      <c r="S54" s="2"/>
      <c r="T54" s="6">
        <v>1939.54</v>
      </c>
      <c r="U54" s="2"/>
      <c r="V54" s="7">
        <f t="shared" si="33"/>
        <v>4.1109777905799392E-3</v>
      </c>
      <c r="W54" s="2"/>
      <c r="X54" s="6">
        <f t="shared" si="34"/>
        <v>3482.2700000000004</v>
      </c>
      <c r="Y54" s="2"/>
      <c r="Z54" s="7">
        <f t="shared" si="35"/>
        <v>1.7954102519154029</v>
      </c>
    </row>
    <row r="55" spans="1:26" s="27" customFormat="1" outlineLevel="1" collapsed="1" x14ac:dyDescent="0.25">
      <c r="A55" s="25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425.26</v>
      </c>
      <c r="E55" s="1"/>
      <c r="F55" s="5">
        <f t="shared" ref="F55:F58" si="36">IF(D$12=0,0,D55/D$12)</f>
        <v>6.0275125915710357E-3</v>
      </c>
      <c r="G55" s="1"/>
      <c r="H55" s="1">
        <f>SUM(OSRRefH22_10x_0)</f>
        <v>223.23</v>
      </c>
      <c r="I55" s="1"/>
      <c r="J55" s="5">
        <f t="shared" ref="J55:J58" si="37">IF(H$12=0,0,H55/H$12)</f>
        <v>2.6262220085239564E-3</v>
      </c>
      <c r="K55" s="1"/>
      <c r="L55" s="1">
        <f t="shared" ref="L55:L58" si="38">+D55-H55</f>
        <v>202.03</v>
      </c>
      <c r="M55" s="1"/>
      <c r="N55" s="5">
        <f t="shared" ref="N55:N58" si="39">IF(H55=0,0,L55/H55)</f>
        <v>0.90503068583971691</v>
      </c>
      <c r="O55" s="13"/>
      <c r="P55" s="1">
        <f>SUM(OSRRefP22_10x_0)</f>
        <v>2927.8599999999997</v>
      </c>
      <c r="Q55" s="1"/>
      <c r="R55" s="5">
        <f t="shared" ref="R55:R58" si="40">IF(P$12=0,0,P55/P$12)</f>
        <v>6.0291798665102932E-3</v>
      </c>
      <c r="S55" s="1"/>
      <c r="T55" s="1">
        <f>SUM(OSRRefT22_10x_0)</f>
        <v>2769.16</v>
      </c>
      <c r="U55" s="1"/>
      <c r="V55" s="5">
        <f t="shared" ref="V55:V58" si="41">IF(T$12=0,0,T55/T$12)</f>
        <v>5.8694098902638487E-3</v>
      </c>
      <c r="W55" s="1"/>
      <c r="X55" s="1">
        <f t="shared" ref="X55:X58" si="42">+P55-T55</f>
        <v>158.69999999999982</v>
      </c>
      <c r="Y55" s="1"/>
      <c r="Z55" s="5">
        <f t="shared" ref="Z55:Z58" si="43">IF(T55=0,0,X55/T55)</f>
        <v>5.7309797917057814E-2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6">
        <v>116.81</v>
      </c>
      <c r="E56" s="2"/>
      <c r="F56" s="7">
        <f t="shared" si="36"/>
        <v>1.6556312510497407E-3</v>
      </c>
      <c r="G56" s="2"/>
      <c r="H56" s="6"/>
      <c r="I56" s="2"/>
      <c r="J56" s="7">
        <f t="shared" si="37"/>
        <v>0</v>
      </c>
      <c r="K56" s="2"/>
      <c r="L56" s="6">
        <f t="shared" si="38"/>
        <v>116.81</v>
      </c>
      <c r="M56" s="2"/>
      <c r="N56" s="7">
        <f t="shared" si="39"/>
        <v>0</v>
      </c>
      <c r="O56" s="11"/>
      <c r="P56" s="6">
        <v>817.67</v>
      </c>
      <c r="Q56" s="2"/>
      <c r="R56" s="7">
        <f t="shared" si="40"/>
        <v>1.6837825242496129E-3</v>
      </c>
      <c r="S56" s="2"/>
      <c r="T56" s="6">
        <v>584.04999999999995</v>
      </c>
      <c r="U56" s="2"/>
      <c r="V56" s="7">
        <f t="shared" si="41"/>
        <v>1.2379309416605038E-3</v>
      </c>
      <c r="W56" s="2"/>
      <c r="X56" s="6">
        <f t="shared" si="42"/>
        <v>233.62</v>
      </c>
      <c r="Y56" s="2"/>
      <c r="Z56" s="7">
        <f t="shared" si="43"/>
        <v>0.4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>
        <v>75.680000000000007</v>
      </c>
      <c r="E57" s="2"/>
      <c r="F57" s="7">
        <f t="shared" si="36"/>
        <v>1.0726664932749284E-3</v>
      </c>
      <c r="G57" s="2"/>
      <c r="H57" s="6"/>
      <c r="I57" s="2"/>
      <c r="J57" s="7">
        <f t="shared" si="37"/>
        <v>0</v>
      </c>
      <c r="K57" s="2"/>
      <c r="L57" s="6">
        <f t="shared" si="38"/>
        <v>75.680000000000007</v>
      </c>
      <c r="M57" s="2"/>
      <c r="N57" s="7">
        <f t="shared" si="39"/>
        <v>0</v>
      </c>
      <c r="O57" s="11"/>
      <c r="P57" s="6">
        <v>354.08</v>
      </c>
      <c r="Q57" s="2"/>
      <c r="R57" s="7">
        <f t="shared" si="40"/>
        <v>7.2913732457629958E-4</v>
      </c>
      <c r="S57" s="2"/>
      <c r="T57" s="6">
        <v>351.25</v>
      </c>
      <c r="U57" s="2"/>
      <c r="V57" s="7">
        <f t="shared" si="41"/>
        <v>7.4449660689710124E-4</v>
      </c>
      <c r="W57" s="2"/>
      <c r="X57" s="6">
        <f t="shared" si="42"/>
        <v>2.8299999999999841</v>
      </c>
      <c r="Y57" s="2"/>
      <c r="Z57" s="7">
        <f t="shared" si="43"/>
        <v>8.0569395017793134E-3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6">
        <v>232.77</v>
      </c>
      <c r="E58" s="2"/>
      <c r="F58" s="7">
        <f t="shared" si="36"/>
        <v>3.2992148472463672E-3</v>
      </c>
      <c r="G58" s="2"/>
      <c r="H58" s="6">
        <v>223.23</v>
      </c>
      <c r="I58" s="2"/>
      <c r="J58" s="7">
        <f t="shared" si="37"/>
        <v>2.6262220085239564E-3</v>
      </c>
      <c r="K58" s="2"/>
      <c r="L58" s="6">
        <f t="shared" si="38"/>
        <v>9.5400000000000205</v>
      </c>
      <c r="M58" s="2"/>
      <c r="N58" s="7">
        <f t="shared" si="39"/>
        <v>4.2736191372127495E-2</v>
      </c>
      <c r="O58" s="11"/>
      <c r="P58" s="6">
        <v>1756.11</v>
      </c>
      <c r="Q58" s="2"/>
      <c r="R58" s="7">
        <f t="shared" si="40"/>
        <v>3.6162600176843805E-3</v>
      </c>
      <c r="S58" s="2"/>
      <c r="T58" s="6">
        <v>1833.86</v>
      </c>
      <c r="U58" s="2"/>
      <c r="V58" s="7">
        <f t="shared" si="41"/>
        <v>3.8869823417062438E-3</v>
      </c>
      <c r="W58" s="2"/>
      <c r="X58" s="6">
        <f t="shared" si="42"/>
        <v>-77.75</v>
      </c>
      <c r="Y58" s="2"/>
      <c r="Z58" s="7">
        <f t="shared" si="43"/>
        <v>-4.2396911432715692E-2</v>
      </c>
    </row>
    <row r="59" spans="1:26" s="27" customFormat="1" outlineLevel="1" collapsed="1" x14ac:dyDescent="0.25">
      <c r="A59" s="25"/>
      <c r="B59" s="13" t="str">
        <f>CONCATENATE("     ","Subscriptions &amp; Dues                              ")</f>
        <v xml:space="preserve">     Subscriptions &amp; Dues                              </v>
      </c>
      <c r="C59" s="13"/>
      <c r="D59" s="1">
        <f>SUM(OSRRefD22_11x_0)</f>
        <v>0</v>
      </c>
      <c r="E59" s="1"/>
      <c r="F59" s="5">
        <f t="shared" ref="F59:F67" si="44">IF(D$12=0,0,D59/D$12)</f>
        <v>0</v>
      </c>
      <c r="G59" s="1"/>
      <c r="H59" s="1">
        <f>SUM(OSRRefH22_11x_0)</f>
        <v>0</v>
      </c>
      <c r="I59" s="1"/>
      <c r="J59" s="5">
        <f t="shared" ref="J59:J67" si="45">IF(H$12=0,0,H59/H$12)</f>
        <v>0</v>
      </c>
      <c r="K59" s="1"/>
      <c r="L59" s="1">
        <f t="shared" ref="L59:L67" si="46">+D59-H59</f>
        <v>0</v>
      </c>
      <c r="M59" s="1"/>
      <c r="N59" s="5">
        <f t="shared" ref="N59:N67" si="47">IF(H59=0,0,L59/H59)</f>
        <v>0</v>
      </c>
      <c r="O59" s="13"/>
      <c r="P59" s="1">
        <f>SUM(OSRRefP22_11x_0)</f>
        <v>0</v>
      </c>
      <c r="Q59" s="1"/>
      <c r="R59" s="5">
        <f t="shared" ref="R59:R67" si="48">IF(P$12=0,0,P59/P$12)</f>
        <v>0</v>
      </c>
      <c r="S59" s="1"/>
      <c r="T59" s="1">
        <f>SUM(OSRRefT22_11x_0)</f>
        <v>45</v>
      </c>
      <c r="U59" s="1"/>
      <c r="V59" s="5">
        <f t="shared" ref="V59:V67" si="49">IF(T$12=0,0,T59/T$12)</f>
        <v>9.5380348214575255E-5</v>
      </c>
      <c r="W59" s="1"/>
      <c r="X59" s="1">
        <f t="shared" ref="X59:X67" si="50">+P59-T59</f>
        <v>-45</v>
      </c>
      <c r="Y59" s="1"/>
      <c r="Z59" s="5">
        <f t="shared" ref="Z59:Z67" si="51">IF(T59=0,0,X59/T59)</f>
        <v>-1</v>
      </c>
    </row>
    <row r="60" spans="1:26" s="24" customFormat="1" hidden="1" outlineLevel="2" x14ac:dyDescent="0.25">
      <c r="A60" s="26"/>
      <c r="B60" s="11" t="str">
        <f>CONCATENATE("          ", "6258", " - ", "MEMBERSHIP DUES")</f>
        <v xml:space="preserve">          6258 - MEMBERSHIP DUES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45</v>
      </c>
      <c r="U60" s="2"/>
      <c r="V60" s="7">
        <f t="shared" si="49"/>
        <v>9.5380348214575255E-5</v>
      </c>
      <c r="W60" s="2"/>
      <c r="X60" s="6">
        <f t="shared" si="50"/>
        <v>-45</v>
      </c>
      <c r="Y60" s="2"/>
      <c r="Z60" s="7">
        <f t="shared" si="51"/>
        <v>-1</v>
      </c>
    </row>
    <row r="61" spans="1:26" s="27" customFormat="1" outlineLevel="1" collapsed="1" x14ac:dyDescent="0.25">
      <c r="A61" s="25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1287.51</v>
      </c>
      <c r="E61" s="1"/>
      <c r="F61" s="5">
        <f t="shared" si="44"/>
        <v>1.8248795411686086E-2</v>
      </c>
      <c r="G61" s="1"/>
      <c r="H61" s="1">
        <f>SUM(OSRRefH22_12x_0)</f>
        <v>997.29</v>
      </c>
      <c r="I61" s="1"/>
      <c r="J61" s="5">
        <f t="shared" si="45"/>
        <v>1.1732764175428288E-2</v>
      </c>
      <c r="K61" s="1"/>
      <c r="L61" s="1">
        <f t="shared" si="46"/>
        <v>290.22000000000003</v>
      </c>
      <c r="M61" s="1"/>
      <c r="N61" s="5">
        <f t="shared" si="47"/>
        <v>0.29100863339650457</v>
      </c>
      <c r="O61" s="13"/>
      <c r="P61" s="1">
        <f>SUM(OSRRefP22_12x_0)</f>
        <v>12068.64</v>
      </c>
      <c r="Q61" s="1"/>
      <c r="R61" s="5">
        <f t="shared" si="48"/>
        <v>2.4852281633739585E-2</v>
      </c>
      <c r="S61" s="1"/>
      <c r="T61" s="1">
        <f>SUM(OSRRefT22_12x_0)</f>
        <v>9985.61</v>
      </c>
      <c r="U61" s="1"/>
      <c r="V61" s="5">
        <f t="shared" si="49"/>
        <v>2.1165132420776552E-2</v>
      </c>
      <c r="W61" s="1"/>
      <c r="X61" s="1">
        <f t="shared" si="50"/>
        <v>2083.0299999999988</v>
      </c>
      <c r="Y61" s="1"/>
      <c r="Z61" s="5">
        <f t="shared" si="51"/>
        <v>0.20860317997598532</v>
      </c>
    </row>
    <row r="62" spans="1:26" s="24" customFormat="1" hidden="1" outlineLevel="2" x14ac:dyDescent="0.25">
      <c r="A62" s="26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>
        <v>354.71</v>
      </c>
      <c r="Q62" s="2"/>
      <c r="R62" s="7">
        <f t="shared" si="48"/>
        <v>7.304346486682649E-4</v>
      </c>
      <c r="S62" s="2"/>
      <c r="T62" s="6"/>
      <c r="U62" s="2"/>
      <c r="V62" s="7">
        <f t="shared" si="49"/>
        <v>0</v>
      </c>
      <c r="W62" s="2"/>
      <c r="X62" s="6">
        <f t="shared" si="50"/>
        <v>354.71</v>
      </c>
      <c r="Y62" s="2"/>
      <c r="Z62" s="7">
        <f t="shared" si="51"/>
        <v>0</v>
      </c>
    </row>
    <row r="63" spans="1:26" s="24" customFormat="1" hidden="1" outlineLevel="2" x14ac:dyDescent="0.25">
      <c r="A63" s="26"/>
      <c r="B63" s="11" t="str">
        <f>CONCATENATE("          ", "6237", " - ", "JANITORIAL SUPPLIES")</f>
        <v xml:space="preserve">          6237 - JANITORIAL SUPPLIES</v>
      </c>
      <c r="C63" s="11"/>
      <c r="D63" s="6">
        <v>57.1</v>
      </c>
      <c r="E63" s="2"/>
      <c r="F63" s="7">
        <f t="shared" si="44"/>
        <v>8.0931893189744198E-4</v>
      </c>
      <c r="G63" s="2"/>
      <c r="H63" s="6">
        <v>110.24</v>
      </c>
      <c r="I63" s="2"/>
      <c r="J63" s="7">
        <f t="shared" si="45"/>
        <v>1.2969346155072389E-3</v>
      </c>
      <c r="K63" s="2"/>
      <c r="L63" s="6">
        <f t="shared" si="46"/>
        <v>-53.139999999999993</v>
      </c>
      <c r="M63" s="2"/>
      <c r="N63" s="7">
        <f t="shared" si="47"/>
        <v>-0.48203918722786643</v>
      </c>
      <c r="O63" s="11"/>
      <c r="P63" s="6">
        <v>1241.78</v>
      </c>
      <c r="Q63" s="2"/>
      <c r="R63" s="7">
        <f t="shared" si="48"/>
        <v>2.5571287474931014E-3</v>
      </c>
      <c r="S63" s="2"/>
      <c r="T63" s="6">
        <v>861.94</v>
      </c>
      <c r="U63" s="2"/>
      <c r="V63" s="7">
        <f t="shared" si="49"/>
        <v>1.826936385334911E-3</v>
      </c>
      <c r="W63" s="2"/>
      <c r="X63" s="6">
        <f t="shared" si="50"/>
        <v>379.83999999999992</v>
      </c>
      <c r="Y63" s="2"/>
      <c r="Z63" s="7">
        <f t="shared" si="51"/>
        <v>0.4406803257767361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6">
        <v>95</v>
      </c>
      <c r="E64" s="2"/>
      <c r="F64" s="7">
        <f t="shared" si="44"/>
        <v>1.3465026012304201E-3</v>
      </c>
      <c r="G64" s="2"/>
      <c r="H64" s="6">
        <v>182.79</v>
      </c>
      <c r="I64" s="2"/>
      <c r="J64" s="7">
        <f t="shared" si="45"/>
        <v>2.1504597094391168E-3</v>
      </c>
      <c r="K64" s="2"/>
      <c r="L64" s="6">
        <f t="shared" si="46"/>
        <v>-87.789999999999992</v>
      </c>
      <c r="M64" s="2"/>
      <c r="N64" s="7">
        <f t="shared" si="47"/>
        <v>-0.48027791454674762</v>
      </c>
      <c r="O64" s="11"/>
      <c r="P64" s="6">
        <v>1102.25</v>
      </c>
      <c r="Q64" s="2"/>
      <c r="R64" s="7">
        <f t="shared" si="48"/>
        <v>2.2698023497916466E-3</v>
      </c>
      <c r="S64" s="2"/>
      <c r="T64" s="6">
        <v>1958.63</v>
      </c>
      <c r="U64" s="2"/>
      <c r="V64" s="7">
        <f t="shared" si="49"/>
        <v>4.1514402538558566E-3</v>
      </c>
      <c r="W64" s="2"/>
      <c r="X64" s="6">
        <f t="shared" si="50"/>
        <v>-856.38000000000011</v>
      </c>
      <c r="Y64" s="2"/>
      <c r="Z64" s="7">
        <f t="shared" si="51"/>
        <v>-0.43723418920367813</v>
      </c>
    </row>
    <row r="65" spans="1:26" s="24" customFormat="1" hidden="1" outlineLevel="2" x14ac:dyDescent="0.25">
      <c r="A65" s="26"/>
      <c r="B65" s="11" t="str">
        <f>CONCATENATE("          ", "6243", " - ", "PAPER SUPPLIES")</f>
        <v xml:space="preserve">          6243 - PAPER SUPPLIES</v>
      </c>
      <c r="C65" s="11"/>
      <c r="D65" s="6">
        <v>334.75</v>
      </c>
      <c r="E65" s="2"/>
      <c r="F65" s="7">
        <f t="shared" si="44"/>
        <v>4.7446499553882434E-3</v>
      </c>
      <c r="G65" s="2"/>
      <c r="H65" s="6">
        <v>304.56</v>
      </c>
      <c r="I65" s="2"/>
      <c r="J65" s="7">
        <f t="shared" si="45"/>
        <v>3.5830406975588236E-3</v>
      </c>
      <c r="K65" s="2"/>
      <c r="L65" s="6">
        <f t="shared" si="46"/>
        <v>30.189999999999998</v>
      </c>
      <c r="M65" s="2"/>
      <c r="N65" s="7">
        <f t="shared" si="47"/>
        <v>9.9126608878381914E-2</v>
      </c>
      <c r="O65" s="11"/>
      <c r="P65" s="6">
        <v>1971.29</v>
      </c>
      <c r="Q65" s="2"/>
      <c r="R65" s="7">
        <f t="shared" si="48"/>
        <v>4.0593682686511914E-3</v>
      </c>
      <c r="S65" s="2"/>
      <c r="T65" s="6">
        <v>3784.83</v>
      </c>
      <c r="U65" s="2"/>
      <c r="V65" s="7">
        <f t="shared" si="49"/>
        <v>8.0221867407326859E-3</v>
      </c>
      <c r="W65" s="2"/>
      <c r="X65" s="6">
        <f t="shared" si="50"/>
        <v>-1813.54</v>
      </c>
      <c r="Y65" s="2"/>
      <c r="Z65" s="7">
        <f t="shared" si="51"/>
        <v>-0.4791602264830917</v>
      </c>
    </row>
    <row r="66" spans="1:26" s="24" customFormat="1" hidden="1" outlineLevel="2" x14ac:dyDescent="0.25">
      <c r="A66" s="26"/>
      <c r="B66" s="11" t="str">
        <f>CONCATENATE("          ", "6247", " - ", "STORE SUPPLIES")</f>
        <v xml:space="preserve">          6247 - STORE SUPPLIES</v>
      </c>
      <c r="C66" s="11"/>
      <c r="D66" s="6">
        <v>800.66</v>
      </c>
      <c r="E66" s="2"/>
      <c r="F66" s="7">
        <f t="shared" si="44"/>
        <v>1.134832392316998E-2</v>
      </c>
      <c r="G66" s="2"/>
      <c r="H66" s="6">
        <v>399.7</v>
      </c>
      <c r="I66" s="2"/>
      <c r="J66" s="7">
        <f t="shared" si="45"/>
        <v>4.7023291529231081E-3</v>
      </c>
      <c r="K66" s="2"/>
      <c r="L66" s="6">
        <f t="shared" si="46"/>
        <v>400.96</v>
      </c>
      <c r="M66" s="2"/>
      <c r="N66" s="7">
        <f t="shared" si="47"/>
        <v>1.003152364273205</v>
      </c>
      <c r="O66" s="11"/>
      <c r="P66" s="6">
        <v>7398.61</v>
      </c>
      <c r="Q66" s="2"/>
      <c r="R66" s="7">
        <f t="shared" si="48"/>
        <v>1.5235547619135382E-2</v>
      </c>
      <c r="S66" s="2"/>
      <c r="T66" s="6">
        <v>3192.34</v>
      </c>
      <c r="U66" s="2"/>
      <c r="V66" s="7">
        <f t="shared" si="49"/>
        <v>6.7663666848737153E-3</v>
      </c>
      <c r="W66" s="2"/>
      <c r="X66" s="6">
        <f t="shared" si="50"/>
        <v>4206.2699999999995</v>
      </c>
      <c r="Y66" s="2"/>
      <c r="Z66" s="7">
        <f t="shared" si="51"/>
        <v>1.3176134121052268</v>
      </c>
    </row>
    <row r="67" spans="1:26" s="24" customFormat="1" hidden="1" outlineLevel="2" x14ac:dyDescent="0.25">
      <c r="A67" s="26"/>
      <c r="B67" s="11" t="str">
        <f>CONCATENATE("          ", "6248", " - ", "UNIFORMS")</f>
        <v xml:space="preserve">          6248 - UNIFORMS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187.87</v>
      </c>
      <c r="U67" s="2"/>
      <c r="V67" s="7">
        <f t="shared" si="49"/>
        <v>3.982023559793834E-4</v>
      </c>
      <c r="W67" s="2"/>
      <c r="X67" s="6">
        <f t="shared" si="50"/>
        <v>-187.87</v>
      </c>
      <c r="Y67" s="2"/>
      <c r="Z67" s="7">
        <f t="shared" si="51"/>
        <v>-1</v>
      </c>
    </row>
    <row r="68" spans="1:26" s="27" customFormat="1" outlineLevel="1" collapsed="1" x14ac:dyDescent="0.25">
      <c r="A68" s="25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36</v>
      </c>
      <c r="E68" s="1"/>
      <c r="F68" s="5">
        <f t="shared" ref="F68:F71" si="52">IF(D$12=0,0,D68/D$12)</f>
        <v>5.1025361730836969E-4</v>
      </c>
      <c r="G68" s="1"/>
      <c r="H68" s="1">
        <f>SUM(OSRRefH22_13x_0)</f>
        <v>36</v>
      </c>
      <c r="I68" s="1"/>
      <c r="J68" s="5">
        <f t="shared" ref="J68:J71" si="53">IF(H$12=0,0,H68/H$12)</f>
        <v>4.23527269214991E-4</v>
      </c>
      <c r="K68" s="1"/>
      <c r="L68" s="1">
        <f t="shared" ref="L68:L71" si="54">+D68-H68</f>
        <v>0</v>
      </c>
      <c r="M68" s="1"/>
      <c r="N68" s="5">
        <f t="shared" ref="N68:N71" si="55">IF(H68=0,0,L68/H68)</f>
        <v>0</v>
      </c>
      <c r="O68" s="13"/>
      <c r="P68" s="1">
        <f>SUM(OSRRefP22_13x_0)</f>
        <v>231</v>
      </c>
      <c r="Q68" s="1"/>
      <c r="R68" s="5">
        <f t="shared" ref="R68:R71" si="56">IF(P$12=0,0,P68/P$12)</f>
        <v>4.7568550038727187E-4</v>
      </c>
      <c r="S68" s="1"/>
      <c r="T68" s="1">
        <f>SUM(OSRRefT22_13x_0)</f>
        <v>216</v>
      </c>
      <c r="U68" s="1"/>
      <c r="V68" s="5">
        <f t="shared" ref="V68:V71" si="57">IF(T$12=0,0,T68/T$12)</f>
        <v>4.5782567142996119E-4</v>
      </c>
      <c r="W68" s="1"/>
      <c r="X68" s="1">
        <f t="shared" ref="X68:X71" si="58">+P68-T68</f>
        <v>15</v>
      </c>
      <c r="Y68" s="1"/>
      <c r="Z68" s="5">
        <f t="shared" ref="Z68:Z71" si="59">IF(T68=0,0,X68/T68)</f>
        <v>6.9444444444444448E-2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>
        <v>36</v>
      </c>
      <c r="E69" s="2"/>
      <c r="F69" s="7">
        <f t="shared" si="52"/>
        <v>5.1025361730836969E-4</v>
      </c>
      <c r="G69" s="2"/>
      <c r="H69" s="6">
        <v>36</v>
      </c>
      <c r="I69" s="2"/>
      <c r="J69" s="7">
        <f t="shared" si="53"/>
        <v>4.23527269214991E-4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231</v>
      </c>
      <c r="Q69" s="2"/>
      <c r="R69" s="7">
        <f t="shared" si="56"/>
        <v>4.7568550038727187E-4</v>
      </c>
      <c r="S69" s="2"/>
      <c r="T69" s="6">
        <v>216</v>
      </c>
      <c r="U69" s="2"/>
      <c r="V69" s="7">
        <f t="shared" si="57"/>
        <v>4.5782567142996119E-4</v>
      </c>
      <c r="W69" s="2"/>
      <c r="X69" s="6">
        <f t="shared" si="58"/>
        <v>15</v>
      </c>
      <c r="Y69" s="2"/>
      <c r="Z69" s="7">
        <f t="shared" si="59"/>
        <v>6.9444444444444448E-2</v>
      </c>
    </row>
    <row r="70" spans="1:26" s="27" customFormat="1" outlineLevel="1" collapsed="1" x14ac:dyDescent="0.25">
      <c r="A70" s="25"/>
      <c r="B70" s="13" t="str">
        <f>CONCATENATE("     ","Utilities                                         ")</f>
        <v xml:space="preserve">     Utilities                                         </v>
      </c>
      <c r="C70" s="13"/>
      <c r="D70" s="1">
        <f>SUM(OSRRefD22_14x_0)</f>
        <v>457</v>
      </c>
      <c r="E70" s="1"/>
      <c r="F70" s="5">
        <f t="shared" si="52"/>
        <v>6.4773861974979155E-3</v>
      </c>
      <c r="G70" s="1"/>
      <c r="H70" s="1">
        <f>SUM(OSRRefH22_14x_0)</f>
        <v>182</v>
      </c>
      <c r="I70" s="1"/>
      <c r="J70" s="5">
        <f t="shared" si="53"/>
        <v>2.141165638809121E-3</v>
      </c>
      <c r="K70" s="1"/>
      <c r="L70" s="1">
        <f t="shared" si="54"/>
        <v>275</v>
      </c>
      <c r="M70" s="1"/>
      <c r="N70" s="5">
        <f t="shared" si="55"/>
        <v>1.5109890109890109</v>
      </c>
      <c r="O70" s="13"/>
      <c r="P70" s="1">
        <f>SUM(OSRRefP22_14x_0)</f>
        <v>1185</v>
      </c>
      <c r="Q70" s="1"/>
      <c r="R70" s="5">
        <f t="shared" si="56"/>
        <v>2.4402048396489919E-3</v>
      </c>
      <c r="S70" s="1"/>
      <c r="T70" s="1">
        <f>SUM(OSRRefT22_14x_0)</f>
        <v>766.68</v>
      </c>
      <c r="U70" s="1"/>
      <c r="V70" s="5">
        <f t="shared" si="57"/>
        <v>1.6250267859811234E-3</v>
      </c>
      <c r="W70" s="1"/>
      <c r="X70" s="1">
        <f t="shared" si="58"/>
        <v>418.32000000000005</v>
      </c>
      <c r="Y70" s="1"/>
      <c r="Z70" s="5">
        <f t="shared" si="59"/>
        <v>0.54562529347315714</v>
      </c>
    </row>
    <row r="71" spans="1:26" s="24" customFormat="1" hidden="1" outlineLevel="2" x14ac:dyDescent="0.25">
      <c r="A71" s="26"/>
      <c r="B71" s="11" t="str">
        <f>CONCATENATE("          ", "6274", " - ", "UTILITIES")</f>
        <v xml:space="preserve">          6274 - UTILITIES</v>
      </c>
      <c r="C71" s="11"/>
      <c r="D71" s="6">
        <v>457</v>
      </c>
      <c r="E71" s="2"/>
      <c r="F71" s="7">
        <f t="shared" si="52"/>
        <v>6.4773861974979155E-3</v>
      </c>
      <c r="G71" s="2"/>
      <c r="H71" s="6">
        <v>182</v>
      </c>
      <c r="I71" s="2"/>
      <c r="J71" s="7">
        <f t="shared" si="53"/>
        <v>2.141165638809121E-3</v>
      </c>
      <c r="K71" s="2"/>
      <c r="L71" s="6">
        <f t="shared" si="54"/>
        <v>275</v>
      </c>
      <c r="M71" s="2"/>
      <c r="N71" s="7">
        <f t="shared" si="55"/>
        <v>1.5109890109890109</v>
      </c>
      <c r="O71" s="11"/>
      <c r="P71" s="6">
        <v>1185</v>
      </c>
      <c r="Q71" s="2"/>
      <c r="R71" s="7">
        <f t="shared" si="56"/>
        <v>2.4402048396489919E-3</v>
      </c>
      <c r="S71" s="2"/>
      <c r="T71" s="6">
        <v>766.68</v>
      </c>
      <c r="U71" s="2"/>
      <c r="V71" s="7">
        <f t="shared" si="57"/>
        <v>1.6250267859811234E-3</v>
      </c>
      <c r="W71" s="2"/>
      <c r="X71" s="6">
        <f t="shared" si="58"/>
        <v>418.32000000000005</v>
      </c>
      <c r="Y71" s="2"/>
      <c r="Z71" s="7">
        <f t="shared" si="59"/>
        <v>0.54562529347315714</v>
      </c>
    </row>
    <row r="72" spans="1:26" s="61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8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3</v>
      </c>
      <c r="C75" s="29"/>
      <c r="D75" s="20">
        <f>+D20-D22+D73</f>
        <v>6843.6299999999937</v>
      </c>
      <c r="E75" s="14"/>
      <c r="F75" s="21">
        <f>IF(D$12=0,0,D75/D$12)</f>
        <v>9.699963786166875E-2</v>
      </c>
      <c r="G75" s="14"/>
      <c r="H75" s="20">
        <f>+H20-H22+H73</f>
        <v>20440.920000000009</v>
      </c>
      <c r="I75" s="14"/>
      <c r="J75" s="21">
        <f>IF(H$12=0,0,H75/H$12)</f>
        <v>0.24048019521783603</v>
      </c>
      <c r="K75" s="15"/>
      <c r="L75" s="20">
        <f>+D75-H75</f>
        <v>-13597.290000000015</v>
      </c>
      <c r="M75" s="15"/>
      <c r="N75" s="21">
        <f>IF(H75=0,0,L75/H75)</f>
        <v>-0.66519951156797297</v>
      </c>
      <c r="O75" s="28"/>
      <c r="P75" s="20">
        <f>+P20-P22+P73</f>
        <v>65606.859999999986</v>
      </c>
      <c r="Q75" s="14"/>
      <c r="R75" s="21">
        <f>IF(P$12=0,0,P75/P$12)</f>
        <v>0.13510057154951377</v>
      </c>
      <c r="S75" s="14"/>
      <c r="T75" s="20">
        <f>+T20-T22+T73</f>
        <v>91333.080000000104</v>
      </c>
      <c r="U75" s="14"/>
      <c r="V75" s="21">
        <f>IF(T$12=0,0,T75/T$12)</f>
        <v>0.19358624386465931</v>
      </c>
      <c r="W75" s="15"/>
      <c r="X75" s="20">
        <f>+P75-T75</f>
        <v>-25726.220000000118</v>
      </c>
      <c r="Y75" s="15"/>
      <c r="Z75" s="21">
        <f>IF(T75=0,0,X75/T75)</f>
        <v>-0.28167472289339296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8497.92</v>
      </c>
      <c r="E77" s="4"/>
      <c r="F77" s="12">
        <f>IF(D$12=0,0,D77/D$12)</f>
        <v>0.1204470672110317</v>
      </c>
      <c r="G77" s="4"/>
      <c r="H77" s="4">
        <v>10214.379999999999</v>
      </c>
      <c r="I77" s="4"/>
      <c r="J77" s="12">
        <f>IF(H$12=0,0,H77/H$12)</f>
        <v>0.12016856855900609</v>
      </c>
      <c r="K77" s="4"/>
      <c r="L77" s="4">
        <f>+D77-H77</f>
        <v>-1716.4599999999991</v>
      </c>
      <c r="M77" s="4"/>
      <c r="N77" s="12">
        <f>IF(H77=0,0,L77/H77)</f>
        <v>-0.16804348379441525</v>
      </c>
      <c r="O77" s="10"/>
      <c r="P77" s="4">
        <v>52450.16</v>
      </c>
      <c r="Q77" s="4"/>
      <c r="R77" s="12">
        <f>IF(P$12=0,0,P77/P$12)</f>
        <v>0.10800770824672067</v>
      </c>
      <c r="S77" s="4"/>
      <c r="T77" s="4">
        <v>50913.859999999993</v>
      </c>
      <c r="U77" s="4"/>
      <c r="V77" s="12">
        <f>IF(T$12=0,0,T77/T$12)</f>
        <v>0.10791514879440298</v>
      </c>
      <c r="W77" s="4"/>
      <c r="X77" s="4">
        <f>+P77-T77</f>
        <v>1536.3000000000102</v>
      </c>
      <c r="Y77" s="4"/>
      <c r="Z77" s="12">
        <f>IF(T77=0,0,X77/T77)</f>
        <v>3.0174494725012213E-2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4</v>
      </c>
      <c r="C79" s="29"/>
      <c r="D79" s="32">
        <f>+D75-D77</f>
        <v>-1654.2900000000063</v>
      </c>
      <c r="E79" s="14"/>
      <c r="F79" s="30">
        <f>IF(D$12=0,0,D79/D$12)</f>
        <v>-2.3447429349362947E-2</v>
      </c>
      <c r="G79" s="14"/>
      <c r="H79" s="32">
        <f>+H75-H77</f>
        <v>10226.54000000001</v>
      </c>
      <c r="I79" s="14"/>
      <c r="J79" s="30">
        <f>IF(H$12=0,0,H79/H$12)</f>
        <v>0.12031162665882995</v>
      </c>
      <c r="K79" s="15"/>
      <c r="L79" s="32">
        <f>D79-H79</f>
        <v>-11880.830000000016</v>
      </c>
      <c r="M79" s="15"/>
      <c r="N79" s="30">
        <f>IF(H79=0,0,L79/H79)</f>
        <v>-1.1617643895198184</v>
      </c>
      <c r="O79" s="28"/>
      <c r="P79" s="32">
        <f>+P75-P77</f>
        <v>13156.699999999983</v>
      </c>
      <c r="Q79" s="14"/>
      <c r="R79" s="30">
        <f>IF(P$12=0,0,P79/P$12)</f>
        <v>2.7092863302793122E-2</v>
      </c>
      <c r="S79" s="14"/>
      <c r="T79" s="32">
        <f>+T75-T77</f>
        <v>40419.22000000011</v>
      </c>
      <c r="U79" s="14"/>
      <c r="V79" s="30">
        <f>IF(T$12=0,0,T79/T$12)</f>
        <v>8.5671095070256331E-2</v>
      </c>
      <c r="W79" s="15"/>
      <c r="X79" s="32">
        <f>P79-T79</f>
        <v>-27262.520000000128</v>
      </c>
      <c r="Y79" s="15"/>
      <c r="Z79" s="30">
        <f>IF(T79=0,0,X79/T79)</f>
        <v>-0.67449396598944888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5</v>
      </c>
      <c r="C82" s="29"/>
      <c r="D82" s="36">
        <f>SUM(D79:D81)</f>
        <v>-1654.2900000000063</v>
      </c>
      <c r="E82" s="14"/>
      <c r="F82" s="31">
        <f>IF(D$12=0,0,D82/D$12)</f>
        <v>-2.3447429349362947E-2</v>
      </c>
      <c r="G82" s="14"/>
      <c r="H82" s="36">
        <f>SUM(H79:H81)</f>
        <v>10226.54000000001</v>
      </c>
      <c r="I82" s="14"/>
      <c r="J82" s="31">
        <f>IF(H$12=0,0,H82/H$12)</f>
        <v>0.12031162665882995</v>
      </c>
      <c r="K82" s="15"/>
      <c r="L82" s="36">
        <f>+D82-H82</f>
        <v>-11880.830000000016</v>
      </c>
      <c r="M82" s="15"/>
      <c r="N82" s="31">
        <f>IF(H82=0,0,L82/H82)</f>
        <v>-1.1617643895198184</v>
      </c>
      <c r="O82" s="28"/>
      <c r="P82" s="36">
        <f>SUM(P79:P81)</f>
        <v>13156.699999999983</v>
      </c>
      <c r="Q82" s="14"/>
      <c r="R82" s="31">
        <f>IF(P$12=0,0,P82/P$12)</f>
        <v>2.7092863302793122E-2</v>
      </c>
      <c r="S82" s="14"/>
      <c r="T82" s="36">
        <f>SUM(T79:T81)</f>
        <v>40419.22000000011</v>
      </c>
      <c r="U82" s="14"/>
      <c r="V82" s="31">
        <f>IF(T$12=0,0,T82/T$12)</f>
        <v>8.5671095070256331E-2</v>
      </c>
      <c r="W82" s="15"/>
      <c r="X82" s="36">
        <f>+P82-T82</f>
        <v>-27262.520000000128</v>
      </c>
      <c r="Y82" s="15"/>
      <c r="Z82" s="31">
        <f>IF(T82=0,0,X82/T82)</f>
        <v>-0.67449396598944888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62">
        <v>43847.453847488425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6" t="s">
        <v>313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4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","325", " - ", "Outpost C-Store")</f>
        <v>Department 325 - Outpost C-Store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49164.08</v>
      </c>
      <c r="E12" s="4"/>
      <c r="F12" s="12"/>
      <c r="G12" s="4"/>
      <c r="H12" s="4">
        <f>SUM(OSRRefH13x_0)</f>
        <v>52975.64</v>
      </c>
      <c r="I12" s="4"/>
      <c r="J12" s="12"/>
      <c r="K12" s="4"/>
      <c r="L12" s="4">
        <f t="shared" ref="L12:L14" si="0">+D12-H12</f>
        <v>-3811.5599999999977</v>
      </c>
      <c r="M12" s="4"/>
      <c r="N12" s="12">
        <f t="shared" ref="N12:N14" si="1">IF(H12=0,0,L12/H12)</f>
        <v>-7.1949295940549232E-2</v>
      </c>
      <c r="O12" s="10"/>
      <c r="P12" s="4">
        <f>SUM(OSRRefP13x_0)</f>
        <v>402676.04</v>
      </c>
      <c r="Q12" s="4"/>
      <c r="R12" s="12"/>
      <c r="S12" s="4"/>
      <c r="T12" s="4">
        <f>SUM(OSRRefT13x_0)</f>
        <v>372998.17000000004</v>
      </c>
      <c r="U12" s="4"/>
      <c r="V12" s="12"/>
      <c r="W12" s="4"/>
      <c r="X12" s="4">
        <f t="shared" ref="X12:X14" si="2">+P12-T12</f>
        <v>29677.869999999937</v>
      </c>
      <c r="Y12" s="4"/>
      <c r="Z12" s="12">
        <f t="shared" ref="Z12:Z14" si="3">IF(T12=0,0,X12/T12)</f>
        <v>7.9565725483317876E-2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--10286.44</f>
        <v>10286.44</v>
      </c>
      <c r="E13" s="2"/>
      <c r="F13" s="19"/>
      <c r="G13" s="2"/>
      <c r="H13" s="2">
        <f>--15550.68</f>
        <v>15550.68</v>
      </c>
      <c r="I13" s="2"/>
      <c r="J13" s="19"/>
      <c r="K13" s="2"/>
      <c r="L13" s="2">
        <f t="shared" si="0"/>
        <v>-5264.24</v>
      </c>
      <c r="M13" s="2"/>
      <c r="N13" s="19">
        <f t="shared" si="1"/>
        <v>-0.33852153089125359</v>
      </c>
      <c r="O13" s="11"/>
      <c r="P13" s="2">
        <f>--72901.99</f>
        <v>72901.990000000005</v>
      </c>
      <c r="Q13" s="2"/>
      <c r="R13" s="19"/>
      <c r="S13" s="2"/>
      <c r="T13" s="2">
        <f>--84688.83</f>
        <v>84688.83</v>
      </c>
      <c r="U13" s="2"/>
      <c r="V13" s="19"/>
      <c r="W13" s="2"/>
      <c r="X13" s="2">
        <f t="shared" si="2"/>
        <v>-11786.839999999997</v>
      </c>
      <c r="Y13" s="2"/>
      <c r="Z13" s="19">
        <f t="shared" si="3"/>
        <v>-0.13917821275840034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--38877.64</f>
        <v>38877.64</v>
      </c>
      <c r="E14" s="2"/>
      <c r="F14" s="19"/>
      <c r="G14" s="2"/>
      <c r="H14" s="2">
        <f>--37424.96</f>
        <v>37424.959999999999</v>
      </c>
      <c r="I14" s="2"/>
      <c r="J14" s="19"/>
      <c r="K14" s="2"/>
      <c r="L14" s="2">
        <f t="shared" si="0"/>
        <v>1452.6800000000003</v>
      </c>
      <c r="M14" s="2"/>
      <c r="N14" s="19">
        <f t="shared" si="1"/>
        <v>3.881580634955923E-2</v>
      </c>
      <c r="O14" s="11"/>
      <c r="P14" s="2">
        <f>--329774.05</f>
        <v>329774.05</v>
      </c>
      <c r="Q14" s="2"/>
      <c r="R14" s="19"/>
      <c r="S14" s="2"/>
      <c r="T14" s="2">
        <f>--288309.34</f>
        <v>288309.34000000003</v>
      </c>
      <c r="U14" s="2"/>
      <c r="V14" s="19"/>
      <c r="W14" s="2"/>
      <c r="X14" s="2">
        <f t="shared" si="2"/>
        <v>41464.709999999963</v>
      </c>
      <c r="Y14" s="2"/>
      <c r="Z14" s="19">
        <f t="shared" si="3"/>
        <v>0.14382021061128286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24297.27</v>
      </c>
      <c r="E16" s="4"/>
      <c r="F16" s="12">
        <f t="shared" ref="F16:F18" si="4">IF(D$12=0,0,D16/D$12)</f>
        <v>0.4942077630660433</v>
      </c>
      <c r="G16" s="4"/>
      <c r="H16" s="4">
        <f>SUM(OSRRefH16x_0)</f>
        <v>23764.35</v>
      </c>
      <c r="I16" s="4"/>
      <c r="J16" s="12">
        <f t="shared" ref="J16:J18" si="5">IF(H$12=0,0,H16/H$12)</f>
        <v>0.44859014445129874</v>
      </c>
      <c r="K16" s="4"/>
      <c r="L16" s="4">
        <f t="shared" ref="L16:L18" si="6">+D16-H16</f>
        <v>532.92000000000189</v>
      </c>
      <c r="M16" s="4"/>
      <c r="N16" s="12">
        <f t="shared" ref="N16:N18" si="7">IF(H16=0,0,L16/H16)</f>
        <v>2.2425187307879322E-2</v>
      </c>
      <c r="O16" s="10"/>
      <c r="P16" s="4">
        <f>SUM(OSRRefP16x_0)</f>
        <v>183549.88</v>
      </c>
      <c r="Q16" s="4"/>
      <c r="R16" s="12">
        <f t="shared" ref="R16:R18" si="8">IF(P$12=0,0,P16/P$12)</f>
        <v>0.45582518393694349</v>
      </c>
      <c r="S16" s="4"/>
      <c r="T16" s="4">
        <f>SUM(OSRRefT16x_0)</f>
        <v>172571.51999999999</v>
      </c>
      <c r="U16" s="4"/>
      <c r="V16" s="12">
        <f t="shared" ref="V16:V18" si="9">IF(T$12=0,0,T16/T$12)</f>
        <v>0.46266050045232116</v>
      </c>
      <c r="W16" s="4"/>
      <c r="X16" s="4">
        <f t="shared" ref="X16:X18" si="10">+P16-T16</f>
        <v>10978.360000000015</v>
      </c>
      <c r="Y16" s="4"/>
      <c r="Z16" s="12">
        <f t="shared" ref="Z16:Z18" si="11">IF(T16=0,0,X16/T16)</f>
        <v>6.361629079931623E-2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17701.98</v>
      </c>
      <c r="E17" s="2"/>
      <c r="F17" s="19">
        <f t="shared" si="4"/>
        <v>0.36005921396271423</v>
      </c>
      <c r="G17" s="2"/>
      <c r="H17" s="2">
        <v>18491.759999999998</v>
      </c>
      <c r="I17" s="2"/>
      <c r="J17" s="19">
        <f t="shared" si="5"/>
        <v>0.34906156867571581</v>
      </c>
      <c r="K17" s="2"/>
      <c r="L17" s="2">
        <f t="shared" si="6"/>
        <v>-789.77999999999884</v>
      </c>
      <c r="M17" s="2"/>
      <c r="N17" s="19">
        <f t="shared" si="7"/>
        <v>-4.2709834001739097E-2</v>
      </c>
      <c r="O17" s="11"/>
      <c r="P17" s="2">
        <v>187179.32</v>
      </c>
      <c r="Q17" s="2"/>
      <c r="R17" s="19">
        <f t="shared" si="8"/>
        <v>0.46483848405780492</v>
      </c>
      <c r="S17" s="2"/>
      <c r="T17" s="2">
        <v>170031.93</v>
      </c>
      <c r="U17" s="2"/>
      <c r="V17" s="19">
        <f t="shared" si="9"/>
        <v>0.45585191476944775</v>
      </c>
      <c r="W17" s="2"/>
      <c r="X17" s="2">
        <f t="shared" si="10"/>
        <v>17147.390000000014</v>
      </c>
      <c r="Y17" s="2"/>
      <c r="Z17" s="19">
        <f t="shared" si="11"/>
        <v>0.10084805836174426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6595.29</v>
      </c>
      <c r="E18" s="2"/>
      <c r="F18" s="19">
        <f t="shared" si="4"/>
        <v>0.1341485491033291</v>
      </c>
      <c r="G18" s="2"/>
      <c r="H18" s="2">
        <v>5272.59</v>
      </c>
      <c r="I18" s="2"/>
      <c r="J18" s="19">
        <f t="shared" si="5"/>
        <v>9.9528575775582898E-2</v>
      </c>
      <c r="K18" s="2"/>
      <c r="L18" s="2">
        <f t="shared" si="6"/>
        <v>1322.6999999999998</v>
      </c>
      <c r="M18" s="2"/>
      <c r="N18" s="19">
        <f t="shared" si="7"/>
        <v>0.25086342765130604</v>
      </c>
      <c r="O18" s="11"/>
      <c r="P18" s="2">
        <v>-3629.44</v>
      </c>
      <c r="Q18" s="2"/>
      <c r="R18" s="19">
        <f t="shared" si="8"/>
        <v>-9.0133001208614252E-3</v>
      </c>
      <c r="S18" s="2"/>
      <c r="T18" s="2">
        <v>2539.59</v>
      </c>
      <c r="U18" s="2"/>
      <c r="V18" s="19">
        <f t="shared" si="9"/>
        <v>6.8085856828734572E-3</v>
      </c>
      <c r="W18" s="2"/>
      <c r="X18" s="2">
        <f t="shared" si="10"/>
        <v>-6169.0300000000007</v>
      </c>
      <c r="Y18" s="2"/>
      <c r="Z18" s="19">
        <f t="shared" si="11"/>
        <v>-2.4291440744372124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24866.81</v>
      </c>
      <c r="E20" s="14"/>
      <c r="F20" s="21">
        <f>IF(D$12=0,0,D20/D$12)</f>
        <v>0.5057922369339567</v>
      </c>
      <c r="G20" s="14"/>
      <c r="H20" s="20">
        <f>H12-H16</f>
        <v>29211.29</v>
      </c>
      <c r="I20" s="14"/>
      <c r="J20" s="21">
        <f>IF(H$12=0,0,H20/H$12)</f>
        <v>0.55140985554870126</v>
      </c>
      <c r="K20" s="15"/>
      <c r="L20" s="20">
        <f>+D20-H20</f>
        <v>-4344.4799999999996</v>
      </c>
      <c r="M20" s="15"/>
      <c r="N20" s="21">
        <f>IF(H20=0,0,L20/H20)</f>
        <v>-0.14872605763045724</v>
      </c>
      <c r="O20" s="28"/>
      <c r="P20" s="20">
        <f>P12-P16</f>
        <v>219126.15999999997</v>
      </c>
      <c r="Q20" s="14"/>
      <c r="R20" s="21">
        <f>IF(P$12=0,0,P20/P$12)</f>
        <v>0.54417481606305651</v>
      </c>
      <c r="S20" s="14"/>
      <c r="T20" s="20">
        <f>T12-T16</f>
        <v>200426.65000000005</v>
      </c>
      <c r="U20" s="14"/>
      <c r="V20" s="21">
        <f>IF(T$12=0,0,T20/T$12)</f>
        <v>0.53733949954767879</v>
      </c>
      <c r="W20" s="15"/>
      <c r="X20" s="20">
        <f>+P20-T20</f>
        <v>18699.509999999922</v>
      </c>
      <c r="Y20" s="15"/>
      <c r="Z20" s="21">
        <f>IF(T20=0,0,X20/T20)</f>
        <v>9.3298520930225184E-2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29416.209999999995</v>
      </c>
      <c r="E22" s="22"/>
      <c r="F22" s="33">
        <f t="shared" ref="F22:F31" si="12">IF(D$12=0,0,D22/D$12)</f>
        <v>0.5983272747095032</v>
      </c>
      <c r="G22" s="22"/>
      <c r="H22" s="22">
        <f>SUM(OSRRefH22x_0)</f>
        <v>25709</v>
      </c>
      <c r="I22" s="22"/>
      <c r="J22" s="33">
        <f t="shared" ref="J22:J31" si="13">IF(H$12=0,0,H22/H$12)</f>
        <v>0.4852985258885027</v>
      </c>
      <c r="K22" s="4"/>
      <c r="L22" s="22">
        <f t="shared" ref="L22:L31" si="14">+D22-H22</f>
        <v>3707.2099999999955</v>
      </c>
      <c r="M22" s="4"/>
      <c r="N22" s="33">
        <f t="shared" ref="N22:N31" si="15">IF(H22=0,0,L22/H22)</f>
        <v>0.14419891866661463</v>
      </c>
      <c r="O22" s="10"/>
      <c r="P22" s="22">
        <f>SUM(OSRRefP22x_0)</f>
        <v>180618.15000000002</v>
      </c>
      <c r="Q22" s="22"/>
      <c r="R22" s="33">
        <f t="shared" ref="R22:R31" si="16">IF(P$12=0,0,P22/P$12)</f>
        <v>0.44854456699236445</v>
      </c>
      <c r="S22" s="22"/>
      <c r="T22" s="22">
        <f>SUM(OSRRefT22x_0)</f>
        <v>170386.28999999998</v>
      </c>
      <c r="U22" s="22"/>
      <c r="V22" s="33">
        <f t="shared" ref="V22:V31" si="17">IF(T$12=0,0,T22/T$12)</f>
        <v>0.45680194624011144</v>
      </c>
      <c r="W22" s="4"/>
      <c r="X22" s="22">
        <f t="shared" ref="X22:X31" si="18">+P22-T22</f>
        <v>10231.860000000044</v>
      </c>
      <c r="Y22" s="4"/>
      <c r="Z22" s="33">
        <f t="shared" ref="Z22:Z31" si="19">IF(T22=0,0,X22/T22)</f>
        <v>6.0050958325344399E-2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3660.7</v>
      </c>
      <c r="E23" s="1"/>
      <c r="F23" s="5">
        <f t="shared" si="12"/>
        <v>7.4458832546037676E-2</v>
      </c>
      <c r="G23" s="1"/>
      <c r="H23" s="1">
        <f>SUM(OSRRefH22_0x_0)</f>
        <v>3404.02</v>
      </c>
      <c r="I23" s="1"/>
      <c r="J23" s="5">
        <f t="shared" si="13"/>
        <v>6.4256326115172943E-2</v>
      </c>
      <c r="K23" s="1"/>
      <c r="L23" s="1">
        <f t="shared" si="14"/>
        <v>256.67999999999984</v>
      </c>
      <c r="M23" s="1"/>
      <c r="N23" s="5">
        <f t="shared" si="15"/>
        <v>7.5404962368023645E-2</v>
      </c>
      <c r="O23" s="13"/>
      <c r="P23" s="1">
        <f>SUM(OSRRefP22_0x_0)</f>
        <v>22709.360000000001</v>
      </c>
      <c r="Q23" s="1"/>
      <c r="R23" s="5">
        <f t="shared" si="16"/>
        <v>5.6396104421807668E-2</v>
      </c>
      <c r="S23" s="1"/>
      <c r="T23" s="1">
        <f>SUM(OSRRefT22_0x_0)</f>
        <v>20767.91</v>
      </c>
      <c r="U23" s="1"/>
      <c r="V23" s="5">
        <f t="shared" si="17"/>
        <v>5.5678316062515797E-2</v>
      </c>
      <c r="W23" s="1"/>
      <c r="X23" s="1">
        <f t="shared" si="18"/>
        <v>1941.4500000000007</v>
      </c>
      <c r="Y23" s="1"/>
      <c r="Z23" s="5">
        <f t="shared" si="19"/>
        <v>9.348316705917932E-2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498.19</v>
      </c>
      <c r="E24" s="2"/>
      <c r="F24" s="7">
        <f t="shared" si="12"/>
        <v>1.0133211076053899E-2</v>
      </c>
      <c r="G24" s="2"/>
      <c r="H24" s="6">
        <v>285.39999999999998</v>
      </c>
      <c r="I24" s="2"/>
      <c r="J24" s="7">
        <f t="shared" si="13"/>
        <v>5.3873818230416844E-3</v>
      </c>
      <c r="K24" s="2"/>
      <c r="L24" s="6">
        <f t="shared" si="14"/>
        <v>212.79000000000002</v>
      </c>
      <c r="M24" s="2"/>
      <c r="N24" s="7">
        <f t="shared" si="15"/>
        <v>0.74558514365802397</v>
      </c>
      <c r="O24" s="11"/>
      <c r="P24" s="6">
        <v>3522.33</v>
      </c>
      <c r="Q24" s="2"/>
      <c r="R24" s="7">
        <f t="shared" si="16"/>
        <v>8.7473046571134461E-3</v>
      </c>
      <c r="S24" s="2"/>
      <c r="T24" s="6">
        <v>2537.12</v>
      </c>
      <c r="U24" s="2"/>
      <c r="V24" s="7">
        <f t="shared" si="17"/>
        <v>6.8019636664705344E-3</v>
      </c>
      <c r="W24" s="2"/>
      <c r="X24" s="6">
        <f t="shared" si="18"/>
        <v>985.21</v>
      </c>
      <c r="Y24" s="2"/>
      <c r="Z24" s="7">
        <f t="shared" si="19"/>
        <v>0.38831825061487041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283.2</v>
      </c>
      <c r="E25" s="2"/>
      <c r="F25" s="7">
        <f t="shared" si="12"/>
        <v>5.7603030505198102E-3</v>
      </c>
      <c r="G25" s="2"/>
      <c r="H25" s="6">
        <v>282.31</v>
      </c>
      <c r="I25" s="2"/>
      <c r="J25" s="7">
        <f t="shared" si="13"/>
        <v>5.3290531270599089E-3</v>
      </c>
      <c r="K25" s="2"/>
      <c r="L25" s="6">
        <f t="shared" si="14"/>
        <v>0.88999999999998636</v>
      </c>
      <c r="M25" s="2"/>
      <c r="N25" s="7">
        <f t="shared" si="15"/>
        <v>3.1525627855902602E-3</v>
      </c>
      <c r="O25" s="11"/>
      <c r="P25" s="6">
        <v>1074.33</v>
      </c>
      <c r="Q25" s="2"/>
      <c r="R25" s="7">
        <f t="shared" si="16"/>
        <v>2.6679759739367658E-3</v>
      </c>
      <c r="S25" s="2"/>
      <c r="T25" s="6">
        <v>1562.89</v>
      </c>
      <c r="U25" s="2"/>
      <c r="V25" s="7">
        <f t="shared" si="17"/>
        <v>4.1900741765033321E-3</v>
      </c>
      <c r="W25" s="2"/>
      <c r="X25" s="6">
        <f t="shared" si="18"/>
        <v>-488.56000000000017</v>
      </c>
      <c r="Y25" s="2"/>
      <c r="Z25" s="7">
        <f t="shared" si="19"/>
        <v>-0.31260037494641346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1815.82</v>
      </c>
      <c r="E26" s="2"/>
      <c r="F26" s="7">
        <f t="shared" si="12"/>
        <v>3.693387530082938E-2</v>
      </c>
      <c r="G26" s="2"/>
      <c r="H26" s="6">
        <v>2006.94</v>
      </c>
      <c r="I26" s="2"/>
      <c r="J26" s="7">
        <f t="shared" si="13"/>
        <v>3.7884204891153746E-2</v>
      </c>
      <c r="K26" s="2"/>
      <c r="L26" s="6">
        <f t="shared" si="14"/>
        <v>-191.12000000000012</v>
      </c>
      <c r="M26" s="2"/>
      <c r="N26" s="7">
        <f t="shared" si="15"/>
        <v>-9.5229553449530185E-2</v>
      </c>
      <c r="O26" s="11"/>
      <c r="P26" s="6">
        <v>11362.57</v>
      </c>
      <c r="Q26" s="2"/>
      <c r="R26" s="7">
        <f t="shared" si="16"/>
        <v>2.8217646125654756E-2</v>
      </c>
      <c r="S26" s="2"/>
      <c r="T26" s="6">
        <v>10772.19</v>
      </c>
      <c r="U26" s="2"/>
      <c r="V26" s="7">
        <f t="shared" si="17"/>
        <v>2.8880007641860547E-2</v>
      </c>
      <c r="W26" s="2"/>
      <c r="X26" s="6">
        <f t="shared" si="18"/>
        <v>590.3799999999992</v>
      </c>
      <c r="Y26" s="2"/>
      <c r="Z26" s="7">
        <f t="shared" si="19"/>
        <v>5.4805940110599534E-2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38.75</v>
      </c>
      <c r="E27" s="2"/>
      <c r="F27" s="7">
        <f t="shared" si="12"/>
        <v>7.8817705934902064E-4</v>
      </c>
      <c r="G27" s="2"/>
      <c r="H27" s="6">
        <v>33.44</v>
      </c>
      <c r="I27" s="2"/>
      <c r="J27" s="7">
        <f t="shared" si="13"/>
        <v>6.3123352544679028E-4</v>
      </c>
      <c r="K27" s="2"/>
      <c r="L27" s="6">
        <f t="shared" si="14"/>
        <v>5.3100000000000023</v>
      </c>
      <c r="M27" s="2"/>
      <c r="N27" s="7">
        <f t="shared" si="15"/>
        <v>0.15879186602870821</v>
      </c>
      <c r="O27" s="11"/>
      <c r="P27" s="6">
        <v>183.27</v>
      </c>
      <c r="Q27" s="2"/>
      <c r="R27" s="7">
        <f t="shared" si="16"/>
        <v>4.5513013389125419E-4</v>
      </c>
      <c r="S27" s="2"/>
      <c r="T27" s="6">
        <v>188.28</v>
      </c>
      <c r="U27" s="2"/>
      <c r="V27" s="7">
        <f t="shared" si="17"/>
        <v>5.0477459447053046E-4</v>
      </c>
      <c r="W27" s="2"/>
      <c r="X27" s="6">
        <f t="shared" si="18"/>
        <v>-5.0099999999999909</v>
      </c>
      <c r="Y27" s="2"/>
      <c r="Z27" s="7">
        <f t="shared" si="19"/>
        <v>-2.6609305289993578E-2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392.49</v>
      </c>
      <c r="E28" s="2"/>
      <c r="F28" s="7">
        <f t="shared" si="12"/>
        <v>7.9832674586812168E-3</v>
      </c>
      <c r="G28" s="2"/>
      <c r="H28" s="6">
        <v>351.03</v>
      </c>
      <c r="I28" s="2"/>
      <c r="J28" s="7">
        <f t="shared" si="13"/>
        <v>6.6262531231335757E-3</v>
      </c>
      <c r="K28" s="2"/>
      <c r="L28" s="6">
        <f t="shared" si="14"/>
        <v>41.460000000000036</v>
      </c>
      <c r="M28" s="2"/>
      <c r="N28" s="7">
        <f t="shared" si="15"/>
        <v>0.11810956328518941</v>
      </c>
      <c r="O28" s="11"/>
      <c r="P28" s="6">
        <v>2635.56</v>
      </c>
      <c r="Q28" s="2"/>
      <c r="R28" s="7">
        <f t="shared" si="16"/>
        <v>6.5451125425788929E-3</v>
      </c>
      <c r="S28" s="2"/>
      <c r="T28" s="6">
        <v>2669.58</v>
      </c>
      <c r="U28" s="2"/>
      <c r="V28" s="7">
        <f t="shared" si="17"/>
        <v>7.1570860521916226E-3</v>
      </c>
      <c r="W28" s="2"/>
      <c r="X28" s="6">
        <f t="shared" si="18"/>
        <v>-34.019999999999982</v>
      </c>
      <c r="Y28" s="2"/>
      <c r="Z28" s="7">
        <f t="shared" si="19"/>
        <v>-1.2743577641426735E-2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280.8</v>
      </c>
      <c r="E29" s="2"/>
      <c r="F29" s="7">
        <f t="shared" si="12"/>
        <v>5.7114869229730322E-3</v>
      </c>
      <c r="G29" s="2"/>
      <c r="H29" s="6">
        <v>272.82</v>
      </c>
      <c r="I29" s="2"/>
      <c r="J29" s="7">
        <f t="shared" si="13"/>
        <v>5.1499141869734847E-3</v>
      </c>
      <c r="K29" s="2"/>
      <c r="L29" s="6">
        <f t="shared" si="14"/>
        <v>7.9800000000000182</v>
      </c>
      <c r="M29" s="2"/>
      <c r="N29" s="7">
        <f t="shared" si="15"/>
        <v>2.9250054981306423E-2</v>
      </c>
      <c r="O29" s="11"/>
      <c r="P29" s="6">
        <v>1825.2</v>
      </c>
      <c r="Q29" s="2"/>
      <c r="R29" s="7">
        <f t="shared" si="16"/>
        <v>4.5326759446626128E-3</v>
      </c>
      <c r="S29" s="2"/>
      <c r="T29" s="6">
        <v>1773.33</v>
      </c>
      <c r="U29" s="2"/>
      <c r="V29" s="7">
        <f t="shared" si="17"/>
        <v>4.7542592501191088E-3</v>
      </c>
      <c r="W29" s="2"/>
      <c r="X29" s="6">
        <f t="shared" si="18"/>
        <v>51.870000000000118</v>
      </c>
      <c r="Y29" s="2"/>
      <c r="Z29" s="7">
        <f t="shared" si="19"/>
        <v>2.9250054981306423E-2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177.12</v>
      </c>
      <c r="E30" s="2"/>
      <c r="F30" s="7">
        <f t="shared" si="12"/>
        <v>3.6026302129522204E-3</v>
      </c>
      <c r="G30" s="2"/>
      <c r="H30" s="6">
        <v>172.08</v>
      </c>
      <c r="I30" s="2"/>
      <c r="J30" s="7">
        <f t="shared" si="13"/>
        <v>3.2482854383637464E-3</v>
      </c>
      <c r="K30" s="2"/>
      <c r="L30" s="6">
        <f t="shared" si="14"/>
        <v>5.039999999999992</v>
      </c>
      <c r="M30" s="2"/>
      <c r="N30" s="7">
        <f t="shared" si="15"/>
        <v>2.9288702928870244E-2</v>
      </c>
      <c r="O30" s="11"/>
      <c r="P30" s="6">
        <v>1151.28</v>
      </c>
      <c r="Q30" s="2"/>
      <c r="R30" s="7">
        <f t="shared" si="16"/>
        <v>2.8590725189410328E-3</v>
      </c>
      <c r="S30" s="2"/>
      <c r="T30" s="6">
        <v>1118.52</v>
      </c>
      <c r="U30" s="2"/>
      <c r="V30" s="7">
        <f t="shared" si="17"/>
        <v>2.9987278489864975E-3</v>
      </c>
      <c r="W30" s="2"/>
      <c r="X30" s="6">
        <f t="shared" si="18"/>
        <v>32.759999999999991</v>
      </c>
      <c r="Y30" s="2"/>
      <c r="Z30" s="7">
        <f t="shared" si="19"/>
        <v>2.9288702928870286E-2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174.33</v>
      </c>
      <c r="E31" s="2"/>
      <c r="F31" s="7">
        <f t="shared" si="12"/>
        <v>3.5458814646790911E-3</v>
      </c>
      <c r="G31" s="2"/>
      <c r="H31" s="6"/>
      <c r="I31" s="2"/>
      <c r="J31" s="7">
        <f t="shared" si="13"/>
        <v>0</v>
      </c>
      <c r="K31" s="2"/>
      <c r="L31" s="6">
        <f t="shared" si="14"/>
        <v>174.33</v>
      </c>
      <c r="M31" s="2"/>
      <c r="N31" s="7">
        <f t="shared" si="15"/>
        <v>0</v>
      </c>
      <c r="O31" s="11"/>
      <c r="P31" s="6">
        <v>954.82</v>
      </c>
      <c r="Q31" s="2"/>
      <c r="R31" s="7">
        <f t="shared" si="16"/>
        <v>2.3711865250289044E-3</v>
      </c>
      <c r="S31" s="2"/>
      <c r="T31" s="6">
        <v>146</v>
      </c>
      <c r="U31" s="2"/>
      <c r="V31" s="7">
        <f t="shared" si="17"/>
        <v>3.9142283191362571E-4</v>
      </c>
      <c r="W31" s="2"/>
      <c r="X31" s="6">
        <f t="shared" si="18"/>
        <v>808.82</v>
      </c>
      <c r="Y31" s="2"/>
      <c r="Z31" s="7">
        <f t="shared" si="19"/>
        <v>5.5398630136986302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9320.94</v>
      </c>
      <c r="E32" s="1"/>
      <c r="F32" s="5">
        <f t="shared" ref="F32:F38" si="20">IF(D$12=0,0,D32/D$12)</f>
        <v>0.18958841495661061</v>
      </c>
      <c r="G32" s="1"/>
      <c r="H32" s="1">
        <f>SUM(OSRRefH22_1x_0)</f>
        <v>8854.99</v>
      </c>
      <c r="I32" s="1"/>
      <c r="J32" s="5">
        <f t="shared" ref="J32:J38" si="21">IF(H$12=0,0,H32/H$12)</f>
        <v>0.1671521099131601</v>
      </c>
      <c r="K32" s="1"/>
      <c r="L32" s="1">
        <f t="shared" ref="L32:L38" si="22">+D32-H32</f>
        <v>465.95000000000073</v>
      </c>
      <c r="M32" s="1"/>
      <c r="N32" s="5">
        <f t="shared" ref="N32:N38" si="23">IF(H32=0,0,L32/H32)</f>
        <v>5.2620048131053872E-2</v>
      </c>
      <c r="O32" s="13"/>
      <c r="P32" s="1">
        <f>SUM(OSRRefP22_1x_0)</f>
        <v>62491.570000000007</v>
      </c>
      <c r="Q32" s="1"/>
      <c r="R32" s="5">
        <f t="shared" ref="R32:R38" si="24">IF(P$12=0,0,P32/P$12)</f>
        <v>0.15519068380626772</v>
      </c>
      <c r="S32" s="1"/>
      <c r="T32" s="1">
        <f>SUM(OSRRefT22_1x_0)</f>
        <v>60343.270000000004</v>
      </c>
      <c r="U32" s="1"/>
      <c r="V32" s="5">
        <f t="shared" ref="V32:V38" si="25">IF(T$12=0,0,T32/T$12)</f>
        <v>0.16177899746800364</v>
      </c>
      <c r="W32" s="1"/>
      <c r="X32" s="1">
        <f t="shared" ref="X32:X38" si="26">+P32-T32</f>
        <v>2148.3000000000029</v>
      </c>
      <c r="Y32" s="1"/>
      <c r="Z32" s="5">
        <f t="shared" ref="Z32:Z38" si="27">IF(T32=0,0,X32/T32)</f>
        <v>3.5601318920900418E-2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3648</v>
      </c>
      <c r="E33" s="2"/>
      <c r="F33" s="7">
        <f t="shared" si="20"/>
        <v>7.4200513871102644E-2</v>
      </c>
      <c r="G33" s="2"/>
      <c r="H33" s="6">
        <v>3544.24</v>
      </c>
      <c r="I33" s="2"/>
      <c r="J33" s="7">
        <f t="shared" si="21"/>
        <v>6.6903203057103219E-2</v>
      </c>
      <c r="K33" s="2"/>
      <c r="L33" s="6">
        <f t="shared" si="22"/>
        <v>103.76000000000022</v>
      </c>
      <c r="M33" s="2"/>
      <c r="N33" s="7">
        <f t="shared" si="23"/>
        <v>2.9275669819199667E-2</v>
      </c>
      <c r="O33" s="11"/>
      <c r="P33" s="6">
        <v>22080</v>
      </c>
      <c r="Q33" s="2"/>
      <c r="R33" s="7">
        <f t="shared" si="24"/>
        <v>5.4833160671789664E-2</v>
      </c>
      <c r="S33" s="2"/>
      <c r="T33" s="6">
        <v>22944.289999999997</v>
      </c>
      <c r="U33" s="2"/>
      <c r="V33" s="7">
        <f t="shared" si="25"/>
        <v>6.1513143616763577E-2</v>
      </c>
      <c r="W33" s="2"/>
      <c r="X33" s="6">
        <f t="shared" si="26"/>
        <v>-864.28999999999724</v>
      </c>
      <c r="Y33" s="2"/>
      <c r="Z33" s="7">
        <f t="shared" si="27"/>
        <v>-3.7669067118659909E-2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254.64</v>
      </c>
      <c r="Q34" s="2"/>
      <c r="R34" s="7">
        <f t="shared" si="24"/>
        <v>6.3236938557357418E-4</v>
      </c>
      <c r="S34" s="2"/>
      <c r="T34" s="6"/>
      <c r="U34" s="2"/>
      <c r="V34" s="7">
        <f t="shared" si="25"/>
        <v>0</v>
      </c>
      <c r="W34" s="2"/>
      <c r="X34" s="6">
        <f t="shared" si="26"/>
        <v>254.64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2672.19</v>
      </c>
      <c r="E35" s="2"/>
      <c r="F35" s="7">
        <f t="shared" si="20"/>
        <v>5.4352486612177023E-2</v>
      </c>
      <c r="G35" s="2"/>
      <c r="H35" s="6"/>
      <c r="I35" s="2"/>
      <c r="J35" s="7">
        <f t="shared" si="21"/>
        <v>0</v>
      </c>
      <c r="K35" s="2"/>
      <c r="L35" s="6">
        <f t="shared" si="22"/>
        <v>2672.19</v>
      </c>
      <c r="M35" s="2"/>
      <c r="N35" s="7">
        <f t="shared" si="23"/>
        <v>0</v>
      </c>
      <c r="O35" s="11"/>
      <c r="P35" s="6">
        <v>13975.54</v>
      </c>
      <c r="Q35" s="2"/>
      <c r="R35" s="7">
        <f t="shared" si="24"/>
        <v>3.4706658980752869E-2</v>
      </c>
      <c r="S35" s="2"/>
      <c r="T35" s="6">
        <v>68.5</v>
      </c>
      <c r="U35" s="2"/>
      <c r="V35" s="7">
        <f t="shared" si="25"/>
        <v>1.836470136033107E-4</v>
      </c>
      <c r="W35" s="2"/>
      <c r="X35" s="6">
        <f t="shared" si="26"/>
        <v>13907.04</v>
      </c>
      <c r="Y35" s="2"/>
      <c r="Z35" s="7">
        <f t="shared" si="27"/>
        <v>203.02248175182484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720.5</v>
      </c>
      <c r="U36" s="2"/>
      <c r="V36" s="7">
        <f t="shared" si="25"/>
        <v>1.931644865710735E-3</v>
      </c>
      <c r="W36" s="2"/>
      <c r="X36" s="6">
        <f t="shared" si="26"/>
        <v>-720.5</v>
      </c>
      <c r="Y36" s="2"/>
      <c r="Z36" s="7">
        <f t="shared" si="27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2688.75</v>
      </c>
      <c r="E37" s="2"/>
      <c r="F37" s="7">
        <f t="shared" si="20"/>
        <v>5.4689317892249789E-2</v>
      </c>
      <c r="G37" s="2"/>
      <c r="H37" s="6">
        <v>4543.5</v>
      </c>
      <c r="I37" s="2"/>
      <c r="J37" s="7">
        <f t="shared" si="21"/>
        <v>8.576583501398001E-2</v>
      </c>
      <c r="K37" s="2"/>
      <c r="L37" s="6">
        <f t="shared" si="22"/>
        <v>-1854.75</v>
      </c>
      <c r="M37" s="2"/>
      <c r="N37" s="7">
        <f t="shared" si="23"/>
        <v>-0.40822053482997689</v>
      </c>
      <c r="O37" s="11"/>
      <c r="P37" s="6">
        <v>23862.390000000003</v>
      </c>
      <c r="Q37" s="2"/>
      <c r="R37" s="7">
        <f t="shared" si="24"/>
        <v>5.9259522866073694E-2</v>
      </c>
      <c r="S37" s="2"/>
      <c r="T37" s="6">
        <v>32473.980000000003</v>
      </c>
      <c r="U37" s="2"/>
      <c r="V37" s="7">
        <f t="shared" si="25"/>
        <v>8.7062035719907144E-2</v>
      </c>
      <c r="W37" s="2"/>
      <c r="X37" s="6">
        <f t="shared" si="26"/>
        <v>-8611.59</v>
      </c>
      <c r="Y37" s="2"/>
      <c r="Z37" s="7">
        <f t="shared" si="27"/>
        <v>-0.26518431063885606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312</v>
      </c>
      <c r="E38" s="2"/>
      <c r="F38" s="7">
        <f t="shared" si="20"/>
        <v>6.3460965810811466E-3</v>
      </c>
      <c r="G38" s="2"/>
      <c r="H38" s="6">
        <v>767.25</v>
      </c>
      <c r="I38" s="2"/>
      <c r="J38" s="7">
        <f t="shared" si="21"/>
        <v>1.4483071842076849E-2</v>
      </c>
      <c r="K38" s="2"/>
      <c r="L38" s="6">
        <f t="shared" si="22"/>
        <v>-455.25</v>
      </c>
      <c r="M38" s="2"/>
      <c r="N38" s="7">
        <f t="shared" si="23"/>
        <v>-0.59335288367546435</v>
      </c>
      <c r="O38" s="11"/>
      <c r="P38" s="6">
        <v>2319</v>
      </c>
      <c r="Q38" s="2"/>
      <c r="R38" s="7">
        <f t="shared" si="24"/>
        <v>5.7589719020779088E-3</v>
      </c>
      <c r="S38" s="2"/>
      <c r="T38" s="6">
        <v>4136</v>
      </c>
      <c r="U38" s="2"/>
      <c r="V38" s="7">
        <f t="shared" si="25"/>
        <v>1.1088526252018876E-2</v>
      </c>
      <c r="W38" s="2"/>
      <c r="X38" s="6">
        <f t="shared" si="26"/>
        <v>-1817</v>
      </c>
      <c r="Y38" s="2"/>
      <c r="Z38" s="7">
        <f t="shared" si="27"/>
        <v>-0.43931334622823986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77.06</v>
      </c>
      <c r="E39" s="1"/>
      <c r="F39" s="5">
        <f t="shared" ref="F39:F47" si="28">IF(D$12=0,0,D39/D$12)</f>
        <v>1.5674044953144653E-3</v>
      </c>
      <c r="G39" s="1"/>
      <c r="H39" s="1">
        <f>SUM(OSRRefH22_2x_0)</f>
        <v>6</v>
      </c>
      <c r="I39" s="1"/>
      <c r="J39" s="5">
        <f t="shared" ref="J39:J47" si="29">IF(H$12=0,0,H39/H$12)</f>
        <v>1.132596038481083E-4</v>
      </c>
      <c r="K39" s="1"/>
      <c r="L39" s="1">
        <f t="shared" ref="L39:L47" si="30">+D39-H39</f>
        <v>71.06</v>
      </c>
      <c r="M39" s="1"/>
      <c r="N39" s="5">
        <f t="shared" ref="N39:N47" si="31">IF(H39=0,0,L39/H39)</f>
        <v>11.843333333333334</v>
      </c>
      <c r="O39" s="13"/>
      <c r="P39" s="1">
        <f>SUM(OSRRefP22_2x_0)</f>
        <v>717.02</v>
      </c>
      <c r="Q39" s="1"/>
      <c r="R39" s="5">
        <f t="shared" ref="R39:R47" si="32">IF(P$12=0,0,P39/P$12)</f>
        <v>1.7806373580111696E-3</v>
      </c>
      <c r="S39" s="1"/>
      <c r="T39" s="1">
        <f>SUM(OSRRefT22_2x_0)</f>
        <v>974.91</v>
      </c>
      <c r="U39" s="1"/>
      <c r="V39" s="5">
        <f t="shared" ref="V39:V47" si="33">IF(T$12=0,0,T39/T$12)</f>
        <v>2.6137125552117314E-3</v>
      </c>
      <c r="W39" s="1"/>
      <c r="X39" s="1">
        <f t="shared" ref="X39:X47" si="34">+P39-T39</f>
        <v>-257.89</v>
      </c>
      <c r="Y39" s="1"/>
      <c r="Z39" s="5">
        <f t="shared" ref="Z39:Z47" si="35">IF(T39=0,0,X39/T39)</f>
        <v>-0.26452698197782359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77.06</v>
      </c>
      <c r="E40" s="2"/>
      <c r="F40" s="7">
        <f t="shared" si="28"/>
        <v>1.5674044953144653E-3</v>
      </c>
      <c r="G40" s="2"/>
      <c r="H40" s="6">
        <v>6</v>
      </c>
      <c r="I40" s="2"/>
      <c r="J40" s="7">
        <f t="shared" si="29"/>
        <v>1.132596038481083E-4</v>
      </c>
      <c r="K40" s="2"/>
      <c r="L40" s="6">
        <f t="shared" si="30"/>
        <v>71.06</v>
      </c>
      <c r="M40" s="2"/>
      <c r="N40" s="7">
        <f t="shared" si="31"/>
        <v>11.843333333333334</v>
      </c>
      <c r="O40" s="11"/>
      <c r="P40" s="6">
        <v>717.02</v>
      </c>
      <c r="Q40" s="2"/>
      <c r="R40" s="7">
        <f t="shared" si="32"/>
        <v>1.7806373580111696E-3</v>
      </c>
      <c r="S40" s="2"/>
      <c r="T40" s="6">
        <v>974.91</v>
      </c>
      <c r="U40" s="2"/>
      <c r="V40" s="7">
        <f t="shared" si="33"/>
        <v>2.6137125552117314E-3</v>
      </c>
      <c r="W40" s="2"/>
      <c r="X40" s="6">
        <f t="shared" si="34"/>
        <v>-257.89</v>
      </c>
      <c r="Y40" s="2"/>
      <c r="Z40" s="7">
        <f t="shared" si="35"/>
        <v>-0.26452698197782359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0.69</v>
      </c>
      <c r="E41" s="1"/>
      <c r="F41" s="5">
        <f t="shared" si="28"/>
        <v>1.403463666969869E-5</v>
      </c>
      <c r="G41" s="1"/>
      <c r="H41" s="1">
        <f>SUM(OSRRefH22_3x_0)</f>
        <v>-19.07</v>
      </c>
      <c r="I41" s="1"/>
      <c r="J41" s="5">
        <f t="shared" si="29"/>
        <v>-3.599767742305709E-4</v>
      </c>
      <c r="K41" s="1"/>
      <c r="L41" s="1">
        <f t="shared" si="30"/>
        <v>19.760000000000002</v>
      </c>
      <c r="M41" s="1"/>
      <c r="N41" s="5">
        <f t="shared" si="31"/>
        <v>-1.0361824855794441</v>
      </c>
      <c r="O41" s="13"/>
      <c r="P41" s="1">
        <f>SUM(OSRRefP22_3x_0)</f>
        <v>-52.08</v>
      </c>
      <c r="Q41" s="1"/>
      <c r="R41" s="5">
        <f t="shared" si="32"/>
        <v>-1.2933473767150387E-4</v>
      </c>
      <c r="S41" s="1"/>
      <c r="T41" s="1">
        <f>SUM(OSRRefT22_3x_0)</f>
        <v>-94.41</v>
      </c>
      <c r="U41" s="1"/>
      <c r="V41" s="5">
        <f t="shared" si="33"/>
        <v>-2.5311116137647537E-4</v>
      </c>
      <c r="W41" s="1"/>
      <c r="X41" s="1">
        <f t="shared" si="34"/>
        <v>42.33</v>
      </c>
      <c r="Y41" s="1"/>
      <c r="Z41" s="5">
        <f t="shared" si="35"/>
        <v>-0.44836352081347314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0.69</v>
      </c>
      <c r="E42" s="2"/>
      <c r="F42" s="7">
        <f t="shared" si="28"/>
        <v>1.403463666969869E-5</v>
      </c>
      <c r="G42" s="2"/>
      <c r="H42" s="6">
        <v>-19.07</v>
      </c>
      <c r="I42" s="2"/>
      <c r="J42" s="7">
        <f t="shared" si="29"/>
        <v>-3.599767742305709E-4</v>
      </c>
      <c r="K42" s="2"/>
      <c r="L42" s="6">
        <f t="shared" si="30"/>
        <v>19.760000000000002</v>
      </c>
      <c r="M42" s="2"/>
      <c r="N42" s="7">
        <f t="shared" si="31"/>
        <v>-1.0361824855794441</v>
      </c>
      <c r="O42" s="11"/>
      <c r="P42" s="6">
        <v>-52.08</v>
      </c>
      <c r="Q42" s="2"/>
      <c r="R42" s="7">
        <f t="shared" si="32"/>
        <v>-1.2933473767150387E-4</v>
      </c>
      <c r="S42" s="2"/>
      <c r="T42" s="6">
        <v>-94.41</v>
      </c>
      <c r="U42" s="2"/>
      <c r="V42" s="7">
        <f t="shared" si="33"/>
        <v>-2.5311116137647537E-4</v>
      </c>
      <c r="W42" s="2"/>
      <c r="X42" s="6">
        <f t="shared" si="34"/>
        <v>42.33</v>
      </c>
      <c r="Y42" s="2"/>
      <c r="Z42" s="7">
        <f t="shared" si="35"/>
        <v>-0.44836352081347314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1749.2</v>
      </c>
      <c r="E43" s="1"/>
      <c r="F43" s="5">
        <f t="shared" si="28"/>
        <v>3.5578820960343406E-2</v>
      </c>
      <c r="G43" s="1"/>
      <c r="H43" s="1">
        <f>SUM(OSRRefH22_4x_0)</f>
        <v>1944.75</v>
      </c>
      <c r="I43" s="1"/>
      <c r="J43" s="5">
        <f t="shared" si="29"/>
        <v>3.67102690972681E-2</v>
      </c>
      <c r="K43" s="1"/>
      <c r="L43" s="1">
        <f t="shared" si="30"/>
        <v>-195.54999999999995</v>
      </c>
      <c r="M43" s="1"/>
      <c r="N43" s="5">
        <f t="shared" si="31"/>
        <v>-0.10055277027895614</v>
      </c>
      <c r="O43" s="13"/>
      <c r="P43" s="1">
        <f>SUM(OSRRefP22_4x_0)</f>
        <v>14336.16</v>
      </c>
      <c r="Q43" s="1"/>
      <c r="R43" s="5">
        <f t="shared" si="32"/>
        <v>3.5602217604007433E-2</v>
      </c>
      <c r="S43" s="1"/>
      <c r="T43" s="1">
        <f>SUM(OSRRefT22_4x_0)</f>
        <v>12933.5</v>
      </c>
      <c r="U43" s="1"/>
      <c r="V43" s="5">
        <f t="shared" si="33"/>
        <v>3.4674432853115604E-2</v>
      </c>
      <c r="W43" s="1"/>
      <c r="X43" s="1">
        <f t="shared" si="34"/>
        <v>1402.6599999999999</v>
      </c>
      <c r="Y43" s="1"/>
      <c r="Z43" s="5">
        <f t="shared" si="35"/>
        <v>0.10845169521011326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1749.2</v>
      </c>
      <c r="E44" s="2"/>
      <c r="F44" s="7">
        <f t="shared" si="28"/>
        <v>3.5578820960343406E-2</v>
      </c>
      <c r="G44" s="2"/>
      <c r="H44" s="6">
        <v>1944.75</v>
      </c>
      <c r="I44" s="2"/>
      <c r="J44" s="7">
        <f t="shared" si="29"/>
        <v>3.67102690972681E-2</v>
      </c>
      <c r="K44" s="2"/>
      <c r="L44" s="6">
        <f t="shared" si="30"/>
        <v>-195.54999999999995</v>
      </c>
      <c r="M44" s="2"/>
      <c r="N44" s="7">
        <f t="shared" si="31"/>
        <v>-0.10055277027895614</v>
      </c>
      <c r="O44" s="11"/>
      <c r="P44" s="6">
        <v>14336.16</v>
      </c>
      <c r="Q44" s="2"/>
      <c r="R44" s="7">
        <f t="shared" si="32"/>
        <v>3.5602217604007433E-2</v>
      </c>
      <c r="S44" s="2"/>
      <c r="T44" s="6">
        <v>12933.5</v>
      </c>
      <c r="U44" s="2"/>
      <c r="V44" s="7">
        <f t="shared" si="33"/>
        <v>3.4674432853115604E-2</v>
      </c>
      <c r="W44" s="2"/>
      <c r="X44" s="6">
        <f t="shared" si="34"/>
        <v>1402.6599999999999</v>
      </c>
      <c r="Y44" s="2"/>
      <c r="Z44" s="7">
        <f t="shared" si="35"/>
        <v>0.10845169521011326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5564.79</v>
      </c>
      <c r="E45" s="1"/>
      <c r="F45" s="5">
        <f t="shared" si="28"/>
        <v>0.11318812433793127</v>
      </c>
      <c r="G45" s="1"/>
      <c r="H45" s="1">
        <f>SUM(OSRRefH22_5x_0)</f>
        <v>5280.6</v>
      </c>
      <c r="I45" s="1"/>
      <c r="J45" s="5">
        <f t="shared" si="29"/>
        <v>9.9679777346720122E-2</v>
      </c>
      <c r="K45" s="1"/>
      <c r="L45" s="1">
        <f t="shared" si="30"/>
        <v>284.1899999999996</v>
      </c>
      <c r="M45" s="1"/>
      <c r="N45" s="5">
        <f t="shared" si="31"/>
        <v>5.3817747983183652E-2</v>
      </c>
      <c r="O45" s="13"/>
      <c r="P45" s="1">
        <f>SUM(OSRRefP22_5x_0)</f>
        <v>32671.64</v>
      </c>
      <c r="Q45" s="1"/>
      <c r="R45" s="5">
        <f t="shared" si="32"/>
        <v>8.1136290105564765E-2</v>
      </c>
      <c r="S45" s="1"/>
      <c r="T45" s="1">
        <f>SUM(OSRRefT22_5x_0)</f>
        <v>31683.599999999999</v>
      </c>
      <c r="U45" s="1"/>
      <c r="V45" s="5">
        <f t="shared" si="33"/>
        <v>8.4943044090538017E-2</v>
      </c>
      <c r="W45" s="1"/>
      <c r="X45" s="1">
        <f t="shared" si="34"/>
        <v>988.04000000000087</v>
      </c>
      <c r="Y45" s="1"/>
      <c r="Z45" s="5">
        <f t="shared" si="35"/>
        <v>3.1184587609993843E-2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5080.51</v>
      </c>
      <c r="E46" s="2"/>
      <c r="F46" s="7">
        <f t="shared" si="28"/>
        <v>0.10333784340111724</v>
      </c>
      <c r="G46" s="2"/>
      <c r="H46" s="6">
        <v>5080.51</v>
      </c>
      <c r="I46" s="2"/>
      <c r="J46" s="7">
        <f t="shared" si="29"/>
        <v>9.5902758324392129E-2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30483.059999999998</v>
      </c>
      <c r="Q46" s="2"/>
      <c r="R46" s="7">
        <f t="shared" si="32"/>
        <v>7.5701201392563602E-2</v>
      </c>
      <c r="S46" s="2"/>
      <c r="T46" s="6">
        <v>30483.059999999998</v>
      </c>
      <c r="U46" s="2"/>
      <c r="V46" s="7">
        <f t="shared" si="33"/>
        <v>8.1724422401321689E-2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484.28</v>
      </c>
      <c r="E47" s="2"/>
      <c r="F47" s="7">
        <f t="shared" si="28"/>
        <v>9.8502809368140303E-3</v>
      </c>
      <c r="G47" s="2"/>
      <c r="H47" s="6">
        <v>200.09</v>
      </c>
      <c r="I47" s="2"/>
      <c r="J47" s="7">
        <f t="shared" si="29"/>
        <v>3.7770190223279983E-3</v>
      </c>
      <c r="K47" s="2"/>
      <c r="L47" s="6">
        <f t="shared" si="30"/>
        <v>284.18999999999994</v>
      </c>
      <c r="M47" s="2"/>
      <c r="N47" s="7">
        <f t="shared" si="31"/>
        <v>1.4203108601129488</v>
      </c>
      <c r="O47" s="11"/>
      <c r="P47" s="6">
        <v>2188.58</v>
      </c>
      <c r="Q47" s="2"/>
      <c r="R47" s="7">
        <f t="shared" si="32"/>
        <v>5.4350887130011514E-3</v>
      </c>
      <c r="S47" s="2"/>
      <c r="T47" s="6">
        <v>1200.54</v>
      </c>
      <c r="U47" s="2"/>
      <c r="V47" s="7">
        <f t="shared" si="33"/>
        <v>3.2186216892163299E-3</v>
      </c>
      <c r="W47" s="2"/>
      <c r="X47" s="6">
        <f t="shared" si="34"/>
        <v>988.04</v>
      </c>
      <c r="Y47" s="2"/>
      <c r="Z47" s="7">
        <f t="shared" si="35"/>
        <v>0.82299631832342113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12.63</v>
      </c>
      <c r="E48" s="1"/>
      <c r="F48" s="5">
        <f t="shared" ref="F48:F61" si="36">IF(D$12=0,0,D48/D$12)</f>
        <v>2.5689487121491951E-4</v>
      </c>
      <c r="G48" s="1"/>
      <c r="H48" s="1">
        <f>SUM(OSRRefH22_6x_0)</f>
        <v>22.41</v>
      </c>
      <c r="I48" s="1"/>
      <c r="J48" s="5">
        <f t="shared" ref="J48:J61" si="37">IF(H$12=0,0,H48/H$12)</f>
        <v>4.2302462037268452E-4</v>
      </c>
      <c r="K48" s="1"/>
      <c r="L48" s="1">
        <f t="shared" ref="L48:L61" si="38">+D48-H48</f>
        <v>-9.7799999999999994</v>
      </c>
      <c r="M48" s="1"/>
      <c r="N48" s="5">
        <f t="shared" ref="N48:N61" si="39">IF(H48=0,0,L48/H48)</f>
        <v>-0.43641231593038821</v>
      </c>
      <c r="O48" s="13"/>
      <c r="P48" s="1">
        <f>SUM(OSRRefP22_6x_0)</f>
        <v>74.569999999999993</v>
      </c>
      <c r="Q48" s="1"/>
      <c r="R48" s="5">
        <f t="shared" ref="R48:R61" si="40">IF(P$12=0,0,P48/P$12)</f>
        <v>1.8518608656228962E-4</v>
      </c>
      <c r="S48" s="1"/>
      <c r="T48" s="1">
        <f>SUM(OSRRefT22_6x_0)</f>
        <v>42.04</v>
      </c>
      <c r="U48" s="1"/>
      <c r="V48" s="5">
        <f t="shared" ref="V48:V61" si="41">IF(T$12=0,0,T48/T$12)</f>
        <v>1.1270832776471797E-4</v>
      </c>
      <c r="W48" s="1"/>
      <c r="X48" s="1">
        <f t="shared" ref="X48:X61" si="42">+P48-T48</f>
        <v>32.529999999999994</v>
      </c>
      <c r="Y48" s="1"/>
      <c r="Z48" s="5">
        <f t="shared" ref="Z48:Z61" si="43">IF(T48=0,0,X48/T48)</f>
        <v>0.77378686964795418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>
        <v>12.63</v>
      </c>
      <c r="E49" s="2"/>
      <c r="F49" s="7">
        <f t="shared" si="36"/>
        <v>2.5689487121491951E-4</v>
      </c>
      <c r="G49" s="2"/>
      <c r="H49" s="6">
        <v>22.41</v>
      </c>
      <c r="I49" s="2"/>
      <c r="J49" s="7">
        <f t="shared" si="37"/>
        <v>4.2302462037268452E-4</v>
      </c>
      <c r="K49" s="2"/>
      <c r="L49" s="6">
        <f t="shared" si="38"/>
        <v>-9.7799999999999994</v>
      </c>
      <c r="M49" s="2"/>
      <c r="N49" s="7">
        <f t="shared" si="39"/>
        <v>-0.43641231593038821</v>
      </c>
      <c r="O49" s="11"/>
      <c r="P49" s="6">
        <v>74.569999999999993</v>
      </c>
      <c r="Q49" s="2"/>
      <c r="R49" s="7">
        <f t="shared" si="40"/>
        <v>1.8518608656228962E-4</v>
      </c>
      <c r="S49" s="2"/>
      <c r="T49" s="6">
        <v>42.04</v>
      </c>
      <c r="U49" s="2"/>
      <c r="V49" s="7">
        <f t="shared" si="41"/>
        <v>1.1270832776471797E-4</v>
      </c>
      <c r="W49" s="2"/>
      <c r="X49" s="6">
        <f t="shared" si="42"/>
        <v>32.529999999999994</v>
      </c>
      <c r="Y49" s="2"/>
      <c r="Z49" s="7">
        <f t="shared" si="43"/>
        <v>0.77378686964795418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95.04</v>
      </c>
      <c r="E50" s="1"/>
      <c r="F50" s="5">
        <f t="shared" si="36"/>
        <v>1.933118650852411E-3</v>
      </c>
      <c r="G50" s="1"/>
      <c r="H50" s="1">
        <f>SUM(OSRRefH22_7x_0)</f>
        <v>84.52</v>
      </c>
      <c r="I50" s="1"/>
      <c r="J50" s="5">
        <f t="shared" si="37"/>
        <v>1.5954502862070188E-3</v>
      </c>
      <c r="K50" s="1"/>
      <c r="L50" s="1">
        <f t="shared" si="38"/>
        <v>10.52000000000001</v>
      </c>
      <c r="M50" s="1"/>
      <c r="N50" s="5">
        <f t="shared" si="39"/>
        <v>0.12446758163748238</v>
      </c>
      <c r="O50" s="13"/>
      <c r="P50" s="1">
        <f>SUM(OSRRefP22_7x_0)</f>
        <v>668.97</v>
      </c>
      <c r="Q50" s="1"/>
      <c r="R50" s="5">
        <f t="shared" si="40"/>
        <v>1.6613106655166273E-3</v>
      </c>
      <c r="S50" s="1"/>
      <c r="T50" s="1">
        <f>SUM(OSRRefT22_7x_0)</f>
        <v>823.36</v>
      </c>
      <c r="U50" s="1"/>
      <c r="V50" s="5">
        <f t="shared" si="41"/>
        <v>2.2074102937287869E-3</v>
      </c>
      <c r="W50" s="1"/>
      <c r="X50" s="1">
        <f t="shared" si="42"/>
        <v>-154.38999999999999</v>
      </c>
      <c r="Y50" s="1"/>
      <c r="Z50" s="5">
        <f t="shared" si="43"/>
        <v>-0.187512145355616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95.04</v>
      </c>
      <c r="E51" s="2"/>
      <c r="F51" s="7">
        <f t="shared" si="36"/>
        <v>1.933118650852411E-3</v>
      </c>
      <c r="G51" s="2"/>
      <c r="H51" s="6">
        <v>84.52</v>
      </c>
      <c r="I51" s="2"/>
      <c r="J51" s="7">
        <f t="shared" si="37"/>
        <v>1.5954502862070188E-3</v>
      </c>
      <c r="K51" s="2"/>
      <c r="L51" s="6">
        <f t="shared" si="38"/>
        <v>10.52000000000001</v>
      </c>
      <c r="M51" s="2"/>
      <c r="N51" s="7">
        <f t="shared" si="39"/>
        <v>0.12446758163748238</v>
      </c>
      <c r="O51" s="11"/>
      <c r="P51" s="6">
        <v>668.97</v>
      </c>
      <c r="Q51" s="2"/>
      <c r="R51" s="7">
        <f t="shared" si="40"/>
        <v>1.6613106655166273E-3</v>
      </c>
      <c r="S51" s="2"/>
      <c r="T51" s="6">
        <v>823.36</v>
      </c>
      <c r="U51" s="2"/>
      <c r="V51" s="7">
        <f t="shared" si="41"/>
        <v>2.2074102937287869E-3</v>
      </c>
      <c r="W51" s="2"/>
      <c r="X51" s="6">
        <f t="shared" si="42"/>
        <v>-154.38999999999999</v>
      </c>
      <c r="Y51" s="2"/>
      <c r="Z51" s="7">
        <f t="shared" si="43"/>
        <v>-0.187512145355616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187</v>
      </c>
      <c r="E52" s="1"/>
      <c r="F52" s="5">
        <f t="shared" si="36"/>
        <v>3.8035899380197899E-3</v>
      </c>
      <c r="G52" s="1"/>
      <c r="H52" s="1">
        <f>SUM(OSRRefH22_8x_0)</f>
        <v>170.75</v>
      </c>
      <c r="I52" s="1"/>
      <c r="J52" s="5">
        <f t="shared" si="37"/>
        <v>3.2231795595107486E-3</v>
      </c>
      <c r="K52" s="1"/>
      <c r="L52" s="1">
        <f t="shared" si="38"/>
        <v>16.25</v>
      </c>
      <c r="M52" s="1"/>
      <c r="N52" s="5">
        <f t="shared" si="39"/>
        <v>9.5168374816983897E-2</v>
      </c>
      <c r="O52" s="13"/>
      <c r="P52" s="1">
        <f>SUM(OSRRefP22_8x_0)</f>
        <v>1241.23</v>
      </c>
      <c r="Q52" s="1"/>
      <c r="R52" s="5">
        <f t="shared" si="40"/>
        <v>3.0824530806451761E-3</v>
      </c>
      <c r="S52" s="1"/>
      <c r="T52" s="1">
        <f>SUM(OSRRefT22_8x_0)</f>
        <v>1113.98</v>
      </c>
      <c r="U52" s="1"/>
      <c r="V52" s="5">
        <f t="shared" si="41"/>
        <v>2.9865562075009639E-3</v>
      </c>
      <c r="W52" s="1"/>
      <c r="X52" s="1">
        <f t="shared" si="42"/>
        <v>127.25</v>
      </c>
      <c r="Y52" s="1"/>
      <c r="Z52" s="5">
        <f t="shared" si="43"/>
        <v>0.11423005799026913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>
        <v>187</v>
      </c>
      <c r="E53" s="2"/>
      <c r="F53" s="7">
        <f t="shared" si="36"/>
        <v>3.8035899380197899E-3</v>
      </c>
      <c r="G53" s="2"/>
      <c r="H53" s="6">
        <v>170.75</v>
      </c>
      <c r="I53" s="2"/>
      <c r="J53" s="7">
        <f t="shared" si="37"/>
        <v>3.2231795595107486E-3</v>
      </c>
      <c r="K53" s="2"/>
      <c r="L53" s="6">
        <f t="shared" si="38"/>
        <v>16.25</v>
      </c>
      <c r="M53" s="2"/>
      <c r="N53" s="7">
        <f t="shared" si="39"/>
        <v>9.5168374816983897E-2</v>
      </c>
      <c r="O53" s="11"/>
      <c r="P53" s="6">
        <v>1241.23</v>
      </c>
      <c r="Q53" s="2"/>
      <c r="R53" s="7">
        <f t="shared" si="40"/>
        <v>3.0824530806451761E-3</v>
      </c>
      <c r="S53" s="2"/>
      <c r="T53" s="6">
        <v>1113.98</v>
      </c>
      <c r="U53" s="2"/>
      <c r="V53" s="7">
        <f t="shared" si="41"/>
        <v>2.9865562075009639E-3</v>
      </c>
      <c r="W53" s="2"/>
      <c r="X53" s="6">
        <f t="shared" si="42"/>
        <v>127.25</v>
      </c>
      <c r="Y53" s="2"/>
      <c r="Z53" s="7">
        <f t="shared" si="43"/>
        <v>0.11423005799026913</v>
      </c>
    </row>
    <row r="54" spans="1:26" s="27" customFormat="1" outlineLevel="1" collapsed="1" x14ac:dyDescent="0.25">
      <c r="A54" s="25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243.54</v>
      </c>
      <c r="E54" s="1"/>
      <c r="F54" s="5">
        <f t="shared" si="36"/>
        <v>4.9536165428093028E-3</v>
      </c>
      <c r="G54" s="1"/>
      <c r="H54" s="1">
        <f>SUM(OSRRefH22_9x_0)</f>
        <v>229.44</v>
      </c>
      <c r="I54" s="1"/>
      <c r="J54" s="5">
        <f t="shared" si="37"/>
        <v>4.3310472511516613E-3</v>
      </c>
      <c r="K54" s="1"/>
      <c r="L54" s="1">
        <f t="shared" si="38"/>
        <v>14.099999999999994</v>
      </c>
      <c r="M54" s="1"/>
      <c r="N54" s="5">
        <f t="shared" si="39"/>
        <v>6.1453974895397466E-2</v>
      </c>
      <c r="O54" s="13"/>
      <c r="P54" s="1">
        <f>SUM(OSRRefP22_9x_0)</f>
        <v>1461.24</v>
      </c>
      <c r="Q54" s="1"/>
      <c r="R54" s="5">
        <f t="shared" si="40"/>
        <v>3.6288228125020802E-3</v>
      </c>
      <c r="S54" s="1"/>
      <c r="T54" s="1">
        <f>SUM(OSRRefT22_9x_0)</f>
        <v>1376.64</v>
      </c>
      <c r="U54" s="1"/>
      <c r="V54" s="5">
        <f t="shared" si="41"/>
        <v>3.6907419679833818E-3</v>
      </c>
      <c r="W54" s="1"/>
      <c r="X54" s="1">
        <f t="shared" si="42"/>
        <v>84.599999999999909</v>
      </c>
      <c r="Y54" s="1"/>
      <c r="Z54" s="5">
        <f t="shared" si="43"/>
        <v>6.1453974895397417E-2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243.54</v>
      </c>
      <c r="E55" s="2"/>
      <c r="F55" s="7">
        <f t="shared" si="36"/>
        <v>4.9536165428093028E-3</v>
      </c>
      <c r="G55" s="2"/>
      <c r="H55" s="6">
        <v>229.44</v>
      </c>
      <c r="I55" s="2"/>
      <c r="J55" s="7">
        <f t="shared" si="37"/>
        <v>4.3310472511516613E-3</v>
      </c>
      <c r="K55" s="2"/>
      <c r="L55" s="6">
        <f t="shared" si="38"/>
        <v>14.099999999999994</v>
      </c>
      <c r="M55" s="2"/>
      <c r="N55" s="7">
        <f t="shared" si="39"/>
        <v>6.1453974895397466E-2</v>
      </c>
      <c r="O55" s="11"/>
      <c r="P55" s="6">
        <v>1461.24</v>
      </c>
      <c r="Q55" s="2"/>
      <c r="R55" s="7">
        <f t="shared" si="40"/>
        <v>3.6288228125020802E-3</v>
      </c>
      <c r="S55" s="2"/>
      <c r="T55" s="6">
        <v>1376.64</v>
      </c>
      <c r="U55" s="2"/>
      <c r="V55" s="7">
        <f t="shared" si="41"/>
        <v>3.6907419679833818E-3</v>
      </c>
      <c r="W55" s="2"/>
      <c r="X55" s="6">
        <f t="shared" si="42"/>
        <v>84.599999999999909</v>
      </c>
      <c r="Y55" s="2"/>
      <c r="Z55" s="7">
        <f t="shared" si="43"/>
        <v>6.1453974895397417E-2</v>
      </c>
    </row>
    <row r="56" spans="1:26" s="27" customFormat="1" outlineLevel="1" collapsed="1" x14ac:dyDescent="0.25">
      <c r="A56" s="25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4175</v>
      </c>
      <c r="E56" s="1"/>
      <c r="F56" s="5">
        <f t="shared" si="36"/>
        <v>8.4919721878249324E-2</v>
      </c>
      <c r="G56" s="1"/>
      <c r="H56" s="1">
        <f>SUM(OSRRefH22_10x_0)</f>
        <v>4280</v>
      </c>
      <c r="I56" s="1"/>
      <c r="J56" s="5">
        <f t="shared" si="37"/>
        <v>8.079185074498392E-2</v>
      </c>
      <c r="K56" s="1"/>
      <c r="L56" s="1">
        <f t="shared" si="38"/>
        <v>-105</v>
      </c>
      <c r="M56" s="1"/>
      <c r="N56" s="5">
        <f t="shared" si="39"/>
        <v>-2.4532710280373831E-2</v>
      </c>
      <c r="O56" s="13"/>
      <c r="P56" s="1">
        <f>SUM(OSRRefP22_10x_0)</f>
        <v>24843.95</v>
      </c>
      <c r="Q56" s="1"/>
      <c r="R56" s="5">
        <f t="shared" si="40"/>
        <v>6.1697115130068335E-2</v>
      </c>
      <c r="S56" s="1"/>
      <c r="T56" s="1">
        <f>SUM(OSRRefT22_10x_0)</f>
        <v>25464.9</v>
      </c>
      <c r="U56" s="1"/>
      <c r="V56" s="5">
        <f t="shared" si="41"/>
        <v>6.8270844331488265E-2</v>
      </c>
      <c r="W56" s="1"/>
      <c r="X56" s="1">
        <f t="shared" si="42"/>
        <v>-620.95000000000073</v>
      </c>
      <c r="Y56" s="1"/>
      <c r="Z56" s="5">
        <f t="shared" si="43"/>
        <v>-2.4384545001158484E-2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6">
        <v>4175</v>
      </c>
      <c r="E57" s="2"/>
      <c r="F57" s="7">
        <f t="shared" si="36"/>
        <v>8.4919721878249324E-2</v>
      </c>
      <c r="G57" s="2"/>
      <c r="H57" s="6">
        <v>4280</v>
      </c>
      <c r="I57" s="2"/>
      <c r="J57" s="7">
        <f t="shared" si="37"/>
        <v>8.079185074498392E-2</v>
      </c>
      <c r="K57" s="2"/>
      <c r="L57" s="6">
        <f t="shared" si="38"/>
        <v>-105</v>
      </c>
      <c r="M57" s="2"/>
      <c r="N57" s="7">
        <f t="shared" si="39"/>
        <v>-2.4532710280373831E-2</v>
      </c>
      <c r="O57" s="11"/>
      <c r="P57" s="6">
        <v>24843.95</v>
      </c>
      <c r="Q57" s="2"/>
      <c r="R57" s="7">
        <f t="shared" si="40"/>
        <v>6.1697115130068335E-2</v>
      </c>
      <c r="S57" s="2"/>
      <c r="T57" s="6">
        <v>25464.9</v>
      </c>
      <c r="U57" s="2"/>
      <c r="V57" s="7">
        <f t="shared" si="41"/>
        <v>6.8270844331488265E-2</v>
      </c>
      <c r="W57" s="2"/>
      <c r="X57" s="6">
        <f t="shared" si="42"/>
        <v>-620.95000000000073</v>
      </c>
      <c r="Y57" s="2"/>
      <c r="Z57" s="7">
        <f t="shared" si="43"/>
        <v>-2.4384545001158484E-2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292.89999999999998</v>
      </c>
      <c r="E58" s="1"/>
      <c r="F58" s="5">
        <f t="shared" si="36"/>
        <v>5.9576015660213711E-3</v>
      </c>
      <c r="G58" s="1"/>
      <c r="H58" s="1">
        <f>SUM(OSRRefH22_11x_0)</f>
        <v>101.2</v>
      </c>
      <c r="I58" s="1"/>
      <c r="J58" s="5">
        <f t="shared" si="37"/>
        <v>1.91031198490476E-3</v>
      </c>
      <c r="K58" s="1"/>
      <c r="L58" s="1">
        <f t="shared" si="38"/>
        <v>191.7</v>
      </c>
      <c r="M58" s="1"/>
      <c r="N58" s="5">
        <f t="shared" si="39"/>
        <v>1.8942687747035571</v>
      </c>
      <c r="O58" s="13"/>
      <c r="P58" s="1">
        <f>SUM(OSRRefP22_11x_0)</f>
        <v>916.99</v>
      </c>
      <c r="Q58" s="1"/>
      <c r="R58" s="5">
        <f t="shared" si="40"/>
        <v>2.2772400364322646E-3</v>
      </c>
      <c r="S58" s="1"/>
      <c r="T58" s="1">
        <f>SUM(OSRRefT22_11x_0)</f>
        <v>725.18</v>
      </c>
      <c r="U58" s="1"/>
      <c r="V58" s="5">
        <f t="shared" si="41"/>
        <v>1.9441918441583772E-3</v>
      </c>
      <c r="W58" s="1"/>
      <c r="X58" s="1">
        <f t="shared" si="42"/>
        <v>191.81000000000006</v>
      </c>
      <c r="Y58" s="1"/>
      <c r="Z58" s="5">
        <f t="shared" si="43"/>
        <v>0.26449984831352225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437.31</v>
      </c>
      <c r="Q59" s="2"/>
      <c r="R59" s="7">
        <f t="shared" si="40"/>
        <v>1.0860094879248342E-3</v>
      </c>
      <c r="S59" s="2"/>
      <c r="T59" s="6"/>
      <c r="U59" s="2"/>
      <c r="V59" s="7">
        <f t="shared" si="41"/>
        <v>0</v>
      </c>
      <c r="W59" s="2"/>
      <c r="X59" s="6">
        <f t="shared" si="42"/>
        <v>437.31</v>
      </c>
      <c r="Y59" s="2"/>
      <c r="Z59" s="7">
        <f t="shared" si="43"/>
        <v>0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>
        <v>107.03</v>
      </c>
      <c r="E60" s="2"/>
      <c r="F60" s="7">
        <f t="shared" si="36"/>
        <v>2.1769958880548564E-3</v>
      </c>
      <c r="G60" s="2"/>
      <c r="H60" s="6">
        <v>101.2</v>
      </c>
      <c r="I60" s="2"/>
      <c r="J60" s="7">
        <f t="shared" si="37"/>
        <v>1.91031198490476E-3</v>
      </c>
      <c r="K60" s="2"/>
      <c r="L60" s="6">
        <f t="shared" si="38"/>
        <v>5.8299999999999983</v>
      </c>
      <c r="M60" s="2"/>
      <c r="N60" s="7">
        <f t="shared" si="39"/>
        <v>5.7608695652173893E-2</v>
      </c>
      <c r="O60" s="11"/>
      <c r="P60" s="6">
        <v>209.74</v>
      </c>
      <c r="Q60" s="2"/>
      <c r="R60" s="7">
        <f t="shared" si="40"/>
        <v>5.2086535866400206E-4</v>
      </c>
      <c r="S60" s="2"/>
      <c r="T60" s="6">
        <v>202.4</v>
      </c>
      <c r="U60" s="2"/>
      <c r="V60" s="7">
        <f t="shared" si="41"/>
        <v>5.4263000807751945E-4</v>
      </c>
      <c r="W60" s="2"/>
      <c r="X60" s="6">
        <f t="shared" si="42"/>
        <v>7.3400000000000034</v>
      </c>
      <c r="Y60" s="2"/>
      <c r="Z60" s="7">
        <f t="shared" si="43"/>
        <v>3.6264822134387364E-2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185.87</v>
      </c>
      <c r="E61" s="2"/>
      <c r="F61" s="7">
        <f t="shared" si="36"/>
        <v>3.7806056779665152E-3</v>
      </c>
      <c r="G61" s="2"/>
      <c r="H61" s="6"/>
      <c r="I61" s="2"/>
      <c r="J61" s="7">
        <f t="shared" si="37"/>
        <v>0</v>
      </c>
      <c r="K61" s="2"/>
      <c r="L61" s="6">
        <f t="shared" si="38"/>
        <v>185.87</v>
      </c>
      <c r="M61" s="2"/>
      <c r="N61" s="7">
        <f t="shared" si="39"/>
        <v>0</v>
      </c>
      <c r="O61" s="11"/>
      <c r="P61" s="6">
        <v>269.94</v>
      </c>
      <c r="Q61" s="2"/>
      <c r="R61" s="7">
        <f t="shared" si="40"/>
        <v>6.7036518984342854E-4</v>
      </c>
      <c r="S61" s="2"/>
      <c r="T61" s="6">
        <v>522.78</v>
      </c>
      <c r="U61" s="2"/>
      <c r="V61" s="7">
        <f t="shared" si="41"/>
        <v>1.4015618360808577E-3</v>
      </c>
      <c r="W61" s="2"/>
      <c r="X61" s="6">
        <f t="shared" si="42"/>
        <v>-252.83999999999997</v>
      </c>
      <c r="Y61" s="2"/>
      <c r="Z61" s="7">
        <f t="shared" si="43"/>
        <v>-0.48364512796970044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1675.63</v>
      </c>
      <c r="E62" s="1"/>
      <c r="F62" s="5">
        <f t="shared" ref="F62:F66" si="44">IF(D$12=0,0,D62/D$12)</f>
        <v>3.4082403250503213E-2</v>
      </c>
      <c r="G62" s="1"/>
      <c r="H62" s="1">
        <f>SUM(OSRRefH22_12x_0)</f>
        <v>296.25</v>
      </c>
      <c r="I62" s="1"/>
      <c r="J62" s="5">
        <f t="shared" ref="J62:J66" si="45">IF(H$12=0,0,H62/H$12)</f>
        <v>5.5921929400003477E-3</v>
      </c>
      <c r="K62" s="1"/>
      <c r="L62" s="1">
        <f t="shared" ref="L62:L66" si="46">+D62-H62</f>
        <v>1379.38</v>
      </c>
      <c r="M62" s="1"/>
      <c r="N62" s="5">
        <f t="shared" ref="N62:N66" si="47">IF(H62=0,0,L62/H62)</f>
        <v>4.6561350210970467</v>
      </c>
      <c r="O62" s="13"/>
      <c r="P62" s="1">
        <f>SUM(OSRRefP22_12x_0)</f>
        <v>3418.99</v>
      </c>
      <c r="Q62" s="1"/>
      <c r="R62" s="5">
        <f t="shared" ref="R62:R66" si="48">IF(P$12=0,0,P62/P$12)</f>
        <v>8.4906715582084291E-3</v>
      </c>
      <c r="S62" s="1"/>
      <c r="T62" s="1">
        <f>SUM(OSRRefT22_12x_0)</f>
        <v>3353.95</v>
      </c>
      <c r="U62" s="1"/>
      <c r="V62" s="5">
        <f t="shared" ref="V62:V66" si="49">IF(T$12=0,0,T62/T$12)</f>
        <v>8.9918671718952382E-3</v>
      </c>
      <c r="W62" s="1"/>
      <c r="X62" s="1">
        <f t="shared" ref="X62:X66" si="50">+P62-T62</f>
        <v>65.039999999999964</v>
      </c>
      <c r="Y62" s="1"/>
      <c r="Z62" s="5">
        <f t="shared" ref="Z62:Z66" si="51">IF(T62=0,0,X62/T62)</f>
        <v>1.9392060108230583E-2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786.75</v>
      </c>
      <c r="E63" s="2"/>
      <c r="F63" s="7">
        <f t="shared" si="44"/>
        <v>1.6002536811428179E-2</v>
      </c>
      <c r="G63" s="2"/>
      <c r="H63" s="6"/>
      <c r="I63" s="2"/>
      <c r="J63" s="7">
        <f t="shared" si="45"/>
        <v>0</v>
      </c>
      <c r="K63" s="2"/>
      <c r="L63" s="6">
        <f t="shared" si="46"/>
        <v>786.75</v>
      </c>
      <c r="M63" s="2"/>
      <c r="N63" s="7">
        <f t="shared" si="47"/>
        <v>0</v>
      </c>
      <c r="O63" s="11"/>
      <c r="P63" s="6">
        <v>1101.45</v>
      </c>
      <c r="Q63" s="2"/>
      <c r="R63" s="7">
        <f t="shared" si="48"/>
        <v>2.7353253995445075E-3</v>
      </c>
      <c r="S63" s="2"/>
      <c r="T63" s="6">
        <v>786.75</v>
      </c>
      <c r="U63" s="2"/>
      <c r="V63" s="7">
        <f t="shared" si="49"/>
        <v>2.1092596781372946E-3</v>
      </c>
      <c r="W63" s="2"/>
      <c r="X63" s="6">
        <f t="shared" si="50"/>
        <v>314.70000000000005</v>
      </c>
      <c r="Y63" s="2"/>
      <c r="Z63" s="7">
        <f t="shared" si="51"/>
        <v>0.40000000000000008</v>
      </c>
    </row>
    <row r="64" spans="1:26" s="24" customFormat="1" hidden="1" outlineLevel="2" x14ac:dyDescent="0.25">
      <c r="A64" s="26"/>
      <c r="B64" s="11" t="str">
        <f>CONCATENATE("          ", "6284", " - ", "TRASH REMOVAL EXPENSE")</f>
        <v xml:space="preserve">          6284 - TRASH REMOVAL EXPENSE</v>
      </c>
      <c r="C64" s="11"/>
      <c r="D64" s="6">
        <v>785</v>
      </c>
      <c r="E64" s="2"/>
      <c r="F64" s="7">
        <f t="shared" si="44"/>
        <v>1.5966941718425321E-2</v>
      </c>
      <c r="G64" s="2"/>
      <c r="H64" s="6">
        <v>237</v>
      </c>
      <c r="I64" s="2"/>
      <c r="J64" s="7">
        <f t="shared" si="45"/>
        <v>4.4737543520002778E-3</v>
      </c>
      <c r="K64" s="2"/>
      <c r="L64" s="6">
        <f t="shared" si="46"/>
        <v>548</v>
      </c>
      <c r="M64" s="2"/>
      <c r="N64" s="7">
        <f t="shared" si="47"/>
        <v>2.3122362869198314</v>
      </c>
      <c r="O64" s="11"/>
      <c r="P64" s="6">
        <v>1733</v>
      </c>
      <c r="Q64" s="2"/>
      <c r="R64" s="7">
        <f t="shared" si="48"/>
        <v>4.3037077646834914E-3</v>
      </c>
      <c r="S64" s="2"/>
      <c r="T64" s="6">
        <v>1992.73</v>
      </c>
      <c r="U64" s="2"/>
      <c r="V64" s="7">
        <f t="shared" si="49"/>
        <v>5.3424658893098586E-3</v>
      </c>
      <c r="W64" s="2"/>
      <c r="X64" s="6">
        <f t="shared" si="50"/>
        <v>-259.73</v>
      </c>
      <c r="Y64" s="2"/>
      <c r="Z64" s="7">
        <f t="shared" si="51"/>
        <v>-0.13033878147064581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44"/>
        <v>0</v>
      </c>
      <c r="G65" s="2"/>
      <c r="H65" s="6">
        <v>25</v>
      </c>
      <c r="I65" s="2"/>
      <c r="J65" s="7">
        <f t="shared" si="45"/>
        <v>4.7191501603378459E-4</v>
      </c>
      <c r="K65" s="2"/>
      <c r="L65" s="6">
        <f t="shared" si="46"/>
        <v>-25</v>
      </c>
      <c r="M65" s="2"/>
      <c r="N65" s="7">
        <f t="shared" si="47"/>
        <v>-1</v>
      </c>
      <c r="O65" s="11"/>
      <c r="P65" s="6"/>
      <c r="Q65" s="2"/>
      <c r="R65" s="7">
        <f t="shared" si="48"/>
        <v>0</v>
      </c>
      <c r="S65" s="2"/>
      <c r="T65" s="6">
        <v>25</v>
      </c>
      <c r="U65" s="2"/>
      <c r="V65" s="7">
        <f t="shared" si="49"/>
        <v>6.7024457519456457E-5</v>
      </c>
      <c r="W65" s="2"/>
      <c r="X65" s="6">
        <f t="shared" si="50"/>
        <v>-25</v>
      </c>
      <c r="Y65" s="2"/>
      <c r="Z65" s="7">
        <f t="shared" si="51"/>
        <v>-1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>
        <v>103.88</v>
      </c>
      <c r="E66" s="2"/>
      <c r="F66" s="7">
        <f t="shared" si="44"/>
        <v>2.11292472064971E-3</v>
      </c>
      <c r="G66" s="2"/>
      <c r="H66" s="6">
        <v>34.25</v>
      </c>
      <c r="I66" s="2"/>
      <c r="J66" s="7">
        <f t="shared" si="45"/>
        <v>6.4652357196628486E-4</v>
      </c>
      <c r="K66" s="2"/>
      <c r="L66" s="6">
        <f t="shared" si="46"/>
        <v>69.63</v>
      </c>
      <c r="M66" s="2"/>
      <c r="N66" s="7">
        <f t="shared" si="47"/>
        <v>2.0329927007299267</v>
      </c>
      <c r="O66" s="11"/>
      <c r="P66" s="6">
        <v>584.54</v>
      </c>
      <c r="Q66" s="2"/>
      <c r="R66" s="7">
        <f t="shared" si="48"/>
        <v>1.4516383939804315E-3</v>
      </c>
      <c r="S66" s="2"/>
      <c r="T66" s="6">
        <v>549.47</v>
      </c>
      <c r="U66" s="2"/>
      <c r="V66" s="7">
        <f t="shared" si="49"/>
        <v>1.4731171469286296E-3</v>
      </c>
      <c r="W66" s="2"/>
      <c r="X66" s="6">
        <f t="shared" si="50"/>
        <v>35.069999999999936</v>
      </c>
      <c r="Y66" s="2"/>
      <c r="Z66" s="7">
        <f t="shared" si="51"/>
        <v>6.3825140590022991E-2</v>
      </c>
    </row>
    <row r="67" spans="1:26" s="27" customFormat="1" outlineLevel="1" collapsed="1" x14ac:dyDescent="0.25">
      <c r="A67" s="25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352.8</v>
      </c>
      <c r="E67" s="1"/>
      <c r="F67" s="5">
        <f t="shared" ref="F67:F75" si="52">IF(D$12=0,0,D67/D$12)</f>
        <v>7.1759707493763737E-3</v>
      </c>
      <c r="G67" s="1"/>
      <c r="H67" s="1">
        <f>SUM(OSRRefH22_13x_0)</f>
        <v>0</v>
      </c>
      <c r="I67" s="1"/>
      <c r="J67" s="5">
        <f t="shared" ref="J67:J75" si="53">IF(H$12=0,0,H67/H$12)</f>
        <v>0</v>
      </c>
      <c r="K67" s="1"/>
      <c r="L67" s="1">
        <f t="shared" ref="L67:L75" si="54">+D67-H67</f>
        <v>352.8</v>
      </c>
      <c r="M67" s="1"/>
      <c r="N67" s="5">
        <f t="shared" ref="N67:N75" si="55">IF(H67=0,0,L67/H67)</f>
        <v>0</v>
      </c>
      <c r="O67" s="13"/>
      <c r="P67" s="1">
        <f>SUM(OSRRefP22_13x_0)</f>
        <v>1058.4000000000001</v>
      </c>
      <c r="Q67" s="1"/>
      <c r="R67" s="5">
        <f t="shared" ref="R67:R75" si="56">IF(P$12=0,0,P67/P$12)</f>
        <v>2.6284156365499176E-3</v>
      </c>
      <c r="S67" s="1"/>
      <c r="T67" s="1">
        <f>SUM(OSRRefT22_13x_0)</f>
        <v>352.8</v>
      </c>
      <c r="U67" s="1"/>
      <c r="V67" s="5">
        <f t="shared" ref="V67:V75" si="57">IF(T$12=0,0,T67/T$12)</f>
        <v>9.4584914451456949E-4</v>
      </c>
      <c r="W67" s="1"/>
      <c r="X67" s="1">
        <f t="shared" ref="X67:X75" si="58">+P67-T67</f>
        <v>705.60000000000014</v>
      </c>
      <c r="Y67" s="1"/>
      <c r="Z67" s="5">
        <f t="shared" ref="Z67:Z75" si="59">IF(T67=0,0,X67/T67)</f>
        <v>2.0000000000000004</v>
      </c>
    </row>
    <row r="68" spans="1:26" s="24" customFormat="1" hidden="1" outlineLevel="2" x14ac:dyDescent="0.25">
      <c r="A68" s="26"/>
      <c r="B68" s="11" t="str">
        <f>CONCATENATE("          ", "6275", " - ", "SUBSCRIPTIONS")</f>
        <v xml:space="preserve">          6275 - SUBSCRIPTIONS</v>
      </c>
      <c r="C68" s="11"/>
      <c r="D68" s="6">
        <v>352.8</v>
      </c>
      <c r="E68" s="2"/>
      <c r="F68" s="7">
        <f t="shared" si="52"/>
        <v>7.1759707493763737E-3</v>
      </c>
      <c r="G68" s="2"/>
      <c r="H68" s="6"/>
      <c r="I68" s="2"/>
      <c r="J68" s="7">
        <f t="shared" si="53"/>
        <v>0</v>
      </c>
      <c r="K68" s="2"/>
      <c r="L68" s="6">
        <f t="shared" si="54"/>
        <v>352.8</v>
      </c>
      <c r="M68" s="2"/>
      <c r="N68" s="7">
        <f t="shared" si="55"/>
        <v>0</v>
      </c>
      <c r="O68" s="11"/>
      <c r="P68" s="6">
        <v>1058.4000000000001</v>
      </c>
      <c r="Q68" s="2"/>
      <c r="R68" s="7">
        <f t="shared" si="56"/>
        <v>2.6284156365499176E-3</v>
      </c>
      <c r="S68" s="2"/>
      <c r="T68" s="6">
        <v>352.8</v>
      </c>
      <c r="U68" s="2"/>
      <c r="V68" s="7">
        <f t="shared" si="57"/>
        <v>9.4584914451456949E-4</v>
      </c>
      <c r="W68" s="2"/>
      <c r="X68" s="6">
        <f t="shared" si="58"/>
        <v>705.60000000000014</v>
      </c>
      <c r="Y68" s="2"/>
      <c r="Z68" s="7">
        <f t="shared" si="59"/>
        <v>2.0000000000000004</v>
      </c>
    </row>
    <row r="69" spans="1:26" s="27" customFormat="1" outlineLevel="1" collapsed="1" x14ac:dyDescent="0.25">
      <c r="A69" s="25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SUM(OSRRefD22_14x_0)</f>
        <v>37.94</v>
      </c>
      <c r="E69" s="1"/>
      <c r="F69" s="5">
        <f t="shared" si="52"/>
        <v>7.7170161630198304E-4</v>
      </c>
      <c r="G69" s="1"/>
      <c r="H69" s="1">
        <f>SUM(OSRRefH22_14x_0)</f>
        <v>103.44</v>
      </c>
      <c r="I69" s="1"/>
      <c r="J69" s="5">
        <f t="shared" si="53"/>
        <v>1.9525955703413871E-3</v>
      </c>
      <c r="K69" s="1"/>
      <c r="L69" s="1">
        <f t="shared" si="54"/>
        <v>-65.5</v>
      </c>
      <c r="M69" s="1"/>
      <c r="N69" s="5">
        <f t="shared" si="55"/>
        <v>-0.6332173240525909</v>
      </c>
      <c r="O69" s="13"/>
      <c r="P69" s="1">
        <f>SUM(OSRRefP22_14x_0)</f>
        <v>8810.5399999999991</v>
      </c>
      <c r="Q69" s="1"/>
      <c r="R69" s="5">
        <f t="shared" si="56"/>
        <v>2.1879970807302068E-2</v>
      </c>
      <c r="S69" s="1"/>
      <c r="T69" s="1">
        <f>SUM(OSRRefT22_14x_0)</f>
        <v>6898.9599999999991</v>
      </c>
      <c r="U69" s="1"/>
      <c r="V69" s="5">
        <f t="shared" si="57"/>
        <v>1.849596205793717E-2</v>
      </c>
      <c r="W69" s="1"/>
      <c r="X69" s="1">
        <f t="shared" si="58"/>
        <v>1911.58</v>
      </c>
      <c r="Y69" s="1"/>
      <c r="Z69" s="5">
        <f t="shared" si="59"/>
        <v>0.27708234284587824</v>
      </c>
    </row>
    <row r="70" spans="1:26" s="24" customFormat="1" hidden="1" outlineLevel="2" x14ac:dyDescent="0.25">
      <c r="A70" s="26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28.22</v>
      </c>
      <c r="Q70" s="2"/>
      <c r="R70" s="7">
        <f t="shared" si="56"/>
        <v>7.0081150097731169E-5</v>
      </c>
      <c r="S70" s="2"/>
      <c r="T70" s="6">
        <v>939.33</v>
      </c>
      <c r="U70" s="2"/>
      <c r="V70" s="7">
        <f t="shared" si="57"/>
        <v>2.5183233472700415E-3</v>
      </c>
      <c r="W70" s="2"/>
      <c r="X70" s="6">
        <f t="shared" si="58"/>
        <v>-911.11</v>
      </c>
      <c r="Y70" s="2"/>
      <c r="Z70" s="7">
        <f t="shared" si="59"/>
        <v>-0.96995730999755136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52"/>
        <v>0</v>
      </c>
      <c r="G71" s="2"/>
      <c r="H71" s="6">
        <v>31.28</v>
      </c>
      <c r="I71" s="2"/>
      <c r="J71" s="7">
        <f t="shared" si="53"/>
        <v>5.9046006806147129E-4</v>
      </c>
      <c r="K71" s="2"/>
      <c r="L71" s="6">
        <f t="shared" si="54"/>
        <v>-31.28</v>
      </c>
      <c r="M71" s="2"/>
      <c r="N71" s="7">
        <f t="shared" si="55"/>
        <v>-1</v>
      </c>
      <c r="O71" s="11"/>
      <c r="P71" s="6">
        <v>690.05</v>
      </c>
      <c r="Q71" s="2"/>
      <c r="R71" s="7">
        <f t="shared" si="56"/>
        <v>1.7136604402884265E-3</v>
      </c>
      <c r="S71" s="2"/>
      <c r="T71" s="6">
        <v>1948.18</v>
      </c>
      <c r="U71" s="2"/>
      <c r="V71" s="7">
        <f t="shared" si="57"/>
        <v>5.223028306010187E-3</v>
      </c>
      <c r="W71" s="2"/>
      <c r="X71" s="6">
        <f t="shared" si="58"/>
        <v>-1258.1300000000001</v>
      </c>
      <c r="Y71" s="2"/>
      <c r="Z71" s="7">
        <f t="shared" si="59"/>
        <v>-0.64579761623669274</v>
      </c>
    </row>
    <row r="72" spans="1:26" s="24" customFormat="1" hidden="1" outlineLevel="2" x14ac:dyDescent="0.25">
      <c r="A72" s="26"/>
      <c r="B72" s="11" t="str">
        <f>CONCATENATE("          ", "6241", " - ", "OFFICE EXPENSE")</f>
        <v xml:space="preserve">          6241 - OFFICE EXPENSE</v>
      </c>
      <c r="C72" s="11"/>
      <c r="D72" s="6">
        <v>117.94</v>
      </c>
      <c r="E72" s="2"/>
      <c r="F72" s="7">
        <f t="shared" si="52"/>
        <v>2.3989058678612514E-3</v>
      </c>
      <c r="G72" s="2"/>
      <c r="H72" s="6">
        <v>19.86</v>
      </c>
      <c r="I72" s="2"/>
      <c r="J72" s="7">
        <f t="shared" si="53"/>
        <v>3.7488928873723849E-4</v>
      </c>
      <c r="K72" s="2"/>
      <c r="L72" s="6">
        <f t="shared" si="54"/>
        <v>98.08</v>
      </c>
      <c r="M72" s="2"/>
      <c r="N72" s="7">
        <f t="shared" si="55"/>
        <v>4.9385699899295066</v>
      </c>
      <c r="O72" s="11"/>
      <c r="P72" s="6">
        <v>446.07</v>
      </c>
      <c r="Q72" s="2"/>
      <c r="R72" s="7">
        <f t="shared" si="56"/>
        <v>1.1077639484087507E-3</v>
      </c>
      <c r="S72" s="2"/>
      <c r="T72" s="6">
        <v>2394.8200000000002</v>
      </c>
      <c r="U72" s="2"/>
      <c r="V72" s="7">
        <f t="shared" si="57"/>
        <v>6.4204604542697887E-3</v>
      </c>
      <c r="W72" s="2"/>
      <c r="X72" s="6">
        <f t="shared" si="58"/>
        <v>-1948.7500000000002</v>
      </c>
      <c r="Y72" s="2"/>
      <c r="Z72" s="7">
        <f t="shared" si="59"/>
        <v>-0.81373547907567167</v>
      </c>
    </row>
    <row r="73" spans="1:26" s="24" customFormat="1" hidden="1" outlineLevel="2" x14ac:dyDescent="0.25">
      <c r="A73" s="26"/>
      <c r="B73" s="11" t="str">
        <f>CONCATENATE("          ", "6243", " - ", "PAPER SUPPLIES")</f>
        <v xml:space="preserve">          6243 - PAPER SUPPLIES</v>
      </c>
      <c r="C73" s="11"/>
      <c r="D73" s="6"/>
      <c r="E73" s="2"/>
      <c r="F73" s="7">
        <f t="shared" si="52"/>
        <v>0</v>
      </c>
      <c r="G73" s="2"/>
      <c r="H73" s="6">
        <v>97.11</v>
      </c>
      <c r="I73" s="2"/>
      <c r="J73" s="7">
        <f t="shared" si="53"/>
        <v>1.8331066882816328E-3</v>
      </c>
      <c r="K73" s="2"/>
      <c r="L73" s="6">
        <f t="shared" si="54"/>
        <v>-97.11</v>
      </c>
      <c r="M73" s="2"/>
      <c r="N73" s="7">
        <f t="shared" si="55"/>
        <v>-1</v>
      </c>
      <c r="O73" s="11"/>
      <c r="P73" s="6">
        <v>676.55</v>
      </c>
      <c r="Q73" s="2"/>
      <c r="R73" s="7">
        <f t="shared" si="56"/>
        <v>1.6801347306385549E-3</v>
      </c>
      <c r="S73" s="2"/>
      <c r="T73" s="6">
        <v>1142.31</v>
      </c>
      <c r="U73" s="2"/>
      <c r="V73" s="7">
        <f t="shared" si="57"/>
        <v>3.0625083227620118E-3</v>
      </c>
      <c r="W73" s="2"/>
      <c r="X73" s="6">
        <f t="shared" si="58"/>
        <v>-465.76</v>
      </c>
      <c r="Y73" s="2"/>
      <c r="Z73" s="7">
        <f t="shared" si="59"/>
        <v>-0.40773520322854567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>
        <v>-80</v>
      </c>
      <c r="E74" s="2"/>
      <c r="F74" s="7">
        <f t="shared" si="52"/>
        <v>-1.6272042515592684E-3</v>
      </c>
      <c r="G74" s="2"/>
      <c r="H74" s="6">
        <v>-44.81</v>
      </c>
      <c r="I74" s="2"/>
      <c r="J74" s="7">
        <f t="shared" si="53"/>
        <v>-8.4586047473895554E-4</v>
      </c>
      <c r="K74" s="2"/>
      <c r="L74" s="6">
        <f t="shared" si="54"/>
        <v>-35.19</v>
      </c>
      <c r="M74" s="2"/>
      <c r="N74" s="7">
        <f t="shared" si="55"/>
        <v>0.78531577772818562</v>
      </c>
      <c r="O74" s="11"/>
      <c r="P74" s="6">
        <v>6969.65</v>
      </c>
      <c r="Q74" s="2"/>
      <c r="R74" s="7">
        <f t="shared" si="56"/>
        <v>1.7308330537868604E-2</v>
      </c>
      <c r="S74" s="2"/>
      <c r="T74" s="6">
        <v>74.62</v>
      </c>
      <c r="U74" s="2"/>
      <c r="V74" s="7">
        <f t="shared" si="57"/>
        <v>2.0005460080407364E-4</v>
      </c>
      <c r="W74" s="2"/>
      <c r="X74" s="6">
        <f t="shared" si="58"/>
        <v>6895.03</v>
      </c>
      <c r="Y74" s="2"/>
      <c r="Z74" s="7">
        <f t="shared" si="59"/>
        <v>92.401902975073696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/>
      <c r="Q75" s="2"/>
      <c r="R75" s="7">
        <f t="shared" si="56"/>
        <v>0</v>
      </c>
      <c r="S75" s="2"/>
      <c r="T75" s="6">
        <v>399.7</v>
      </c>
      <c r="U75" s="2"/>
      <c r="V75" s="7">
        <f t="shared" si="57"/>
        <v>1.0715870268210698E-3</v>
      </c>
      <c r="W75" s="2"/>
      <c r="X75" s="6">
        <f t="shared" si="58"/>
        <v>-399.7</v>
      </c>
      <c r="Y75" s="2"/>
      <c r="Z75" s="7">
        <f t="shared" si="59"/>
        <v>-1</v>
      </c>
    </row>
    <row r="76" spans="1:26" s="27" customFormat="1" outlineLevel="1" collapsed="1" x14ac:dyDescent="0.25">
      <c r="A76" s="25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SUM(OSRRefD22_15x_0)</f>
        <v>38.35</v>
      </c>
      <c r="E76" s="1"/>
      <c r="F76" s="5">
        <f t="shared" ref="F76:F81" si="60">IF(D$12=0,0,D76/D$12)</f>
        <v>7.8004103809122427E-4</v>
      </c>
      <c r="G76" s="1"/>
      <c r="H76" s="1">
        <f>SUM(OSRRefH22_15x_0)</f>
        <v>39.700000000000003</v>
      </c>
      <c r="I76" s="1"/>
      <c r="J76" s="5">
        <f t="shared" ref="J76:J81" si="61">IF(H$12=0,0,H76/H$12)</f>
        <v>7.4940104546164998E-4</v>
      </c>
      <c r="K76" s="1"/>
      <c r="L76" s="1">
        <f t="shared" ref="L76:L81" si="62">+D76-H76</f>
        <v>-1.3500000000000014</v>
      </c>
      <c r="M76" s="1"/>
      <c r="N76" s="5">
        <f t="shared" ref="N76:N81" si="63">IF(H76=0,0,L76/H76)</f>
        <v>-3.4005037783375346E-2</v>
      </c>
      <c r="O76" s="13"/>
      <c r="P76" s="1">
        <f>SUM(OSRRefP22_15x_0)</f>
        <v>233.6</v>
      </c>
      <c r="Q76" s="1"/>
      <c r="R76" s="5">
        <f t="shared" ref="R76:R81" si="64">IF(P$12=0,0,P76/P$12)</f>
        <v>5.8011894623777468E-4</v>
      </c>
      <c r="S76" s="1"/>
      <c r="T76" s="1">
        <f>SUM(OSRRefT22_15x_0)</f>
        <v>237</v>
      </c>
      <c r="U76" s="1"/>
      <c r="V76" s="5">
        <f t="shared" ref="V76:V81" si="65">IF(T$12=0,0,T76/T$12)</f>
        <v>6.3539185728444722E-4</v>
      </c>
      <c r="W76" s="1"/>
      <c r="X76" s="1">
        <f t="shared" ref="X76:X81" si="66">+P76-T76</f>
        <v>-3.4000000000000057</v>
      </c>
      <c r="Y76" s="1"/>
      <c r="Z76" s="5">
        <f t="shared" ref="Z76:Z81" si="67">IF(T76=0,0,X76/T76)</f>
        <v>-1.4345991561181458E-2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6">
        <v>38.35</v>
      </c>
      <c r="E77" s="2"/>
      <c r="F77" s="7">
        <f t="shared" si="60"/>
        <v>7.8004103809122427E-4</v>
      </c>
      <c r="G77" s="2"/>
      <c r="H77" s="6">
        <v>39.700000000000003</v>
      </c>
      <c r="I77" s="2"/>
      <c r="J77" s="7">
        <f t="shared" si="61"/>
        <v>7.4940104546164998E-4</v>
      </c>
      <c r="K77" s="2"/>
      <c r="L77" s="6">
        <f t="shared" si="62"/>
        <v>-1.3500000000000014</v>
      </c>
      <c r="M77" s="2"/>
      <c r="N77" s="7">
        <f t="shared" si="63"/>
        <v>-3.4005037783375346E-2</v>
      </c>
      <c r="O77" s="11"/>
      <c r="P77" s="6">
        <v>233.6</v>
      </c>
      <c r="Q77" s="2"/>
      <c r="R77" s="7">
        <f t="shared" si="64"/>
        <v>5.8011894623777468E-4</v>
      </c>
      <c r="S77" s="2"/>
      <c r="T77" s="6">
        <v>237</v>
      </c>
      <c r="U77" s="2"/>
      <c r="V77" s="7">
        <f t="shared" si="65"/>
        <v>6.3539185728444722E-4</v>
      </c>
      <c r="W77" s="2"/>
      <c r="X77" s="6">
        <f t="shared" si="66"/>
        <v>-3.4000000000000057</v>
      </c>
      <c r="Y77" s="2"/>
      <c r="Z77" s="7">
        <f t="shared" si="67"/>
        <v>-1.4345991561181458E-2</v>
      </c>
    </row>
    <row r="78" spans="1:26" s="27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SUM(OSRRefD22_16x_0)</f>
        <v>0</v>
      </c>
      <c r="E78" s="1"/>
      <c r="F78" s="5">
        <f t="shared" si="60"/>
        <v>0</v>
      </c>
      <c r="G78" s="1"/>
      <c r="H78" s="1">
        <f>SUM(OSRRefH22_16x_0)</f>
        <v>139</v>
      </c>
      <c r="I78" s="1"/>
      <c r="J78" s="5">
        <f t="shared" si="61"/>
        <v>2.6238474891478424E-3</v>
      </c>
      <c r="K78" s="1"/>
      <c r="L78" s="1">
        <f t="shared" si="62"/>
        <v>-139</v>
      </c>
      <c r="M78" s="1"/>
      <c r="N78" s="5">
        <f t="shared" si="63"/>
        <v>-1</v>
      </c>
      <c r="O78" s="13"/>
      <c r="P78" s="1">
        <f>SUM(OSRRefP22_16x_0)</f>
        <v>0</v>
      </c>
      <c r="Q78" s="1"/>
      <c r="R78" s="5">
        <f t="shared" si="64"/>
        <v>0</v>
      </c>
      <c r="S78" s="1"/>
      <c r="T78" s="1">
        <f>SUM(OSRRefT22_16x_0)</f>
        <v>139</v>
      </c>
      <c r="U78" s="1"/>
      <c r="V78" s="5">
        <f t="shared" si="65"/>
        <v>3.7265598380817788E-4</v>
      </c>
      <c r="W78" s="1"/>
      <c r="X78" s="1">
        <f t="shared" si="66"/>
        <v>-139</v>
      </c>
      <c r="Y78" s="1"/>
      <c r="Z78" s="5">
        <f t="shared" si="67"/>
        <v>-1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60"/>
        <v>0</v>
      </c>
      <c r="G79" s="2"/>
      <c r="H79" s="6">
        <v>139</v>
      </c>
      <c r="I79" s="2"/>
      <c r="J79" s="7">
        <f t="shared" si="61"/>
        <v>2.6238474891478424E-3</v>
      </c>
      <c r="K79" s="2"/>
      <c r="L79" s="6">
        <f t="shared" si="62"/>
        <v>-139</v>
      </c>
      <c r="M79" s="2"/>
      <c r="N79" s="7">
        <f t="shared" si="63"/>
        <v>-1</v>
      </c>
      <c r="O79" s="11"/>
      <c r="P79" s="6"/>
      <c r="Q79" s="2"/>
      <c r="R79" s="7">
        <f t="shared" si="64"/>
        <v>0</v>
      </c>
      <c r="S79" s="2"/>
      <c r="T79" s="6">
        <v>139</v>
      </c>
      <c r="U79" s="2"/>
      <c r="V79" s="7">
        <f t="shared" si="65"/>
        <v>3.7265598380817788E-4</v>
      </c>
      <c r="W79" s="2"/>
      <c r="X79" s="6">
        <f t="shared" si="66"/>
        <v>-139</v>
      </c>
      <c r="Y79" s="2"/>
      <c r="Z79" s="7">
        <f t="shared" si="67"/>
        <v>-1</v>
      </c>
    </row>
    <row r="80" spans="1:26" s="27" customFormat="1" outlineLevel="1" collapsed="1" x14ac:dyDescent="0.25">
      <c r="A80" s="25"/>
      <c r="B80" s="13" t="str">
        <f>CONCATENATE("     ","Utilities                                         ")</f>
        <v xml:space="preserve">     Utilities                                         </v>
      </c>
      <c r="C80" s="13"/>
      <c r="D80" s="1">
        <f>SUM(OSRRefD22_17x_0)</f>
        <v>1932</v>
      </c>
      <c r="E80" s="1"/>
      <c r="F80" s="5">
        <f t="shared" si="60"/>
        <v>3.9296982675156335E-2</v>
      </c>
      <c r="G80" s="1"/>
      <c r="H80" s="1">
        <f>SUM(OSRRefH22_17x_0)</f>
        <v>771</v>
      </c>
      <c r="I80" s="1"/>
      <c r="J80" s="5">
        <f t="shared" si="61"/>
        <v>1.4553859094481916E-2</v>
      </c>
      <c r="K80" s="1"/>
      <c r="L80" s="1">
        <f t="shared" si="62"/>
        <v>1161</v>
      </c>
      <c r="M80" s="1"/>
      <c r="N80" s="5">
        <f t="shared" si="63"/>
        <v>1.5058365758754864</v>
      </c>
      <c r="O80" s="13"/>
      <c r="P80" s="1">
        <f>SUM(OSRRefP22_17x_0)</f>
        <v>5016</v>
      </c>
      <c r="Q80" s="1"/>
      <c r="R80" s="5">
        <f t="shared" si="64"/>
        <v>1.2456663674352216E-2</v>
      </c>
      <c r="S80" s="1"/>
      <c r="T80" s="1">
        <f>SUM(OSRRefT22_17x_0)</f>
        <v>3249.7</v>
      </c>
      <c r="U80" s="1"/>
      <c r="V80" s="5">
        <f t="shared" si="65"/>
        <v>8.7123751840391048E-3</v>
      </c>
      <c r="W80" s="1"/>
      <c r="X80" s="1">
        <f t="shared" si="66"/>
        <v>1766.3000000000002</v>
      </c>
      <c r="Y80" s="1"/>
      <c r="Z80" s="5">
        <f t="shared" si="67"/>
        <v>0.54352709480875161</v>
      </c>
    </row>
    <row r="81" spans="1:26" s="24" customFormat="1" hidden="1" outlineLevel="2" x14ac:dyDescent="0.25">
      <c r="A81" s="26"/>
      <c r="B81" s="11" t="str">
        <f>CONCATENATE("          ", "6274", " - ", "UTILITIES")</f>
        <v xml:space="preserve">          6274 - UTILITIES</v>
      </c>
      <c r="C81" s="11"/>
      <c r="D81" s="6">
        <v>1932</v>
      </c>
      <c r="E81" s="2"/>
      <c r="F81" s="7">
        <f t="shared" si="60"/>
        <v>3.9296982675156335E-2</v>
      </c>
      <c r="G81" s="2"/>
      <c r="H81" s="6">
        <v>771</v>
      </c>
      <c r="I81" s="2"/>
      <c r="J81" s="7">
        <f t="shared" si="61"/>
        <v>1.4553859094481916E-2</v>
      </c>
      <c r="K81" s="2"/>
      <c r="L81" s="6">
        <f t="shared" si="62"/>
        <v>1161</v>
      </c>
      <c r="M81" s="2"/>
      <c r="N81" s="7">
        <f t="shared" si="63"/>
        <v>1.5058365758754864</v>
      </c>
      <c r="O81" s="11"/>
      <c r="P81" s="6">
        <v>5016</v>
      </c>
      <c r="Q81" s="2"/>
      <c r="R81" s="7">
        <f t="shared" si="64"/>
        <v>1.2456663674352216E-2</v>
      </c>
      <c r="S81" s="2"/>
      <c r="T81" s="6">
        <v>3249.7</v>
      </c>
      <c r="U81" s="2"/>
      <c r="V81" s="7">
        <f t="shared" si="65"/>
        <v>8.7123751840391048E-3</v>
      </c>
      <c r="W81" s="2"/>
      <c r="X81" s="6">
        <f t="shared" si="66"/>
        <v>1766.3000000000002</v>
      </c>
      <c r="Y81" s="2"/>
      <c r="Z81" s="7">
        <f t="shared" si="67"/>
        <v>0.54352709480875161</v>
      </c>
    </row>
    <row r="82" spans="1:26" s="61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0">
        <f>+D20-D22+D83</f>
        <v>-4549.3999999999942</v>
      </c>
      <c r="E85" s="14"/>
      <c r="F85" s="21">
        <f>IF(D$12=0,0,D85/D$12)</f>
        <v>-9.2535037775546572E-2</v>
      </c>
      <c r="G85" s="14"/>
      <c r="H85" s="20">
        <f>+H20-H22+H83</f>
        <v>3502.2900000000009</v>
      </c>
      <c r="I85" s="14"/>
      <c r="J85" s="21">
        <f>IF(H$12=0,0,H85/H$12)</f>
        <v>6.6111329660198559E-2</v>
      </c>
      <c r="K85" s="15"/>
      <c r="L85" s="20">
        <f>+D85-H85</f>
        <v>-8051.6899999999951</v>
      </c>
      <c r="M85" s="15"/>
      <c r="N85" s="21">
        <f>IF(H85=0,0,L85/H85)</f>
        <v>-2.2989786682427762</v>
      </c>
      <c r="O85" s="28"/>
      <c r="P85" s="20">
        <f>+P20-P22+P83</f>
        <v>38508.009999999951</v>
      </c>
      <c r="Q85" s="14"/>
      <c r="R85" s="21">
        <f>IF(P$12=0,0,P85/P$12)</f>
        <v>9.563024907069205E-2</v>
      </c>
      <c r="S85" s="14"/>
      <c r="T85" s="20">
        <f>+T20-T22+T83</f>
        <v>30040.360000000073</v>
      </c>
      <c r="U85" s="14"/>
      <c r="V85" s="21">
        <f>IF(T$12=0,0,T85/T$12)</f>
        <v>8.0537553307567358E-2</v>
      </c>
      <c r="W85" s="15"/>
      <c r="X85" s="20">
        <f>+P85-T85</f>
        <v>8467.6499999998778</v>
      </c>
      <c r="Y85" s="15"/>
      <c r="Z85" s="21">
        <f>IF(T85=0,0,X85/T85)</f>
        <v>0.28187578311311373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6057.58</v>
      </c>
      <c r="E87" s="4"/>
      <c r="F87" s="12">
        <f>IF(D$12=0,0,D87/D$12)</f>
        <v>0.12321149912700491</v>
      </c>
      <c r="G87" s="4"/>
      <c r="H87" s="4">
        <v>6578.61</v>
      </c>
      <c r="I87" s="4"/>
      <c r="J87" s="12">
        <f>IF(H$12=0,0,H87/H$12)</f>
        <v>0.12418179374520062</v>
      </c>
      <c r="K87" s="4"/>
      <c r="L87" s="4">
        <f>+D87-H87</f>
        <v>-521.02999999999975</v>
      </c>
      <c r="M87" s="4"/>
      <c r="N87" s="12">
        <f>IF(H87=0,0,L87/H87)</f>
        <v>-7.9200621407865754E-2</v>
      </c>
      <c r="O87" s="10"/>
      <c r="P87" s="4">
        <v>43492.11</v>
      </c>
      <c r="Q87" s="4"/>
      <c r="R87" s="12">
        <f>IF(P$12=0,0,P87/P$12)</f>
        <v>0.1080076927348347</v>
      </c>
      <c r="S87" s="4"/>
      <c r="T87" s="4">
        <v>40252.15</v>
      </c>
      <c r="U87" s="4"/>
      <c r="V87" s="12">
        <f>IF(T$12=0,0,T87/T$12)</f>
        <v>0.10791514070967156</v>
      </c>
      <c r="W87" s="4"/>
      <c r="X87" s="4">
        <f>+P87-T87</f>
        <v>3239.9599999999991</v>
      </c>
      <c r="Y87" s="4"/>
      <c r="Z87" s="12">
        <f>IF(T87=0,0,X87/T87)</f>
        <v>8.0491601069756502E-2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2">
        <f>+D85-D87</f>
        <v>-10606.979999999994</v>
      </c>
      <c r="E89" s="14"/>
      <c r="F89" s="30">
        <f>IF(D$12=0,0,D89/D$12)</f>
        <v>-0.21574653690255149</v>
      </c>
      <c r="G89" s="14"/>
      <c r="H89" s="32">
        <f>+H85-H87</f>
        <v>-3076.3199999999988</v>
      </c>
      <c r="I89" s="14"/>
      <c r="J89" s="30">
        <f>IF(H$12=0,0,H89/H$12)</f>
        <v>-5.8070464085002063E-2</v>
      </c>
      <c r="K89" s="15"/>
      <c r="L89" s="32">
        <f>D89-H89</f>
        <v>-7530.6599999999953</v>
      </c>
      <c r="M89" s="15"/>
      <c r="N89" s="30">
        <f>IF(H89=0,0,L89/H89)</f>
        <v>2.4479442970822274</v>
      </c>
      <c r="O89" s="28"/>
      <c r="P89" s="32">
        <f>+P85-P87</f>
        <v>-4984.1000000000495</v>
      </c>
      <c r="Q89" s="14"/>
      <c r="R89" s="30">
        <f>IF(P$12=0,0,P89/P$12)</f>
        <v>-1.2377443664142644E-2</v>
      </c>
      <c r="S89" s="14"/>
      <c r="T89" s="32">
        <f>+T85-T87</f>
        <v>-10211.789999999928</v>
      </c>
      <c r="U89" s="14"/>
      <c r="V89" s="30">
        <f>IF(T$12=0,0,T89/T$12)</f>
        <v>-2.7377587402104216E-2</v>
      </c>
      <c r="W89" s="15"/>
      <c r="X89" s="32">
        <f>P89-T89</f>
        <v>5227.6899999998786</v>
      </c>
      <c r="Y89" s="15"/>
      <c r="Z89" s="30">
        <f>IF(T89=0,0,X89/T89)</f>
        <v>-0.51192690018105691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6">
        <f>SUM(D89:D91)</f>
        <v>-10606.979999999994</v>
      </c>
      <c r="E92" s="14"/>
      <c r="F92" s="31">
        <f>IF(D$12=0,0,D92/D$12)</f>
        <v>-0.21574653690255149</v>
      </c>
      <c r="G92" s="14"/>
      <c r="H92" s="36">
        <f>SUM(H89:H91)</f>
        <v>-3076.3199999999988</v>
      </c>
      <c r="I92" s="14"/>
      <c r="J92" s="31">
        <f>IF(H$12=0,0,H92/H$12)</f>
        <v>-5.8070464085002063E-2</v>
      </c>
      <c r="K92" s="15"/>
      <c r="L92" s="36">
        <f>+D92-H92</f>
        <v>-7530.6599999999953</v>
      </c>
      <c r="M92" s="15"/>
      <c r="N92" s="31">
        <f>IF(H92=0,0,L92/H92)</f>
        <v>2.4479442970822274</v>
      </c>
      <c r="O92" s="28"/>
      <c r="P92" s="36">
        <f>SUM(P89:P91)</f>
        <v>-4984.1000000000495</v>
      </c>
      <c r="Q92" s="14"/>
      <c r="R92" s="31">
        <f>IF(P$12=0,0,P92/P$12)</f>
        <v>-1.2377443664142644E-2</v>
      </c>
      <c r="S92" s="14"/>
      <c r="T92" s="36">
        <f>SUM(T89:T91)</f>
        <v>-10211.789999999928</v>
      </c>
      <c r="U92" s="14"/>
      <c r="V92" s="31">
        <f>IF(T$12=0,0,T92/T$12)</f>
        <v>-2.7377587402104216E-2</v>
      </c>
      <c r="W92" s="15"/>
      <c r="X92" s="36">
        <f>+P92-T92</f>
        <v>5227.6899999998786</v>
      </c>
      <c r="Y92" s="15"/>
      <c r="Z92" s="31">
        <f>IF(T92=0,0,X92/T92)</f>
        <v>-0.51192690018105691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2">
        <v>43847.453892094905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6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4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2733</v>
      </c>
      <c r="E12" s="4"/>
      <c r="F12" s="12"/>
      <c r="G12" s="4"/>
      <c r="H12" s="4">
        <f>SUM(OSRRefH13x_0)</f>
        <v>1745</v>
      </c>
      <c r="I12" s="4"/>
      <c r="J12" s="12"/>
      <c r="K12" s="4"/>
      <c r="L12" s="4">
        <f t="shared" ref="L12:L13" si="0">+D12-H12</f>
        <v>988</v>
      </c>
      <c r="M12" s="4"/>
      <c r="N12" s="12">
        <f t="shared" ref="N12:N13" si="1">IF(H12=0,0,L12/H12)</f>
        <v>0.56618911174785103</v>
      </c>
      <c r="O12" s="10"/>
      <c r="P12" s="4">
        <f>SUM(OSRRefP13x_0)</f>
        <v>9560</v>
      </c>
      <c r="Q12" s="4"/>
      <c r="R12" s="12"/>
      <c r="S12" s="4"/>
      <c r="T12" s="4">
        <f>SUM(OSRRefT13x_0)</f>
        <v>7188</v>
      </c>
      <c r="U12" s="4"/>
      <c r="V12" s="12"/>
      <c r="W12" s="4"/>
      <c r="X12" s="4">
        <f t="shared" ref="X12:X13" si="2">+P12-T12</f>
        <v>2372</v>
      </c>
      <c r="Y12" s="4"/>
      <c r="Z12" s="12">
        <f t="shared" ref="Z12:Z13" si="3">IF(T12=0,0,X12/T12)</f>
        <v>0.32999443516972732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--2733</f>
        <v>2733</v>
      </c>
      <c r="E13" s="2"/>
      <c r="F13" s="19"/>
      <c r="G13" s="2"/>
      <c r="H13" s="2">
        <f>--1745</f>
        <v>1745</v>
      </c>
      <c r="I13" s="2"/>
      <c r="J13" s="19"/>
      <c r="K13" s="2"/>
      <c r="L13" s="2">
        <f t="shared" si="0"/>
        <v>988</v>
      </c>
      <c r="M13" s="2"/>
      <c r="N13" s="19">
        <f t="shared" si="1"/>
        <v>0.56618911174785103</v>
      </c>
      <c r="O13" s="11"/>
      <c r="P13" s="2">
        <f>--9560</f>
        <v>9560</v>
      </c>
      <c r="Q13" s="2"/>
      <c r="R13" s="19"/>
      <c r="S13" s="2"/>
      <c r="T13" s="2">
        <f>--7188</f>
        <v>7188</v>
      </c>
      <c r="U13" s="2"/>
      <c r="V13" s="19"/>
      <c r="W13" s="2"/>
      <c r="X13" s="2">
        <f t="shared" si="2"/>
        <v>2372</v>
      </c>
      <c r="Y13" s="2"/>
      <c r="Z13" s="19">
        <f t="shared" si="3"/>
        <v>0.32999443516972732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>
        <f>SUM(OSRRefD16x_0)</f>
        <v>-2508.02</v>
      </c>
      <c r="E15" s="4"/>
      <c r="F15" s="12">
        <f t="shared" ref="F15:F16" si="4">IF(D$12=0,0,D15/D$12)</f>
        <v>-0.91768020490303692</v>
      </c>
      <c r="G15" s="4"/>
      <c r="H15" s="4">
        <f>SUM(OSRRefH16x_0)</f>
        <v>485</v>
      </c>
      <c r="I15" s="4"/>
      <c r="J15" s="12">
        <f t="shared" ref="J15:J16" si="5">IF(H$12=0,0,H15/H$12)</f>
        <v>0.27793696275071633</v>
      </c>
      <c r="K15" s="4"/>
      <c r="L15" s="4">
        <f t="shared" ref="L15:L16" si="6">+D15-H15</f>
        <v>-2993.02</v>
      </c>
      <c r="M15" s="4"/>
      <c r="N15" s="12">
        <f t="shared" ref="N15:N16" si="7">IF(H15=0,0,L15/H15)</f>
        <v>-6.1711752577319583</v>
      </c>
      <c r="O15" s="10"/>
      <c r="P15" s="4">
        <f>SUM(OSRRefP16x_0)</f>
        <v>913.94</v>
      </c>
      <c r="Q15" s="4"/>
      <c r="R15" s="12">
        <f t="shared" ref="R15:R16" si="8">IF(P$12=0,0,P15/P$12)</f>
        <v>9.560041841004184E-2</v>
      </c>
      <c r="S15" s="4"/>
      <c r="T15" s="4">
        <f>SUM(OSRRefT16x_0)</f>
        <v>1808.41</v>
      </c>
      <c r="U15" s="4"/>
      <c r="V15" s="12">
        <f t="shared" ref="V15:V16" si="9">IF(T$12=0,0,T15/T$12)</f>
        <v>0.25158736783528102</v>
      </c>
      <c r="W15" s="4"/>
      <c r="X15" s="4">
        <f t="shared" ref="X15:X16" si="10">+P15-T15</f>
        <v>-894.47</v>
      </c>
      <c r="Y15" s="4"/>
      <c r="Z15" s="12">
        <f t="shared" ref="Z15:Z16" si="11">IF(T15=0,0,X15/T15)</f>
        <v>-0.49461681808881836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>
        <v>-2508.02</v>
      </c>
      <c r="E16" s="2"/>
      <c r="F16" s="19">
        <f t="shared" si="4"/>
        <v>-0.91768020490303692</v>
      </c>
      <c r="G16" s="2"/>
      <c r="H16" s="2">
        <v>485</v>
      </c>
      <c r="I16" s="2"/>
      <c r="J16" s="19">
        <f t="shared" si="5"/>
        <v>0.27793696275071633</v>
      </c>
      <c r="K16" s="2"/>
      <c r="L16" s="2">
        <f t="shared" si="6"/>
        <v>-2993.02</v>
      </c>
      <c r="M16" s="2"/>
      <c r="N16" s="19">
        <f t="shared" si="7"/>
        <v>-6.1711752577319583</v>
      </c>
      <c r="O16" s="11"/>
      <c r="P16" s="2">
        <v>913.94</v>
      </c>
      <c r="Q16" s="2"/>
      <c r="R16" s="19">
        <f t="shared" si="8"/>
        <v>9.560041841004184E-2</v>
      </c>
      <c r="S16" s="2"/>
      <c r="T16" s="2">
        <v>1808.41</v>
      </c>
      <c r="U16" s="2"/>
      <c r="V16" s="19">
        <f t="shared" si="9"/>
        <v>0.25158736783528102</v>
      </c>
      <c r="W16" s="2"/>
      <c r="X16" s="2">
        <f t="shared" si="10"/>
        <v>-894.47</v>
      </c>
      <c r="Y16" s="2"/>
      <c r="Z16" s="19">
        <f t="shared" si="11"/>
        <v>-0.49461681808881836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>
        <f>D12-D15</f>
        <v>5241.0200000000004</v>
      </c>
      <c r="E18" s="14"/>
      <c r="F18" s="21">
        <f>IF(D$12=0,0,D18/D$12)</f>
        <v>1.917680204903037</v>
      </c>
      <c r="G18" s="14"/>
      <c r="H18" s="20">
        <f>H12-H15</f>
        <v>1260</v>
      </c>
      <c r="I18" s="14"/>
      <c r="J18" s="21">
        <f>IF(H$12=0,0,H18/H$12)</f>
        <v>0.72206303724928367</v>
      </c>
      <c r="K18" s="15"/>
      <c r="L18" s="20">
        <f>+D18-H18</f>
        <v>3981.0200000000004</v>
      </c>
      <c r="M18" s="15"/>
      <c r="N18" s="21">
        <f>IF(H18=0,0,L18/H18)</f>
        <v>3.1595396825396831</v>
      </c>
      <c r="O18" s="28"/>
      <c r="P18" s="20">
        <f>P12-P15</f>
        <v>8646.06</v>
      </c>
      <c r="Q18" s="14"/>
      <c r="R18" s="21">
        <f>IF(P$12=0,0,P18/P$12)</f>
        <v>0.90439958158995815</v>
      </c>
      <c r="S18" s="14"/>
      <c r="T18" s="20">
        <f>T12-T15</f>
        <v>5379.59</v>
      </c>
      <c r="U18" s="14"/>
      <c r="V18" s="21">
        <f>IF(T$12=0,0,T18/T$12)</f>
        <v>0.74841263216471898</v>
      </c>
      <c r="W18" s="15"/>
      <c r="X18" s="20">
        <f>+P18-T18</f>
        <v>3266.4699999999993</v>
      </c>
      <c r="Y18" s="15"/>
      <c r="Z18" s="21">
        <f>IF(T18=0,0,X18/T18)</f>
        <v>0.60719683098526078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>
        <f>SUM(OSRRefD22x_0)</f>
        <v>211.96</v>
      </c>
      <c r="E20" s="22"/>
      <c r="F20" s="33">
        <f t="shared" ref="F20:F26" si="12">IF(D$12=0,0,D20/D$12)</f>
        <v>7.7555799487742411E-2</v>
      </c>
      <c r="G20" s="22"/>
      <c r="H20" s="22">
        <f>SUM(OSRRefH22x_0)</f>
        <v>156.47999999999999</v>
      </c>
      <c r="I20" s="22"/>
      <c r="J20" s="33">
        <f t="shared" ref="J20:J26" si="13">IF(H$12=0,0,H20/H$12)</f>
        <v>8.9673352435530082E-2</v>
      </c>
      <c r="K20" s="4"/>
      <c r="L20" s="22">
        <f t="shared" ref="L20:L26" si="14">+D20-H20</f>
        <v>55.480000000000018</v>
      </c>
      <c r="M20" s="4"/>
      <c r="N20" s="33">
        <f t="shared" ref="N20:N26" si="15">IF(H20=0,0,L20/H20)</f>
        <v>0.35455010224948891</v>
      </c>
      <c r="O20" s="10"/>
      <c r="P20" s="22">
        <f>SUM(OSRRefP22x_0)</f>
        <v>1185.93</v>
      </c>
      <c r="Q20" s="22"/>
      <c r="R20" s="33">
        <f t="shared" ref="R20:R26" si="16">IF(P$12=0,0,P20/P$12)</f>
        <v>0.12405125523012553</v>
      </c>
      <c r="S20" s="22"/>
      <c r="T20" s="22">
        <f>SUM(OSRRefT22x_0)</f>
        <v>6791.8</v>
      </c>
      <c r="U20" s="22"/>
      <c r="V20" s="33">
        <f t="shared" ref="V20:V26" si="17">IF(T$12=0,0,T20/T$12)</f>
        <v>0.94488035614913746</v>
      </c>
      <c r="W20" s="4"/>
      <c r="X20" s="22">
        <f t="shared" ref="X20:X26" si="18">+P20-T20</f>
        <v>-5605.87</v>
      </c>
      <c r="Y20" s="4"/>
      <c r="Z20" s="33">
        <f t="shared" ref="Z20:Z26" si="19">IF(T20=0,0,X20/T20)</f>
        <v>-0.82538796784357604</v>
      </c>
    </row>
    <row r="21" spans="1:26" s="27" customFormat="1" outlineLevel="1" collapsed="1" x14ac:dyDescent="0.25">
      <c r="A21" s="25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211.96</v>
      </c>
      <c r="E21" s="1"/>
      <c r="F21" s="5">
        <f t="shared" si="12"/>
        <v>7.7555799487742411E-2</v>
      </c>
      <c r="G21" s="1"/>
      <c r="H21" s="1">
        <f>SUM(OSRRefH22_0x_0)</f>
        <v>156.47999999999999</v>
      </c>
      <c r="I21" s="1"/>
      <c r="J21" s="5">
        <f t="shared" si="13"/>
        <v>8.9673352435530082E-2</v>
      </c>
      <c r="K21" s="1"/>
      <c r="L21" s="1">
        <f t="shared" si="14"/>
        <v>55.480000000000018</v>
      </c>
      <c r="M21" s="1"/>
      <c r="N21" s="5">
        <f t="shared" si="15"/>
        <v>0.35455010224948891</v>
      </c>
      <c r="O21" s="13"/>
      <c r="P21" s="1">
        <f>SUM(OSRRefP22_0x_0)</f>
        <v>865.48</v>
      </c>
      <c r="Q21" s="1"/>
      <c r="R21" s="5">
        <f t="shared" si="16"/>
        <v>9.0531380753138074E-2</v>
      </c>
      <c r="S21" s="1"/>
      <c r="T21" s="1">
        <f>SUM(OSRRefT22_0x_0)</f>
        <v>652.58000000000004</v>
      </c>
      <c r="U21" s="1"/>
      <c r="V21" s="5">
        <f t="shared" si="17"/>
        <v>9.0787423483583762E-2</v>
      </c>
      <c r="W21" s="1"/>
      <c r="X21" s="1">
        <f t="shared" si="18"/>
        <v>212.89999999999998</v>
      </c>
      <c r="Y21" s="1"/>
      <c r="Z21" s="5">
        <f t="shared" si="19"/>
        <v>0.32624352569799864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>
        <v>211.96</v>
      </c>
      <c r="E22" s="2"/>
      <c r="F22" s="7">
        <f t="shared" si="12"/>
        <v>7.7555799487742411E-2</v>
      </c>
      <c r="G22" s="2"/>
      <c r="H22" s="6">
        <v>156.47999999999999</v>
      </c>
      <c r="I22" s="2"/>
      <c r="J22" s="7">
        <f t="shared" si="13"/>
        <v>8.9673352435530082E-2</v>
      </c>
      <c r="K22" s="2"/>
      <c r="L22" s="6">
        <f t="shared" si="14"/>
        <v>55.480000000000018</v>
      </c>
      <c r="M22" s="2"/>
      <c r="N22" s="7">
        <f t="shared" si="15"/>
        <v>0.35455010224948891</v>
      </c>
      <c r="O22" s="11"/>
      <c r="P22" s="6">
        <v>865.48</v>
      </c>
      <c r="Q22" s="2"/>
      <c r="R22" s="7">
        <f t="shared" si="16"/>
        <v>9.0531380753138074E-2</v>
      </c>
      <c r="S22" s="2"/>
      <c r="T22" s="6">
        <v>652.58000000000004</v>
      </c>
      <c r="U22" s="2"/>
      <c r="V22" s="7">
        <f t="shared" si="17"/>
        <v>9.0787423483583762E-2</v>
      </c>
      <c r="W22" s="2"/>
      <c r="X22" s="6">
        <f t="shared" si="18"/>
        <v>212.89999999999998</v>
      </c>
      <c r="Y22" s="2"/>
      <c r="Z22" s="7">
        <f t="shared" si="19"/>
        <v>0.32624352569799864</v>
      </c>
    </row>
    <row r="23" spans="1:26" s="27" customFormat="1" outlineLevel="1" collapsed="1" x14ac:dyDescent="0.25">
      <c r="A23" s="25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23.45</v>
      </c>
      <c r="Q23" s="1"/>
      <c r="R23" s="5">
        <f t="shared" si="16"/>
        <v>2.4529288702928869E-3</v>
      </c>
      <c r="S23" s="1"/>
      <c r="T23" s="1">
        <f>SUM(OSRRefT22_1x_0)</f>
        <v>0</v>
      </c>
      <c r="U23" s="1"/>
      <c r="V23" s="5">
        <f t="shared" si="17"/>
        <v>0</v>
      </c>
      <c r="W23" s="1"/>
      <c r="X23" s="1">
        <f t="shared" si="18"/>
        <v>23.45</v>
      </c>
      <c r="Y23" s="1"/>
      <c r="Z23" s="5">
        <f t="shared" si="19"/>
        <v>0</v>
      </c>
    </row>
    <row r="24" spans="1:26" s="24" customFormat="1" hidden="1" outlineLevel="2" x14ac:dyDescent="0.25">
      <c r="A24" s="26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>
        <v>23.45</v>
      </c>
      <c r="Q24" s="2"/>
      <c r="R24" s="7">
        <f t="shared" si="16"/>
        <v>2.4529288702928869E-3</v>
      </c>
      <c r="S24" s="2"/>
      <c r="T24" s="6"/>
      <c r="U24" s="2"/>
      <c r="V24" s="7">
        <f t="shared" si="17"/>
        <v>0</v>
      </c>
      <c r="W24" s="2"/>
      <c r="X24" s="6">
        <f t="shared" si="18"/>
        <v>23.45</v>
      </c>
      <c r="Y24" s="2"/>
      <c r="Z24" s="7">
        <f t="shared" si="19"/>
        <v>0</v>
      </c>
    </row>
    <row r="25" spans="1:26" s="27" customFormat="1" outlineLevel="1" collapsed="1" x14ac:dyDescent="0.25">
      <c r="A25" s="25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297</v>
      </c>
      <c r="Q25" s="1"/>
      <c r="R25" s="5">
        <f t="shared" si="16"/>
        <v>3.1066945606694561E-2</v>
      </c>
      <c r="S25" s="1"/>
      <c r="T25" s="1">
        <f>SUM(OSRRefT22_2x_0)</f>
        <v>6139.22</v>
      </c>
      <c r="U25" s="1"/>
      <c r="V25" s="5">
        <f t="shared" si="17"/>
        <v>0.85409293266555375</v>
      </c>
      <c r="W25" s="1"/>
      <c r="X25" s="1">
        <f t="shared" si="18"/>
        <v>-5842.22</v>
      </c>
      <c r="Y25" s="1"/>
      <c r="Z25" s="5">
        <f t="shared" si="19"/>
        <v>-0.95162251882160931</v>
      </c>
    </row>
    <row r="26" spans="1:26" s="24" customFormat="1" hidden="1" outlineLevel="2" x14ac:dyDescent="0.25">
      <c r="A26" s="26"/>
      <c r="B26" s="11" t="str">
        <f>CONCATENATE("          ", "6247", " - ", "STORE SUPPLIES")</f>
        <v xml:space="preserve">          6247 - STORE SUPPLIES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297</v>
      </c>
      <c r="Q26" s="2"/>
      <c r="R26" s="7">
        <f t="shared" si="16"/>
        <v>3.1066945606694561E-2</v>
      </c>
      <c r="S26" s="2"/>
      <c r="T26" s="6">
        <v>6139.22</v>
      </c>
      <c r="U26" s="2"/>
      <c r="V26" s="7">
        <f t="shared" si="17"/>
        <v>0.85409293266555375</v>
      </c>
      <c r="W26" s="2"/>
      <c r="X26" s="6">
        <f t="shared" si="18"/>
        <v>-5842.22</v>
      </c>
      <c r="Y26" s="2"/>
      <c r="Z26" s="7">
        <f t="shared" si="19"/>
        <v>-0.95162251882160931</v>
      </c>
    </row>
    <row r="27" spans="1:26" s="61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3</v>
      </c>
      <c r="C30" s="29"/>
      <c r="D30" s="20">
        <f>+D18-D20+D28</f>
        <v>5029.0600000000004</v>
      </c>
      <c r="E30" s="14"/>
      <c r="F30" s="21">
        <f>IF(D$12=0,0,D30/D$12)</f>
        <v>1.8401244054152948</v>
      </c>
      <c r="G30" s="14"/>
      <c r="H30" s="20">
        <f>+H18-H20+H28</f>
        <v>1103.52</v>
      </c>
      <c r="I30" s="14"/>
      <c r="J30" s="21">
        <f>IF(H$12=0,0,H30/H$12)</f>
        <v>0.63238968481375357</v>
      </c>
      <c r="K30" s="15"/>
      <c r="L30" s="20">
        <f>+D30-H30</f>
        <v>3925.5400000000004</v>
      </c>
      <c r="M30" s="15"/>
      <c r="N30" s="21">
        <f>IF(H30=0,0,L30/H30)</f>
        <v>3.5572894011889233</v>
      </c>
      <c r="O30" s="28"/>
      <c r="P30" s="20">
        <f>+P18-P20+P28</f>
        <v>7460.1299999999992</v>
      </c>
      <c r="Q30" s="14"/>
      <c r="R30" s="21">
        <f>IF(P$12=0,0,P30/P$12)</f>
        <v>0.78034832635983253</v>
      </c>
      <c r="S30" s="14"/>
      <c r="T30" s="20">
        <f>+T18-T20+T28</f>
        <v>-1412.21</v>
      </c>
      <c r="U30" s="14"/>
      <c r="V30" s="21">
        <f>IF(T$12=0,0,T30/T$12)</f>
        <v>-0.19646772398441847</v>
      </c>
      <c r="W30" s="15"/>
      <c r="X30" s="20">
        <f>+P30-T30</f>
        <v>8872.34</v>
      </c>
      <c r="Y30" s="15"/>
      <c r="Z30" s="21">
        <f>IF(T30=0,0,X30/T30)</f>
        <v>-6.2825925322721128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309.62</v>
      </c>
      <c r="E32" s="4"/>
      <c r="F32" s="12">
        <f>IF(D$12=0,0,D32/D$12)</f>
        <v>0.11328942553969996</v>
      </c>
      <c r="G32" s="4"/>
      <c r="H32" s="4">
        <v>202.96</v>
      </c>
      <c r="I32" s="4"/>
      <c r="J32" s="12">
        <f>IF(H$12=0,0,H32/H$12)</f>
        <v>0.11630945558739256</v>
      </c>
      <c r="K32" s="4"/>
      <c r="L32" s="4">
        <f>+D32-H32</f>
        <v>106.66</v>
      </c>
      <c r="M32" s="4"/>
      <c r="N32" s="12">
        <f>IF(H32=0,0,L32/H32)</f>
        <v>0.52552227039810795</v>
      </c>
      <c r="O32" s="10"/>
      <c r="P32" s="4">
        <v>1032.55</v>
      </c>
      <c r="Q32" s="4"/>
      <c r="R32" s="12">
        <f>IF(P$12=0,0,P32/P$12)</f>
        <v>0.10800732217573221</v>
      </c>
      <c r="S32" s="4"/>
      <c r="T32" s="4">
        <v>775.69</v>
      </c>
      <c r="U32" s="4"/>
      <c r="V32" s="12">
        <f>IF(T$12=0,0,T32/T$12)</f>
        <v>0.10791457985531443</v>
      </c>
      <c r="W32" s="4"/>
      <c r="X32" s="4">
        <f>+P32-T32</f>
        <v>256.8599999999999</v>
      </c>
      <c r="Y32" s="4"/>
      <c r="Z32" s="12">
        <f>IF(T32=0,0,X32/T32)</f>
        <v>0.33113743892534375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4</v>
      </c>
      <c r="C34" s="29"/>
      <c r="D34" s="32">
        <f>+D30-D32</f>
        <v>4719.4400000000005</v>
      </c>
      <c r="E34" s="14"/>
      <c r="F34" s="30">
        <f>IF(D$12=0,0,D34/D$12)</f>
        <v>1.7268349798755949</v>
      </c>
      <c r="G34" s="14"/>
      <c r="H34" s="32">
        <f>+H30-H32</f>
        <v>900.56</v>
      </c>
      <c r="I34" s="14"/>
      <c r="J34" s="30">
        <f>IF(H$12=0,0,H34/H$12)</f>
        <v>0.51608022922636099</v>
      </c>
      <c r="K34" s="15"/>
      <c r="L34" s="32">
        <f>D34-H34</f>
        <v>3818.8800000000006</v>
      </c>
      <c r="M34" s="15"/>
      <c r="N34" s="30">
        <f>IF(H34=0,0,L34/H34)</f>
        <v>4.2405614284445239</v>
      </c>
      <c r="O34" s="28"/>
      <c r="P34" s="32">
        <f>+P30-P32</f>
        <v>6427.579999999999</v>
      </c>
      <c r="Q34" s="14"/>
      <c r="R34" s="30">
        <f>IF(P$12=0,0,P34/P$12)</f>
        <v>0.67234100418410037</v>
      </c>
      <c r="S34" s="14"/>
      <c r="T34" s="32">
        <f>+T30-T32</f>
        <v>-2187.9</v>
      </c>
      <c r="U34" s="14"/>
      <c r="V34" s="30">
        <f>IF(T$12=0,0,T34/T$12)</f>
        <v>-0.30438230383973292</v>
      </c>
      <c r="W34" s="15"/>
      <c r="X34" s="32">
        <f>P34-T34</f>
        <v>8615.48</v>
      </c>
      <c r="Y34" s="15"/>
      <c r="Z34" s="30">
        <f>IF(T34=0,0,X34/T34)</f>
        <v>-3.9377850907262668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5</v>
      </c>
      <c r="C37" s="29"/>
      <c r="D37" s="36">
        <f>SUM(D34:D36)</f>
        <v>4719.4400000000005</v>
      </c>
      <c r="E37" s="14"/>
      <c r="F37" s="31">
        <f>IF(D$12=0,0,D37/D$12)</f>
        <v>1.7268349798755949</v>
      </c>
      <c r="G37" s="14"/>
      <c r="H37" s="36">
        <f>SUM(H34:H36)</f>
        <v>900.56</v>
      </c>
      <c r="I37" s="14"/>
      <c r="J37" s="31">
        <f>IF(H$12=0,0,H37/H$12)</f>
        <v>0.51608022922636099</v>
      </c>
      <c r="K37" s="15"/>
      <c r="L37" s="36">
        <f>+D37-H37</f>
        <v>3818.8800000000006</v>
      </c>
      <c r="M37" s="15"/>
      <c r="N37" s="31">
        <f>IF(H37=0,0,L37/H37)</f>
        <v>4.2405614284445239</v>
      </c>
      <c r="O37" s="28"/>
      <c r="P37" s="36">
        <f>SUM(P34:P36)</f>
        <v>6427.579999999999</v>
      </c>
      <c r="Q37" s="14"/>
      <c r="R37" s="31">
        <f>IF(P$12=0,0,P37/P$12)</f>
        <v>0.67234100418410037</v>
      </c>
      <c r="S37" s="14"/>
      <c r="T37" s="36">
        <f>SUM(T34:T36)</f>
        <v>-2187.9</v>
      </c>
      <c r="U37" s="14"/>
      <c r="V37" s="31">
        <f>IF(T$12=0,0,T37/T$12)</f>
        <v>-0.30438230383973292</v>
      </c>
      <c r="W37" s="15"/>
      <c r="X37" s="36">
        <f>+P37-T37</f>
        <v>8615.48</v>
      </c>
      <c r="Y37" s="15"/>
      <c r="Z37" s="31">
        <f>IF(T37=0,0,X37/T37)</f>
        <v>-3.9377850907262668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>
        <v>43847.453928935189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 t="s">
        <v>313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4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5"/>
  <sheetViews>
    <sheetView zoomScale="80" workbookViewId="0">
      <pane xSplit="3" ySplit="10" topLeftCell="D57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1225601.8</v>
      </c>
      <c r="E12" s="4"/>
      <c r="F12" s="12"/>
      <c r="G12" s="4"/>
      <c r="H12" s="4">
        <f>SUM(OSRRefH13x_0)</f>
        <v>1406241.69</v>
      </c>
      <c r="I12" s="4"/>
      <c r="J12" s="12"/>
      <c r="K12" s="4"/>
      <c r="L12" s="4">
        <f t="shared" ref="L12:L24" si="0">+D12-H12</f>
        <v>-180639.8899999999</v>
      </c>
      <c r="M12" s="4"/>
      <c r="N12" s="12">
        <f t="shared" ref="N12:N24" si="1">IF(H12=0,0,L12/H12)</f>
        <v>-0.1284557919769822</v>
      </c>
      <c r="O12" s="10"/>
      <c r="P12" s="4">
        <f>SUM(OSRRefP13x_0)</f>
        <v>9185671.1799999997</v>
      </c>
      <c r="Q12" s="4"/>
      <c r="R12" s="12"/>
      <c r="S12" s="4"/>
      <c r="T12" s="4">
        <f>SUM(OSRRefT13x_0)</f>
        <v>9125748.5399999991</v>
      </c>
      <c r="U12" s="4"/>
      <c r="V12" s="12"/>
      <c r="W12" s="4"/>
      <c r="X12" s="4">
        <f t="shared" ref="X12:X24" si="2">+P12-T12</f>
        <v>59922.640000000596</v>
      </c>
      <c r="Y12" s="4"/>
      <c r="Z12" s="12">
        <f t="shared" ref="Z12:Z24" si="3">IF(T12=0,0,X12/T12)</f>
        <v>6.5663260101182456E-3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--40718.26</f>
        <v>40718.26</v>
      </c>
      <c r="E13" s="2"/>
      <c r="F13" s="19"/>
      <c r="G13" s="2"/>
      <c r="H13" s="2">
        <f>--50145.64</f>
        <v>50145.64</v>
      </c>
      <c r="I13" s="2"/>
      <c r="J13" s="19"/>
      <c r="K13" s="2"/>
      <c r="L13" s="2">
        <f t="shared" si="0"/>
        <v>-9427.3799999999974</v>
      </c>
      <c r="M13" s="2"/>
      <c r="N13" s="19">
        <f t="shared" si="1"/>
        <v>-0.18799999361858774</v>
      </c>
      <c r="O13" s="11"/>
      <c r="P13" s="2">
        <f>--323725.59</f>
        <v>323725.59000000003</v>
      </c>
      <c r="Q13" s="2"/>
      <c r="R13" s="19"/>
      <c r="S13" s="2"/>
      <c r="T13" s="2">
        <f>--342805.19</f>
        <v>342805.19</v>
      </c>
      <c r="U13" s="2"/>
      <c r="V13" s="19"/>
      <c r="W13" s="2"/>
      <c r="X13" s="2">
        <f t="shared" si="2"/>
        <v>-19079.599999999977</v>
      </c>
      <c r="Y13" s="2"/>
      <c r="Z13" s="19">
        <f t="shared" si="3"/>
        <v>-5.5657267032625662E-2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--82451.12</f>
        <v>82451.12</v>
      </c>
      <c r="E14" s="2"/>
      <c r="F14" s="19"/>
      <c r="G14" s="2"/>
      <c r="H14" s="2">
        <f>--105122.28</f>
        <v>105122.28</v>
      </c>
      <c r="I14" s="2"/>
      <c r="J14" s="19"/>
      <c r="K14" s="2"/>
      <c r="L14" s="2">
        <f t="shared" si="0"/>
        <v>-22671.160000000003</v>
      </c>
      <c r="M14" s="2"/>
      <c r="N14" s="19">
        <f t="shared" si="1"/>
        <v>-0.21566465263120249</v>
      </c>
      <c r="O14" s="11"/>
      <c r="P14" s="2">
        <f>--536296.65</f>
        <v>536296.65</v>
      </c>
      <c r="Q14" s="2"/>
      <c r="R14" s="19"/>
      <c r="S14" s="2"/>
      <c r="T14" s="2">
        <f>--673989.69</f>
        <v>673989.69</v>
      </c>
      <c r="U14" s="2"/>
      <c r="V14" s="19"/>
      <c r="W14" s="2"/>
      <c r="X14" s="2">
        <f t="shared" si="2"/>
        <v>-137693.03999999992</v>
      </c>
      <c r="Y14" s="2"/>
      <c r="Z14" s="19">
        <f t="shared" si="3"/>
        <v>-0.20429546926748973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--16599.9</f>
        <v>16599.900000000001</v>
      </c>
      <c r="E15" s="2"/>
      <c r="F15" s="19"/>
      <c r="G15" s="2"/>
      <c r="H15" s="2">
        <f>--26335.56</f>
        <v>26335.56</v>
      </c>
      <c r="I15" s="2"/>
      <c r="J15" s="19"/>
      <c r="K15" s="2"/>
      <c r="L15" s="2">
        <f t="shared" si="0"/>
        <v>-9735.66</v>
      </c>
      <c r="M15" s="2"/>
      <c r="N15" s="19">
        <f t="shared" si="1"/>
        <v>-0.36967734880139247</v>
      </c>
      <c r="O15" s="11"/>
      <c r="P15" s="2">
        <f>--106770.83</f>
        <v>106770.83</v>
      </c>
      <c r="Q15" s="2"/>
      <c r="R15" s="19"/>
      <c r="S15" s="2"/>
      <c r="T15" s="2">
        <f>--91454.05</f>
        <v>91454.05</v>
      </c>
      <c r="U15" s="2"/>
      <c r="V15" s="19"/>
      <c r="W15" s="2"/>
      <c r="X15" s="2">
        <f t="shared" si="2"/>
        <v>15316.779999999999</v>
      </c>
      <c r="Y15" s="2"/>
      <c r="Z15" s="19">
        <f t="shared" si="3"/>
        <v>0.16748060911463186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--36915.55</f>
        <v>36915.550000000003</v>
      </c>
      <c r="E16" s="2"/>
      <c r="F16" s="19"/>
      <c r="G16" s="2"/>
      <c r="H16" s="2">
        <f>--48863.42</f>
        <v>48863.42</v>
      </c>
      <c r="I16" s="2"/>
      <c r="J16" s="19"/>
      <c r="K16" s="2"/>
      <c r="L16" s="2">
        <f t="shared" si="0"/>
        <v>-11947.869999999995</v>
      </c>
      <c r="M16" s="2"/>
      <c r="N16" s="19">
        <f t="shared" si="1"/>
        <v>-0.24451563152967998</v>
      </c>
      <c r="O16" s="11"/>
      <c r="P16" s="2">
        <f>--272827.44</f>
        <v>272827.44</v>
      </c>
      <c r="Q16" s="2"/>
      <c r="R16" s="19"/>
      <c r="S16" s="2"/>
      <c r="T16" s="2">
        <f>--317064.74</f>
        <v>317064.74</v>
      </c>
      <c r="U16" s="2"/>
      <c r="V16" s="19"/>
      <c r="W16" s="2"/>
      <c r="X16" s="2">
        <f t="shared" si="2"/>
        <v>-44237.299999999988</v>
      </c>
      <c r="Y16" s="2"/>
      <c r="Z16" s="19">
        <f t="shared" si="3"/>
        <v>-0.13952134822686366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--9096.8</f>
        <v>9096.7999999999993</v>
      </c>
      <c r="E18" s="2"/>
      <c r="F18" s="19"/>
      <c r="G18" s="2"/>
      <c r="H18" s="2">
        <f>--12611.6</f>
        <v>12611.6</v>
      </c>
      <c r="I18" s="2"/>
      <c r="J18" s="19"/>
      <c r="K18" s="2"/>
      <c r="L18" s="2">
        <f t="shared" si="0"/>
        <v>-3514.8000000000011</v>
      </c>
      <c r="M18" s="2"/>
      <c r="N18" s="19">
        <f t="shared" si="1"/>
        <v>-0.27869580386311021</v>
      </c>
      <c r="O18" s="11"/>
      <c r="P18" s="2">
        <f>--87899.21</f>
        <v>87899.21</v>
      </c>
      <c r="Q18" s="2"/>
      <c r="R18" s="19"/>
      <c r="S18" s="2"/>
      <c r="T18" s="2">
        <f>--121610.75</f>
        <v>121610.75</v>
      </c>
      <c r="U18" s="2"/>
      <c r="V18" s="19"/>
      <c r="W18" s="2"/>
      <c r="X18" s="2">
        <f t="shared" si="2"/>
        <v>-33711.539999999994</v>
      </c>
      <c r="Y18" s="2"/>
      <c r="Z18" s="19">
        <f t="shared" si="3"/>
        <v>-0.27720855269784944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--915080.41</f>
        <v>915080.41</v>
      </c>
      <c r="E19" s="2"/>
      <c r="F19" s="19"/>
      <c r="G19" s="2"/>
      <c r="H19" s="2">
        <f>--1025034.88</f>
        <v>1025034.88</v>
      </c>
      <c r="I19" s="2"/>
      <c r="J19" s="19"/>
      <c r="K19" s="2"/>
      <c r="L19" s="2">
        <f t="shared" si="0"/>
        <v>-109954.46999999997</v>
      </c>
      <c r="M19" s="2"/>
      <c r="N19" s="19">
        <f t="shared" si="1"/>
        <v>-0.1072690033728413</v>
      </c>
      <c r="O19" s="11"/>
      <c r="P19" s="2">
        <f>--6793689.83</f>
        <v>6793689.8300000001</v>
      </c>
      <c r="Q19" s="2"/>
      <c r="R19" s="19"/>
      <c r="S19" s="2"/>
      <c r="T19" s="2">
        <f>--6568217.41</f>
        <v>6568217.4100000001</v>
      </c>
      <c r="U19" s="2"/>
      <c r="V19" s="19"/>
      <c r="W19" s="2"/>
      <c r="X19" s="2">
        <f t="shared" si="2"/>
        <v>225472.41999999993</v>
      </c>
      <c r="Y19" s="2"/>
      <c r="Z19" s="19">
        <f t="shared" si="3"/>
        <v>3.4327794883391341E-2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--4293.35</f>
        <v>4293.3500000000004</v>
      </c>
      <c r="E20" s="2"/>
      <c r="F20" s="19"/>
      <c r="G20" s="2"/>
      <c r="H20" s="2">
        <f>--6226.42</f>
        <v>6226.42</v>
      </c>
      <c r="I20" s="2"/>
      <c r="J20" s="19"/>
      <c r="K20" s="2"/>
      <c r="L20" s="2">
        <f t="shared" si="0"/>
        <v>-1933.0699999999997</v>
      </c>
      <c r="M20" s="2"/>
      <c r="N20" s="19">
        <f t="shared" si="1"/>
        <v>-0.31046251296892913</v>
      </c>
      <c r="O20" s="11"/>
      <c r="P20" s="2">
        <f>--34634.8</f>
        <v>34634.800000000003</v>
      </c>
      <c r="Q20" s="2"/>
      <c r="R20" s="19"/>
      <c r="S20" s="2"/>
      <c r="T20" s="2">
        <f>--40503.52</f>
        <v>40503.519999999997</v>
      </c>
      <c r="U20" s="2"/>
      <c r="V20" s="19"/>
      <c r="W20" s="2"/>
      <c r="X20" s="2">
        <f t="shared" si="2"/>
        <v>-5868.7199999999939</v>
      </c>
      <c r="Y20" s="2"/>
      <c r="Z20" s="19">
        <f t="shared" si="3"/>
        <v>-0.14489407340399044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--10760.38</f>
        <v>10760.38</v>
      </c>
      <c r="E21" s="2"/>
      <c r="F21" s="19"/>
      <c r="G21" s="2"/>
      <c r="H21" s="2">
        <f>--12937.73</f>
        <v>12937.73</v>
      </c>
      <c r="I21" s="2"/>
      <c r="J21" s="19"/>
      <c r="K21" s="2"/>
      <c r="L21" s="2">
        <f t="shared" si="0"/>
        <v>-2177.3500000000004</v>
      </c>
      <c r="M21" s="2"/>
      <c r="N21" s="19">
        <f t="shared" si="1"/>
        <v>-0.16829459263719374</v>
      </c>
      <c r="O21" s="11"/>
      <c r="P21" s="2">
        <f>--222756.54</f>
        <v>222756.54</v>
      </c>
      <c r="Q21" s="2"/>
      <c r="R21" s="19"/>
      <c r="S21" s="2"/>
      <c r="T21" s="2">
        <f>--192748.26</f>
        <v>192748.26</v>
      </c>
      <c r="U21" s="2"/>
      <c r="V21" s="19"/>
      <c r="W21" s="2"/>
      <c r="X21" s="2">
        <f t="shared" si="2"/>
        <v>30008.28</v>
      </c>
      <c r="Y21" s="2"/>
      <c r="Z21" s="19">
        <f t="shared" si="3"/>
        <v>0.15568638596270595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--63957.35</f>
        <v>63957.35</v>
      </c>
      <c r="E22" s="2"/>
      <c r="F22" s="19"/>
      <c r="G22" s="2"/>
      <c r="H22" s="2">
        <f>--71062.1</f>
        <v>71062.100000000006</v>
      </c>
      <c r="I22" s="2"/>
      <c r="J22" s="19"/>
      <c r="K22" s="2"/>
      <c r="L22" s="2">
        <f t="shared" si="0"/>
        <v>-7104.7500000000073</v>
      </c>
      <c r="M22" s="2"/>
      <c r="N22" s="19">
        <f t="shared" si="1"/>
        <v>-9.9979454589718103E-2</v>
      </c>
      <c r="O22" s="11"/>
      <c r="P22" s="2">
        <f>--488454.35</f>
        <v>488454.35</v>
      </c>
      <c r="Q22" s="2"/>
      <c r="R22" s="19"/>
      <c r="S22" s="2"/>
      <c r="T22" s="2">
        <f>--452410.09</f>
        <v>452410.09</v>
      </c>
      <c r="U22" s="2"/>
      <c r="V22" s="19"/>
      <c r="W22" s="2"/>
      <c r="X22" s="2">
        <f t="shared" si="2"/>
        <v>36044.259999999951</v>
      </c>
      <c r="Y22" s="2"/>
      <c r="Z22" s="19">
        <f t="shared" si="3"/>
        <v>7.9671653653878391E-2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--45728.68</f>
        <v>45728.68</v>
      </c>
      <c r="E23" s="2"/>
      <c r="F23" s="19"/>
      <c r="G23" s="2"/>
      <c r="H23" s="2">
        <f>--47902.06</f>
        <v>47902.06</v>
      </c>
      <c r="I23" s="2"/>
      <c r="J23" s="19"/>
      <c r="K23" s="2"/>
      <c r="L23" s="2">
        <f t="shared" si="0"/>
        <v>-2173.3799999999974</v>
      </c>
      <c r="M23" s="2"/>
      <c r="N23" s="19">
        <f t="shared" si="1"/>
        <v>-4.53713264105969E-2</v>
      </c>
      <c r="O23" s="11"/>
      <c r="P23" s="2">
        <f>--318615.94</f>
        <v>318615.94</v>
      </c>
      <c r="Q23" s="2"/>
      <c r="R23" s="19"/>
      <c r="S23" s="2"/>
      <c r="T23" s="2">
        <f>--312383.86</f>
        <v>312383.86</v>
      </c>
      <c r="U23" s="2"/>
      <c r="V23" s="19"/>
      <c r="W23" s="2"/>
      <c r="X23" s="2">
        <f t="shared" si="2"/>
        <v>6232.0800000000163</v>
      </c>
      <c r="Y23" s="2"/>
      <c r="Z23" s="19">
        <f t="shared" si="3"/>
        <v>1.9950070403765473E-2</v>
      </c>
    </row>
    <row r="24" spans="1:26" s="24" customFormat="1" hidden="1" outlineLevel="1" x14ac:dyDescent="0.25">
      <c r="A24" s="44"/>
      <c r="B24" s="11" t="str">
        <f>CONCATENATE("          ", "4159", " - ", "NON-TAXABLE SALES-FOOD")</f>
        <v xml:space="preserve">          4159 - NON-TAXABLE SALES-FOOD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--1054.9</f>
        <v>1054.9000000000001</v>
      </c>
      <c r="U24" s="2"/>
      <c r="V24" s="19"/>
      <c r="W24" s="2"/>
      <c r="X24" s="2">
        <f t="shared" si="2"/>
        <v>-1054.9000000000001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333975</v>
      </c>
      <c r="E26" s="4"/>
      <c r="F26" s="12">
        <f t="shared" ref="F26:F28" si="4">IF(D$12=0,0,D26/D$12)</f>
        <v>0.27249878386275217</v>
      </c>
      <c r="G26" s="4"/>
      <c r="H26" s="4">
        <f>SUM(OSRRefH16x_0)</f>
        <v>376845.41000000003</v>
      </c>
      <c r="I26" s="4"/>
      <c r="J26" s="12">
        <f t="shared" ref="J26:J28" si="5">IF(H$12=0,0,H26/H$12)</f>
        <v>0.26798054180857067</v>
      </c>
      <c r="K26" s="4"/>
      <c r="L26" s="4">
        <f t="shared" ref="L26:L28" si="6">+D26-H26</f>
        <v>-42870.410000000033</v>
      </c>
      <c r="M26" s="4"/>
      <c r="N26" s="12">
        <f t="shared" ref="N26:N28" si="7">IF(H26=0,0,L26/H26)</f>
        <v>-0.11376126353774624</v>
      </c>
      <c r="O26" s="10"/>
      <c r="P26" s="4">
        <f>SUM(OSRRefP16x_0)</f>
        <v>2480069.6399999997</v>
      </c>
      <c r="Q26" s="4"/>
      <c r="R26" s="12">
        <f t="shared" ref="R26:R28" si="8">IF(P$12=0,0,P26/P$12)</f>
        <v>0.26999329623292695</v>
      </c>
      <c r="S26" s="4"/>
      <c r="T26" s="4">
        <f>SUM(OSRRefT16x_0)</f>
        <v>2451672.2000000002</v>
      </c>
      <c r="U26" s="4"/>
      <c r="V26" s="12">
        <f t="shared" ref="V26:V28" si="9">IF(T$12=0,0,T26/T$12)</f>
        <v>0.26865436728327829</v>
      </c>
      <c r="W26" s="4"/>
      <c r="X26" s="4">
        <f t="shared" ref="X26:X28" si="10">+P26-T26</f>
        <v>28397.439999999478</v>
      </c>
      <c r="Y26" s="4"/>
      <c r="Z26" s="12">
        <f t="shared" ref="Z26:Z28" si="11">IF(T26=0,0,X26/T26)</f>
        <v>1.1582886162350528E-2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324886.88</v>
      </c>
      <c r="E27" s="2"/>
      <c r="F27" s="19">
        <f t="shared" si="4"/>
        <v>0.26508355323890681</v>
      </c>
      <c r="G27" s="2"/>
      <c r="H27" s="2">
        <v>319066.44</v>
      </c>
      <c r="I27" s="2"/>
      <c r="J27" s="19">
        <f t="shared" si="5"/>
        <v>0.22689303145322054</v>
      </c>
      <c r="K27" s="2"/>
      <c r="L27" s="2">
        <f t="shared" si="6"/>
        <v>5820.4400000000023</v>
      </c>
      <c r="M27" s="2"/>
      <c r="N27" s="19">
        <f t="shared" si="7"/>
        <v>1.8242094029068061E-2</v>
      </c>
      <c r="O27" s="11"/>
      <c r="P27" s="2">
        <v>2506600.4699999997</v>
      </c>
      <c r="Q27" s="2"/>
      <c r="R27" s="19">
        <f t="shared" si="8"/>
        <v>0.27288158054880424</v>
      </c>
      <c r="S27" s="2"/>
      <c r="T27" s="2">
        <v>2469888.0300000003</v>
      </c>
      <c r="U27" s="2"/>
      <c r="V27" s="19">
        <f t="shared" si="9"/>
        <v>0.27065045888279543</v>
      </c>
      <c r="W27" s="2"/>
      <c r="X27" s="2">
        <f t="shared" si="10"/>
        <v>36712.439999999478</v>
      </c>
      <c r="Y27" s="2"/>
      <c r="Z27" s="19">
        <f t="shared" si="11"/>
        <v>1.4864009847442143E-2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9088.1200000000008</v>
      </c>
      <c r="E28" s="2"/>
      <c r="F28" s="19">
        <f t="shared" si="4"/>
        <v>7.4152306238453635E-3</v>
      </c>
      <c r="G28" s="2"/>
      <c r="H28" s="2">
        <v>57778.97</v>
      </c>
      <c r="I28" s="2"/>
      <c r="J28" s="19">
        <f t="shared" si="5"/>
        <v>4.1087510355350083E-2</v>
      </c>
      <c r="K28" s="2"/>
      <c r="L28" s="2">
        <f t="shared" si="6"/>
        <v>-48690.85</v>
      </c>
      <c r="M28" s="2"/>
      <c r="N28" s="19">
        <f t="shared" si="7"/>
        <v>-0.84270886102677145</v>
      </c>
      <c r="O28" s="11"/>
      <c r="P28" s="2">
        <v>-26530.83</v>
      </c>
      <c r="Q28" s="2"/>
      <c r="R28" s="19">
        <f t="shared" si="8"/>
        <v>-2.8882843158772862E-3</v>
      </c>
      <c r="S28" s="2"/>
      <c r="T28" s="2">
        <v>-18215.830000000002</v>
      </c>
      <c r="U28" s="2"/>
      <c r="V28" s="19">
        <f t="shared" si="9"/>
        <v>-1.9960915995171618E-3</v>
      </c>
      <c r="W28" s="2"/>
      <c r="X28" s="2">
        <f t="shared" si="10"/>
        <v>-8315</v>
      </c>
      <c r="Y28" s="2"/>
      <c r="Z28" s="19">
        <f t="shared" si="11"/>
        <v>0.45647110233242183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0">
        <f>D12-D26</f>
        <v>891626.8</v>
      </c>
      <c r="E30" s="14"/>
      <c r="F30" s="21">
        <f>IF(D$12=0,0,D30/D$12)</f>
        <v>0.72750121613724783</v>
      </c>
      <c r="G30" s="14"/>
      <c r="H30" s="20">
        <f>H12-H26</f>
        <v>1029396.2799999999</v>
      </c>
      <c r="I30" s="14"/>
      <c r="J30" s="21">
        <f>IF(H$12=0,0,H30/H$12)</f>
        <v>0.73201945819142933</v>
      </c>
      <c r="K30" s="15"/>
      <c r="L30" s="20">
        <f>+D30-H30</f>
        <v>-137769.47999999986</v>
      </c>
      <c r="M30" s="15"/>
      <c r="N30" s="21">
        <f>IF(H30=0,0,L30/H30)</f>
        <v>-0.13383522233050996</v>
      </c>
      <c r="O30" s="28"/>
      <c r="P30" s="20">
        <f>P12-P26</f>
        <v>6705601.54</v>
      </c>
      <c r="Q30" s="14"/>
      <c r="R30" s="21">
        <f>IF(P$12=0,0,P30/P$12)</f>
        <v>0.730006703767073</v>
      </c>
      <c r="S30" s="14"/>
      <c r="T30" s="20">
        <f>T12-T26</f>
        <v>6674076.3399999989</v>
      </c>
      <c r="U30" s="14"/>
      <c r="V30" s="21">
        <f>IF(T$12=0,0,T30/T$12)</f>
        <v>0.73134563271672171</v>
      </c>
      <c r="W30" s="15"/>
      <c r="X30" s="20">
        <f>+P30-T30</f>
        <v>31525.200000001118</v>
      </c>
      <c r="Y30" s="15"/>
      <c r="Z30" s="21">
        <f>IF(T30=0,0,X30/T30)</f>
        <v>4.7235300278272102E-3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2">
        <f>SUM(OSRRefD22x_0)</f>
        <v>896830.33</v>
      </c>
      <c r="E32" s="22"/>
      <c r="F32" s="33">
        <f t="shared" ref="F32:F42" si="12">IF(D$12=0,0,D32/D$12)</f>
        <v>0.73174690996700553</v>
      </c>
      <c r="G32" s="22"/>
      <c r="H32" s="22">
        <f>SUM(OSRRefH22x_0)</f>
        <v>824179.02999999991</v>
      </c>
      <c r="I32" s="22"/>
      <c r="J32" s="33">
        <f t="shared" ref="J32:J42" si="13">IF(H$12=0,0,H32/H$12)</f>
        <v>0.58608632915725889</v>
      </c>
      <c r="K32" s="4"/>
      <c r="L32" s="22">
        <f t="shared" ref="L32:L42" si="14">+D32-H32</f>
        <v>72651.300000000047</v>
      </c>
      <c r="M32" s="4"/>
      <c r="N32" s="33">
        <f t="shared" ref="N32:N42" si="15">IF(H32=0,0,L32/H32)</f>
        <v>8.8149901120391352E-2</v>
      </c>
      <c r="O32" s="10"/>
      <c r="P32" s="22">
        <f>SUM(OSRRefP22x_0)</f>
        <v>5814657.7999999998</v>
      </c>
      <c r="Q32" s="22"/>
      <c r="R32" s="33">
        <f t="shared" ref="R32:R42" si="16">IF(P$12=0,0,P32/P$12)</f>
        <v>0.63301392854778848</v>
      </c>
      <c r="S32" s="22"/>
      <c r="T32" s="22">
        <f>SUM(OSRRefT22x_0)</f>
        <v>5306708.7199999988</v>
      </c>
      <c r="U32" s="22"/>
      <c r="V32" s="33">
        <f t="shared" ref="V32:V42" si="17">IF(T$12=0,0,T32/T$12)</f>
        <v>0.58150941774689746</v>
      </c>
      <c r="W32" s="4"/>
      <c r="X32" s="22">
        <f t="shared" ref="X32:X42" si="18">+P32-T32</f>
        <v>507949.08000000101</v>
      </c>
      <c r="Y32" s="4"/>
      <c r="Z32" s="33">
        <f t="shared" ref="Z32:Z42" si="19">IF(T32=0,0,X32/T32)</f>
        <v>9.5718289207326446E-2</v>
      </c>
    </row>
    <row r="33" spans="1:26" s="27" customFormat="1" outlineLevel="1" collapsed="1" x14ac:dyDescent="0.25">
      <c r="A33" s="25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165756.85000000003</v>
      </c>
      <c r="E33" s="1"/>
      <c r="F33" s="5">
        <f t="shared" si="12"/>
        <v>0.13524527297528449</v>
      </c>
      <c r="G33" s="1"/>
      <c r="H33" s="1">
        <f>SUM(OSRRefH22_0x_0)</f>
        <v>149503.37</v>
      </c>
      <c r="I33" s="1"/>
      <c r="J33" s="5">
        <f t="shared" si="13"/>
        <v>0.10631413580122205</v>
      </c>
      <c r="K33" s="1"/>
      <c r="L33" s="1">
        <f t="shared" si="14"/>
        <v>16253.48000000004</v>
      </c>
      <c r="M33" s="1"/>
      <c r="N33" s="5">
        <f t="shared" si="15"/>
        <v>0.1087164791001035</v>
      </c>
      <c r="O33" s="13"/>
      <c r="P33" s="1">
        <f>SUM(OSRRefP22_0x_0)</f>
        <v>976368.01</v>
      </c>
      <c r="Q33" s="1"/>
      <c r="R33" s="5">
        <f t="shared" si="16"/>
        <v>0.10629250610732183</v>
      </c>
      <c r="S33" s="1"/>
      <c r="T33" s="1">
        <f>SUM(OSRRefT22_0x_0)</f>
        <v>906312.45000000007</v>
      </c>
      <c r="U33" s="1"/>
      <c r="V33" s="5">
        <f t="shared" si="17"/>
        <v>9.9313765443727664E-2</v>
      </c>
      <c r="W33" s="1"/>
      <c r="X33" s="1">
        <f t="shared" si="18"/>
        <v>70055.559999999939</v>
      </c>
      <c r="Y33" s="1"/>
      <c r="Z33" s="5">
        <f t="shared" si="19"/>
        <v>7.729736030879851E-2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6">
        <v>22939.98</v>
      </c>
      <c r="E34" s="2"/>
      <c r="F34" s="7">
        <f t="shared" si="12"/>
        <v>1.8717319116208869E-2</v>
      </c>
      <c r="G34" s="2"/>
      <c r="H34" s="6">
        <v>18816.689999999999</v>
      </c>
      <c r="I34" s="2"/>
      <c r="J34" s="7">
        <f t="shared" si="13"/>
        <v>1.338083640515593E-2</v>
      </c>
      <c r="K34" s="2"/>
      <c r="L34" s="6">
        <f t="shared" si="14"/>
        <v>4123.2900000000009</v>
      </c>
      <c r="M34" s="2"/>
      <c r="N34" s="7">
        <f t="shared" si="15"/>
        <v>0.21912940054813046</v>
      </c>
      <c r="O34" s="11"/>
      <c r="P34" s="6">
        <v>166213.07</v>
      </c>
      <c r="Q34" s="2"/>
      <c r="R34" s="7">
        <f t="shared" si="16"/>
        <v>1.8094820372178837E-2</v>
      </c>
      <c r="S34" s="2"/>
      <c r="T34" s="6">
        <v>146222.45000000001</v>
      </c>
      <c r="U34" s="2"/>
      <c r="V34" s="7">
        <f t="shared" si="17"/>
        <v>1.6023063681743749E-2</v>
      </c>
      <c r="W34" s="2"/>
      <c r="X34" s="6">
        <f t="shared" si="18"/>
        <v>19990.619999999995</v>
      </c>
      <c r="Y34" s="2"/>
      <c r="Z34" s="7">
        <f t="shared" si="19"/>
        <v>0.13671375359939594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6">
        <v>24307.54</v>
      </c>
      <c r="E35" s="2"/>
      <c r="F35" s="7">
        <f t="shared" si="12"/>
        <v>1.983314645915174E-2</v>
      </c>
      <c r="G35" s="2"/>
      <c r="H35" s="6">
        <v>19249.169999999998</v>
      </c>
      <c r="I35" s="2"/>
      <c r="J35" s="7">
        <f t="shared" si="13"/>
        <v>1.3688379555864254E-2</v>
      </c>
      <c r="K35" s="2"/>
      <c r="L35" s="6">
        <f t="shared" si="14"/>
        <v>5058.3700000000026</v>
      </c>
      <c r="M35" s="2"/>
      <c r="N35" s="7">
        <f t="shared" si="15"/>
        <v>0.26278379795076895</v>
      </c>
      <c r="O35" s="11"/>
      <c r="P35" s="6">
        <v>86236.47</v>
      </c>
      <c r="Q35" s="2"/>
      <c r="R35" s="7">
        <f t="shared" si="16"/>
        <v>9.3881512096539044E-3</v>
      </c>
      <c r="S35" s="2"/>
      <c r="T35" s="6">
        <v>97944.03</v>
      </c>
      <c r="U35" s="2"/>
      <c r="V35" s="7">
        <f t="shared" si="17"/>
        <v>1.0732711905296484E-2</v>
      </c>
      <c r="W35" s="2"/>
      <c r="X35" s="6">
        <f t="shared" si="18"/>
        <v>-11707.559999999998</v>
      </c>
      <c r="Y35" s="2"/>
      <c r="Z35" s="7">
        <f t="shared" si="19"/>
        <v>-0.11953316603370311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6">
        <v>72753.95</v>
      </c>
      <c r="E36" s="2"/>
      <c r="F36" s="7">
        <f t="shared" si="12"/>
        <v>5.9361817190542635E-2</v>
      </c>
      <c r="G36" s="2"/>
      <c r="H36" s="6">
        <v>72105.23</v>
      </c>
      <c r="I36" s="2"/>
      <c r="J36" s="7">
        <f t="shared" si="13"/>
        <v>5.1275133224076154E-2</v>
      </c>
      <c r="K36" s="2"/>
      <c r="L36" s="6">
        <f t="shared" si="14"/>
        <v>648.72000000000116</v>
      </c>
      <c r="M36" s="2"/>
      <c r="N36" s="7">
        <f t="shared" si="15"/>
        <v>8.9968508525664678E-3</v>
      </c>
      <c r="O36" s="11"/>
      <c r="P36" s="6">
        <v>406949.60000000003</v>
      </c>
      <c r="Q36" s="2"/>
      <c r="R36" s="7">
        <f t="shared" si="16"/>
        <v>4.4302652688684642E-2</v>
      </c>
      <c r="S36" s="2"/>
      <c r="T36" s="6">
        <v>393731.41000000003</v>
      </c>
      <c r="U36" s="2"/>
      <c r="V36" s="7">
        <f t="shared" si="17"/>
        <v>4.3145108401156984E-2</v>
      </c>
      <c r="W36" s="2"/>
      <c r="X36" s="6">
        <f t="shared" si="18"/>
        <v>13218.190000000002</v>
      </c>
      <c r="Y36" s="2"/>
      <c r="Z36" s="7">
        <f t="shared" si="19"/>
        <v>3.357159135462421E-2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1690.35</v>
      </c>
      <c r="E37" s="2"/>
      <c r="F37" s="7">
        <f t="shared" si="12"/>
        <v>1.37919999791123E-3</v>
      </c>
      <c r="G37" s="2"/>
      <c r="H37" s="6">
        <v>1450.81</v>
      </c>
      <c r="I37" s="2"/>
      <c r="J37" s="7">
        <f t="shared" si="13"/>
        <v>1.0316932077301733E-3</v>
      </c>
      <c r="K37" s="2"/>
      <c r="L37" s="6">
        <f t="shared" si="14"/>
        <v>239.53999999999996</v>
      </c>
      <c r="M37" s="2"/>
      <c r="N37" s="7">
        <f t="shared" si="15"/>
        <v>0.16510776738511587</v>
      </c>
      <c r="O37" s="11"/>
      <c r="P37" s="6">
        <v>7903.52</v>
      </c>
      <c r="Q37" s="2"/>
      <c r="R37" s="7">
        <f t="shared" si="16"/>
        <v>8.604183456085787E-4</v>
      </c>
      <c r="S37" s="2"/>
      <c r="T37" s="6">
        <v>7375.1</v>
      </c>
      <c r="U37" s="2"/>
      <c r="V37" s="7">
        <f t="shared" si="17"/>
        <v>8.0816384186715724E-4</v>
      </c>
      <c r="W37" s="2"/>
      <c r="X37" s="6">
        <f t="shared" si="18"/>
        <v>528.42000000000007</v>
      </c>
      <c r="Y37" s="2"/>
      <c r="Z37" s="7">
        <f t="shared" si="19"/>
        <v>7.1649197976976595E-2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6">
        <v>10756.29</v>
      </c>
      <c r="E38" s="2"/>
      <c r="F38" s="7">
        <f t="shared" si="12"/>
        <v>8.7763333898497869E-3</v>
      </c>
      <c r="G38" s="2"/>
      <c r="H38" s="6">
        <v>9511.4500000000007</v>
      </c>
      <c r="I38" s="2"/>
      <c r="J38" s="7">
        <f t="shared" si="13"/>
        <v>6.7637377469587047E-3</v>
      </c>
      <c r="K38" s="2"/>
      <c r="L38" s="6">
        <f t="shared" si="14"/>
        <v>1244.8400000000001</v>
      </c>
      <c r="M38" s="2"/>
      <c r="N38" s="7">
        <f t="shared" si="15"/>
        <v>0.13087804698547539</v>
      </c>
      <c r="O38" s="11"/>
      <c r="P38" s="6">
        <v>68215.42</v>
      </c>
      <c r="Q38" s="2"/>
      <c r="R38" s="7">
        <f t="shared" si="16"/>
        <v>7.4262858601476739E-3</v>
      </c>
      <c r="S38" s="2"/>
      <c r="T38" s="6">
        <v>66765.62999999999</v>
      </c>
      <c r="U38" s="2"/>
      <c r="V38" s="7">
        <f t="shared" si="17"/>
        <v>7.3161812104895014E-3</v>
      </c>
      <c r="W38" s="2"/>
      <c r="X38" s="6">
        <f t="shared" si="18"/>
        <v>1449.7900000000081</v>
      </c>
      <c r="Y38" s="2"/>
      <c r="Z38" s="7">
        <f t="shared" si="19"/>
        <v>2.171461573866686E-2</v>
      </c>
    </row>
    <row r="39" spans="1:26" s="24" customFormat="1" hidden="1" outlineLevel="2" x14ac:dyDescent="0.25">
      <c r="A39" s="26"/>
      <c r="B39" s="11" t="str">
        <f>CONCATENATE("          ", "6117", " - ", "RETIREMENT STAFF HOURLY")</f>
        <v xml:space="preserve">          6117 - RETIREMENT STAFF HOURLY</v>
      </c>
      <c r="C39" s="11"/>
      <c r="D39" s="6">
        <v>2259.6</v>
      </c>
      <c r="E39" s="2"/>
      <c r="F39" s="7">
        <f t="shared" si="12"/>
        <v>1.8436656995771382E-3</v>
      </c>
      <c r="G39" s="2"/>
      <c r="H39" s="6">
        <v>1484.06</v>
      </c>
      <c r="I39" s="2"/>
      <c r="J39" s="7">
        <f t="shared" si="13"/>
        <v>1.0553377918983472E-3</v>
      </c>
      <c r="K39" s="2"/>
      <c r="L39" s="6">
        <f t="shared" si="14"/>
        <v>775.54</v>
      </c>
      <c r="M39" s="2"/>
      <c r="N39" s="7">
        <f t="shared" si="15"/>
        <v>0.52257994959772514</v>
      </c>
      <c r="O39" s="11"/>
      <c r="P39" s="6">
        <v>10832.01</v>
      </c>
      <c r="Q39" s="2"/>
      <c r="R39" s="7">
        <f t="shared" si="16"/>
        <v>1.1792290174271185E-3</v>
      </c>
      <c r="S39" s="2"/>
      <c r="T39" s="6">
        <v>9597.2800000000007</v>
      </c>
      <c r="U39" s="2"/>
      <c r="V39" s="7">
        <f t="shared" si="17"/>
        <v>1.051670441929578E-3</v>
      </c>
      <c r="W39" s="2"/>
      <c r="X39" s="6">
        <f t="shared" si="18"/>
        <v>1234.7299999999996</v>
      </c>
      <c r="Y39" s="2"/>
      <c r="Z39" s="7">
        <f t="shared" si="19"/>
        <v>0.12865416034543115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6">
        <v>14318.43</v>
      </c>
      <c r="E40" s="2"/>
      <c r="F40" s="7">
        <f t="shared" si="12"/>
        <v>1.1682774943705206E-2</v>
      </c>
      <c r="G40" s="2"/>
      <c r="H40" s="6">
        <v>12620.17</v>
      </c>
      <c r="I40" s="2"/>
      <c r="J40" s="7">
        <f t="shared" si="13"/>
        <v>8.9743961438093905E-3</v>
      </c>
      <c r="K40" s="2"/>
      <c r="L40" s="6">
        <f t="shared" si="14"/>
        <v>1698.2600000000002</v>
      </c>
      <c r="M40" s="2"/>
      <c r="N40" s="7">
        <f t="shared" si="15"/>
        <v>0.13456712548246183</v>
      </c>
      <c r="O40" s="11"/>
      <c r="P40" s="6">
        <v>98727.650000000009</v>
      </c>
      <c r="Q40" s="2"/>
      <c r="R40" s="7">
        <f t="shared" si="16"/>
        <v>1.0748006113582656E-2</v>
      </c>
      <c r="S40" s="2"/>
      <c r="T40" s="6">
        <v>86757.11</v>
      </c>
      <c r="U40" s="2"/>
      <c r="V40" s="7">
        <f t="shared" si="17"/>
        <v>9.506848629427609E-3</v>
      </c>
      <c r="W40" s="2"/>
      <c r="X40" s="6">
        <f t="shared" si="18"/>
        <v>11970.540000000008</v>
      </c>
      <c r="Y40" s="2"/>
      <c r="Z40" s="7">
        <f t="shared" si="19"/>
        <v>0.13797762511914019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6">
        <v>10206.57</v>
      </c>
      <c r="E41" s="2"/>
      <c r="F41" s="7">
        <f t="shared" si="12"/>
        <v>8.3278027169999252E-3</v>
      </c>
      <c r="G41" s="2"/>
      <c r="H41" s="6">
        <v>8702.6</v>
      </c>
      <c r="I41" s="2"/>
      <c r="J41" s="7">
        <f t="shared" si="13"/>
        <v>6.1885521257729181E-3</v>
      </c>
      <c r="K41" s="2"/>
      <c r="L41" s="6">
        <f t="shared" si="14"/>
        <v>1503.9699999999993</v>
      </c>
      <c r="M41" s="2"/>
      <c r="N41" s="7">
        <f t="shared" si="15"/>
        <v>0.17281846804403272</v>
      </c>
      <c r="O41" s="11"/>
      <c r="P41" s="6">
        <v>94090.32</v>
      </c>
      <c r="Q41" s="2"/>
      <c r="R41" s="7">
        <f t="shared" si="16"/>
        <v>1.0243162220400753E-2</v>
      </c>
      <c r="S41" s="2"/>
      <c r="T41" s="6">
        <v>60610.759999999995</v>
      </c>
      <c r="U41" s="2"/>
      <c r="V41" s="7">
        <f t="shared" si="17"/>
        <v>6.6417302355341913E-3</v>
      </c>
      <c r="W41" s="2"/>
      <c r="X41" s="6">
        <f t="shared" si="18"/>
        <v>33479.560000000012</v>
      </c>
      <c r="Y41" s="2"/>
      <c r="Z41" s="7">
        <f t="shared" si="19"/>
        <v>0.55236990923723794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6">
        <v>6524.14</v>
      </c>
      <c r="E42" s="2"/>
      <c r="F42" s="7">
        <f t="shared" si="12"/>
        <v>5.3232134613379325E-3</v>
      </c>
      <c r="G42" s="2"/>
      <c r="H42" s="6">
        <v>5563.19</v>
      </c>
      <c r="I42" s="2"/>
      <c r="J42" s="7">
        <f t="shared" si="13"/>
        <v>3.956069599956178E-3</v>
      </c>
      <c r="K42" s="2"/>
      <c r="L42" s="6">
        <f t="shared" si="14"/>
        <v>960.95000000000073</v>
      </c>
      <c r="M42" s="2"/>
      <c r="N42" s="7">
        <f t="shared" si="15"/>
        <v>0.17273362944641488</v>
      </c>
      <c r="O42" s="11"/>
      <c r="P42" s="6">
        <v>37199.950000000004</v>
      </c>
      <c r="Q42" s="2"/>
      <c r="R42" s="7">
        <f t="shared" si="16"/>
        <v>4.0497802796376613E-3</v>
      </c>
      <c r="S42" s="2"/>
      <c r="T42" s="6">
        <v>37308.68</v>
      </c>
      <c r="U42" s="2"/>
      <c r="V42" s="7">
        <f t="shared" si="17"/>
        <v>4.088287096282406E-3</v>
      </c>
      <c r="W42" s="2"/>
      <c r="X42" s="6">
        <f t="shared" si="18"/>
        <v>-108.72999999999593</v>
      </c>
      <c r="Y42" s="2"/>
      <c r="Z42" s="7">
        <f t="shared" si="19"/>
        <v>-2.9143352163624103E-3</v>
      </c>
    </row>
    <row r="43" spans="1:26" s="27" customFormat="1" outlineLevel="1" collapsed="1" x14ac:dyDescent="0.25">
      <c r="A43" s="25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402086.32</v>
      </c>
      <c r="E43" s="1"/>
      <c r="F43" s="5">
        <f t="shared" ref="F43:F50" si="20">IF(D$12=0,0,D43/D$12)</f>
        <v>0.32807255994565282</v>
      </c>
      <c r="G43" s="1"/>
      <c r="H43" s="1">
        <f>SUM(OSRRefH22_1x_0)</f>
        <v>370609.35</v>
      </c>
      <c r="I43" s="1"/>
      <c r="J43" s="5">
        <f t="shared" ref="J43:J50" si="21">IF(H$12=0,0,H43/H$12)</f>
        <v>0.26354598404773505</v>
      </c>
      <c r="K43" s="1"/>
      <c r="L43" s="1">
        <f t="shared" ref="L43:L50" si="22">+D43-H43</f>
        <v>31476.97000000003</v>
      </c>
      <c r="M43" s="1"/>
      <c r="N43" s="5">
        <f t="shared" ref="N43:N50" si="23">IF(H43=0,0,L43/H43)</f>
        <v>8.4933016395835753E-2</v>
      </c>
      <c r="O43" s="13"/>
      <c r="P43" s="1">
        <f>SUM(OSRRefP22_1x_0)</f>
        <v>2813732.82</v>
      </c>
      <c r="Q43" s="1"/>
      <c r="R43" s="5">
        <f t="shared" ref="R43:R50" si="24">IF(P$12=0,0,P43/P$12)</f>
        <v>0.30631760759370008</v>
      </c>
      <c r="S43" s="1"/>
      <c r="T43" s="1">
        <f>SUM(OSRRefT22_1x_0)</f>
        <v>2509438.52</v>
      </c>
      <c r="U43" s="1"/>
      <c r="V43" s="5">
        <f t="shared" ref="V43:V50" si="25">IF(T$12=0,0,T43/T$12)</f>
        <v>0.27498440363556198</v>
      </c>
      <c r="W43" s="1"/>
      <c r="X43" s="1">
        <f t="shared" ref="X43:X50" si="26">+P43-T43</f>
        <v>304294.29999999981</v>
      </c>
      <c r="Y43" s="1"/>
      <c r="Z43" s="5">
        <f t="shared" ref="Z43:Z50" si="27">IF(T43=0,0,X43/T43)</f>
        <v>0.12125991434928632</v>
      </c>
    </row>
    <row r="44" spans="1:26" s="24" customFormat="1" hidden="1" outlineLevel="2" x14ac:dyDescent="0.25">
      <c r="A44" s="26"/>
      <c r="B44" s="11" t="str">
        <f>CONCATENATE("          ", "6001", " - ", "ADMINISTRATIVE SALARIES")</f>
        <v xml:space="preserve">          6001 - ADMINISTRATIVE SALARIES</v>
      </c>
      <c r="C44" s="11"/>
      <c r="D44" s="6">
        <v>24822.86</v>
      </c>
      <c r="E44" s="2"/>
      <c r="F44" s="7">
        <f t="shared" si="20"/>
        <v>2.0253609288106465E-2</v>
      </c>
      <c r="G44" s="2"/>
      <c r="H44" s="6">
        <v>24523.43</v>
      </c>
      <c r="I44" s="2"/>
      <c r="J44" s="7">
        <f t="shared" si="21"/>
        <v>1.743898660834042E-2</v>
      </c>
      <c r="K44" s="2"/>
      <c r="L44" s="6">
        <f t="shared" si="22"/>
        <v>299.43000000000029</v>
      </c>
      <c r="M44" s="2"/>
      <c r="N44" s="7">
        <f t="shared" si="23"/>
        <v>1.2209955948250318E-2</v>
      </c>
      <c r="O44" s="11"/>
      <c r="P44" s="6">
        <v>149846.65</v>
      </c>
      <c r="Q44" s="2"/>
      <c r="R44" s="7">
        <f t="shared" si="24"/>
        <v>1.6313086661131713E-2</v>
      </c>
      <c r="S44" s="2"/>
      <c r="T44" s="6">
        <v>145548.62999999998</v>
      </c>
      <c r="U44" s="2"/>
      <c r="V44" s="7">
        <f t="shared" si="25"/>
        <v>1.5949226451072034E-2</v>
      </c>
      <c r="W44" s="2"/>
      <c r="X44" s="6">
        <f t="shared" si="26"/>
        <v>4298.0200000000186</v>
      </c>
      <c r="Y44" s="2"/>
      <c r="Z44" s="7">
        <f t="shared" si="27"/>
        <v>2.9529786711149527E-2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6">
        <v>94613.72</v>
      </c>
      <c r="E45" s="2"/>
      <c r="F45" s="7">
        <f t="shared" si="20"/>
        <v>7.7197765212159444E-2</v>
      </c>
      <c r="G45" s="2"/>
      <c r="H45" s="6">
        <v>90462.43</v>
      </c>
      <c r="I45" s="2"/>
      <c r="J45" s="7">
        <f t="shared" si="21"/>
        <v>6.4329219253910747E-2</v>
      </c>
      <c r="K45" s="2"/>
      <c r="L45" s="6">
        <f t="shared" si="22"/>
        <v>4151.2900000000081</v>
      </c>
      <c r="M45" s="2"/>
      <c r="N45" s="7">
        <f t="shared" si="23"/>
        <v>4.5889658281344073E-2</v>
      </c>
      <c r="O45" s="11"/>
      <c r="P45" s="6">
        <v>596405.98</v>
      </c>
      <c r="Q45" s="2"/>
      <c r="R45" s="7">
        <f t="shared" si="24"/>
        <v>6.4927860829435871E-2</v>
      </c>
      <c r="S45" s="2"/>
      <c r="T45" s="6">
        <v>563608.69999999995</v>
      </c>
      <c r="U45" s="2"/>
      <c r="V45" s="7">
        <f t="shared" si="25"/>
        <v>6.1760270681313338E-2</v>
      </c>
      <c r="W45" s="2"/>
      <c r="X45" s="6">
        <f t="shared" si="26"/>
        <v>32797.280000000028</v>
      </c>
      <c r="Y45" s="2"/>
      <c r="Z45" s="7">
        <f t="shared" si="27"/>
        <v>5.8191578660868847E-2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6">
        <v>77556.710000000006</v>
      </c>
      <c r="E46" s="2"/>
      <c r="F46" s="7">
        <f t="shared" si="20"/>
        <v>6.3280512479665096E-2</v>
      </c>
      <c r="G46" s="2"/>
      <c r="H46" s="6">
        <v>67087.740000000005</v>
      </c>
      <c r="I46" s="2"/>
      <c r="J46" s="7">
        <f t="shared" si="21"/>
        <v>4.7707119250603364E-2</v>
      </c>
      <c r="K46" s="2"/>
      <c r="L46" s="6">
        <f t="shared" si="22"/>
        <v>10468.970000000001</v>
      </c>
      <c r="M46" s="2"/>
      <c r="N46" s="7">
        <f t="shared" si="23"/>
        <v>0.15604892935728645</v>
      </c>
      <c r="O46" s="11"/>
      <c r="P46" s="6">
        <v>485365.24999999994</v>
      </c>
      <c r="Q46" s="2"/>
      <c r="R46" s="7">
        <f t="shared" si="24"/>
        <v>5.2839388705398872E-2</v>
      </c>
      <c r="S46" s="2"/>
      <c r="T46" s="6">
        <v>436766.62999999995</v>
      </c>
      <c r="U46" s="2"/>
      <c r="V46" s="7">
        <f t="shared" si="25"/>
        <v>4.7860910048700508E-2</v>
      </c>
      <c r="W46" s="2"/>
      <c r="X46" s="6">
        <f t="shared" si="26"/>
        <v>48598.619999999995</v>
      </c>
      <c r="Y46" s="2"/>
      <c r="Z46" s="7">
        <f t="shared" si="27"/>
        <v>0.11126907749339733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6">
        <v>74447.92</v>
      </c>
      <c r="E47" s="2"/>
      <c r="F47" s="7">
        <f t="shared" si="20"/>
        <v>6.0743970839468413E-2</v>
      </c>
      <c r="G47" s="2"/>
      <c r="H47" s="6">
        <v>57941.56</v>
      </c>
      <c r="I47" s="2"/>
      <c r="J47" s="7">
        <f t="shared" si="21"/>
        <v>4.1203130594144169E-2</v>
      </c>
      <c r="K47" s="2"/>
      <c r="L47" s="6">
        <f t="shared" si="22"/>
        <v>16506.36</v>
      </c>
      <c r="M47" s="2"/>
      <c r="N47" s="7">
        <f t="shared" si="23"/>
        <v>0.28487945440198714</v>
      </c>
      <c r="O47" s="11"/>
      <c r="P47" s="6">
        <v>551048.30999999994</v>
      </c>
      <c r="Q47" s="2"/>
      <c r="R47" s="7">
        <f t="shared" si="24"/>
        <v>5.998998866841649E-2</v>
      </c>
      <c r="S47" s="2"/>
      <c r="T47" s="6">
        <v>433989.64</v>
      </c>
      <c r="U47" s="2"/>
      <c r="V47" s="7">
        <f t="shared" si="25"/>
        <v>4.7556607339960748E-2</v>
      </c>
      <c r="W47" s="2"/>
      <c r="X47" s="6">
        <f t="shared" si="26"/>
        <v>117058.66999999993</v>
      </c>
      <c r="Y47" s="2"/>
      <c r="Z47" s="7">
        <f t="shared" si="27"/>
        <v>0.26972687642958465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6">
        <v>2776.06</v>
      </c>
      <c r="E48" s="2"/>
      <c r="F48" s="7">
        <f t="shared" si="20"/>
        <v>2.2650586838237345E-3</v>
      </c>
      <c r="G48" s="2"/>
      <c r="H48" s="6">
        <v>945.01</v>
      </c>
      <c r="I48" s="2"/>
      <c r="J48" s="7">
        <f t="shared" si="21"/>
        <v>6.7201108224859989E-4</v>
      </c>
      <c r="K48" s="2"/>
      <c r="L48" s="6">
        <f t="shared" si="22"/>
        <v>1831.05</v>
      </c>
      <c r="M48" s="2"/>
      <c r="N48" s="7">
        <f t="shared" si="23"/>
        <v>1.9375985439307519</v>
      </c>
      <c r="O48" s="11"/>
      <c r="P48" s="6">
        <v>40188.25</v>
      </c>
      <c r="Q48" s="2"/>
      <c r="R48" s="7">
        <f t="shared" si="24"/>
        <v>4.3751021795230428E-3</v>
      </c>
      <c r="S48" s="2"/>
      <c r="T48" s="6">
        <v>12003.01</v>
      </c>
      <c r="U48" s="2"/>
      <c r="V48" s="7">
        <f t="shared" si="25"/>
        <v>1.3152904605456071E-3</v>
      </c>
      <c r="W48" s="2"/>
      <c r="X48" s="6">
        <f t="shared" si="26"/>
        <v>28185.239999999998</v>
      </c>
      <c r="Y48" s="2"/>
      <c r="Z48" s="7">
        <f t="shared" si="27"/>
        <v>2.3481809979330182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6">
        <v>110001.64</v>
      </c>
      <c r="E49" s="2"/>
      <c r="F49" s="7">
        <f t="shared" si="20"/>
        <v>8.9753164527010321E-2</v>
      </c>
      <c r="G49" s="2"/>
      <c r="H49" s="6">
        <v>107256.24</v>
      </c>
      <c r="I49" s="2"/>
      <c r="J49" s="7">
        <f t="shared" si="21"/>
        <v>7.6271554714040665E-2</v>
      </c>
      <c r="K49" s="2"/>
      <c r="L49" s="6">
        <f t="shared" si="22"/>
        <v>2745.3999999999942</v>
      </c>
      <c r="M49" s="2"/>
      <c r="N49" s="7">
        <f t="shared" si="23"/>
        <v>2.559664593873507E-2</v>
      </c>
      <c r="O49" s="11"/>
      <c r="P49" s="6">
        <v>854184.21</v>
      </c>
      <c r="Q49" s="2"/>
      <c r="R49" s="7">
        <f t="shared" si="24"/>
        <v>9.2990941354380158E-2</v>
      </c>
      <c r="S49" s="2"/>
      <c r="T49" s="6">
        <v>772936.2</v>
      </c>
      <c r="U49" s="2"/>
      <c r="V49" s="7">
        <f t="shared" si="25"/>
        <v>8.4698389026616777E-2</v>
      </c>
      <c r="W49" s="2"/>
      <c r="X49" s="6">
        <f t="shared" si="26"/>
        <v>81248.010000000009</v>
      </c>
      <c r="Y49" s="2"/>
      <c r="Z49" s="7">
        <f t="shared" si="27"/>
        <v>0.10511606261939861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6">
        <v>17867.41</v>
      </c>
      <c r="E50" s="2"/>
      <c r="F50" s="7">
        <f t="shared" si="20"/>
        <v>1.4578478915419347E-2</v>
      </c>
      <c r="G50" s="2"/>
      <c r="H50" s="6">
        <v>22392.94</v>
      </c>
      <c r="I50" s="2"/>
      <c r="J50" s="7">
        <f t="shared" si="21"/>
        <v>1.5923962544447105E-2</v>
      </c>
      <c r="K50" s="2"/>
      <c r="L50" s="6">
        <f t="shared" si="22"/>
        <v>-4525.5299999999988</v>
      </c>
      <c r="M50" s="2"/>
      <c r="N50" s="7">
        <f t="shared" si="23"/>
        <v>-0.20209628570433355</v>
      </c>
      <c r="O50" s="11"/>
      <c r="P50" s="6">
        <v>136694.17000000001</v>
      </c>
      <c r="Q50" s="2"/>
      <c r="R50" s="7">
        <f t="shared" si="24"/>
        <v>1.4881239195413919E-2</v>
      </c>
      <c r="S50" s="2"/>
      <c r="T50" s="6">
        <v>144585.71</v>
      </c>
      <c r="U50" s="2"/>
      <c r="V50" s="7">
        <f t="shared" si="25"/>
        <v>1.5843709627352938E-2</v>
      </c>
      <c r="W50" s="2"/>
      <c r="X50" s="6">
        <f t="shared" si="26"/>
        <v>-7891.539999999979</v>
      </c>
      <c r="Y50" s="2"/>
      <c r="Z50" s="7">
        <f t="shared" si="27"/>
        <v>-5.4580359290001615E-2</v>
      </c>
    </row>
    <row r="51" spans="1:26" s="27" customFormat="1" outlineLevel="1" collapsed="1" x14ac:dyDescent="0.25">
      <c r="A51" s="25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2704.43</v>
      </c>
      <c r="E51" s="1"/>
      <c r="F51" s="5">
        <f t="shared" ref="F51:F60" si="28">IF(D$12=0,0,D51/D$12)</f>
        <v>2.2066139263176667E-3</v>
      </c>
      <c r="G51" s="1"/>
      <c r="H51" s="1">
        <f>SUM(OSRRefH22_2x_0)</f>
        <v>1136.44</v>
      </c>
      <c r="I51" s="1"/>
      <c r="J51" s="5">
        <f t="shared" ref="J51:J60" si="29">IF(H$12=0,0,H51/H$12)</f>
        <v>8.0813988667908154E-4</v>
      </c>
      <c r="K51" s="1"/>
      <c r="L51" s="1">
        <f t="shared" ref="L51:L60" si="30">+D51-H51</f>
        <v>1567.9899999999998</v>
      </c>
      <c r="M51" s="1"/>
      <c r="N51" s="5">
        <f t="shared" ref="N51:N60" si="31">IF(H51=0,0,L51/H51)</f>
        <v>1.3797384815740379</v>
      </c>
      <c r="O51" s="13"/>
      <c r="P51" s="1">
        <f>SUM(OSRRefP22_2x_0)</f>
        <v>27570.230000000003</v>
      </c>
      <c r="Q51" s="1"/>
      <c r="R51" s="5">
        <f t="shared" ref="R51:R60" si="32">IF(P$12=0,0,P51/P$12)</f>
        <v>3.0014388126617009E-3</v>
      </c>
      <c r="S51" s="1"/>
      <c r="T51" s="1">
        <f>SUM(OSRRefT22_2x_0)</f>
        <v>23427.05</v>
      </c>
      <c r="U51" s="1"/>
      <c r="V51" s="5">
        <f t="shared" ref="V51:V60" si="33">IF(T$12=0,0,T51/T$12)</f>
        <v>2.5671373583563591E-3</v>
      </c>
      <c r="W51" s="1"/>
      <c r="X51" s="1">
        <f t="shared" ref="X51:X60" si="34">+P51-T51</f>
        <v>4143.1800000000039</v>
      </c>
      <c r="Y51" s="1"/>
      <c r="Z51" s="5">
        <f t="shared" ref="Z51:Z60" si="35">IF(T51=0,0,X51/T51)</f>
        <v>0.17685453354135514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6">
        <v>2704.43</v>
      </c>
      <c r="E52" s="2"/>
      <c r="F52" s="7">
        <f t="shared" si="28"/>
        <v>2.2066139263176667E-3</v>
      </c>
      <c r="G52" s="2"/>
      <c r="H52" s="6">
        <v>1136.44</v>
      </c>
      <c r="I52" s="2"/>
      <c r="J52" s="7">
        <f t="shared" si="29"/>
        <v>8.0813988667908154E-4</v>
      </c>
      <c r="K52" s="2"/>
      <c r="L52" s="6">
        <f t="shared" si="30"/>
        <v>1567.9899999999998</v>
      </c>
      <c r="M52" s="2"/>
      <c r="N52" s="7">
        <f t="shared" si="31"/>
        <v>1.3797384815740379</v>
      </c>
      <c r="O52" s="11"/>
      <c r="P52" s="6">
        <v>27570.230000000003</v>
      </c>
      <c r="Q52" s="2"/>
      <c r="R52" s="7">
        <f t="shared" si="32"/>
        <v>3.0014388126617009E-3</v>
      </c>
      <c r="S52" s="2"/>
      <c r="T52" s="6">
        <v>23427.05</v>
      </c>
      <c r="U52" s="2"/>
      <c r="V52" s="7">
        <f t="shared" si="33"/>
        <v>2.5671373583563591E-3</v>
      </c>
      <c r="W52" s="2"/>
      <c r="X52" s="6">
        <f t="shared" si="34"/>
        <v>4143.1800000000039</v>
      </c>
      <c r="Y52" s="2"/>
      <c r="Z52" s="7">
        <f t="shared" si="35"/>
        <v>0.17685453354135514</v>
      </c>
    </row>
    <row r="53" spans="1:26" s="27" customFormat="1" outlineLevel="1" collapsed="1" x14ac:dyDescent="0.25">
      <c r="A53" s="25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-71.27</v>
      </c>
      <c r="E53" s="1"/>
      <c r="F53" s="5">
        <f t="shared" si="28"/>
        <v>-5.8151024256002229E-5</v>
      </c>
      <c r="G53" s="1"/>
      <c r="H53" s="1">
        <f>SUM(OSRRefH22_3x_0)</f>
        <v>-81.96</v>
      </c>
      <c r="I53" s="1"/>
      <c r="J53" s="5">
        <f t="shared" si="29"/>
        <v>-5.8283011080406806E-5</v>
      </c>
      <c r="K53" s="1"/>
      <c r="L53" s="1">
        <f t="shared" si="30"/>
        <v>10.689999999999998</v>
      </c>
      <c r="M53" s="1"/>
      <c r="N53" s="5">
        <f t="shared" si="31"/>
        <v>-0.13042947779404584</v>
      </c>
      <c r="O53" s="13"/>
      <c r="P53" s="1">
        <f>SUM(OSRRefP22_3x_0)</f>
        <v>-62.99</v>
      </c>
      <c r="Q53" s="1"/>
      <c r="R53" s="5">
        <f t="shared" si="32"/>
        <v>-6.8574194270254737E-6</v>
      </c>
      <c r="S53" s="1"/>
      <c r="T53" s="1">
        <f>SUM(OSRRefT22_3x_0)</f>
        <v>-403.23</v>
      </c>
      <c r="U53" s="1"/>
      <c r="V53" s="5">
        <f t="shared" si="33"/>
        <v>-4.4185964387749838E-5</v>
      </c>
      <c r="W53" s="1"/>
      <c r="X53" s="1">
        <f t="shared" si="34"/>
        <v>340.24</v>
      </c>
      <c r="Y53" s="1"/>
      <c r="Z53" s="5">
        <f t="shared" si="35"/>
        <v>-0.84378642462118392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6">
        <v>-71.27</v>
      </c>
      <c r="E54" s="2"/>
      <c r="F54" s="7">
        <f t="shared" si="28"/>
        <v>-5.8151024256002229E-5</v>
      </c>
      <c r="G54" s="2"/>
      <c r="H54" s="6">
        <v>-81.96</v>
      </c>
      <c r="I54" s="2"/>
      <c r="J54" s="7">
        <f t="shared" si="29"/>
        <v>-5.8283011080406806E-5</v>
      </c>
      <c r="K54" s="2"/>
      <c r="L54" s="6">
        <f t="shared" si="30"/>
        <v>10.689999999999998</v>
      </c>
      <c r="M54" s="2"/>
      <c r="N54" s="7">
        <f t="shared" si="31"/>
        <v>-0.13042947779404584</v>
      </c>
      <c r="O54" s="11"/>
      <c r="P54" s="6">
        <v>-62.99</v>
      </c>
      <c r="Q54" s="2"/>
      <c r="R54" s="7">
        <f t="shared" si="32"/>
        <v>-6.8574194270254737E-6</v>
      </c>
      <c r="S54" s="2"/>
      <c r="T54" s="6">
        <v>-403.23</v>
      </c>
      <c r="U54" s="2"/>
      <c r="V54" s="7">
        <f t="shared" si="33"/>
        <v>-4.4185964387749838E-5</v>
      </c>
      <c r="W54" s="2"/>
      <c r="X54" s="6">
        <f t="shared" si="34"/>
        <v>340.24</v>
      </c>
      <c r="Y54" s="2"/>
      <c r="Z54" s="7">
        <f t="shared" si="35"/>
        <v>-0.84378642462118392</v>
      </c>
    </row>
    <row r="55" spans="1:26" s="27" customFormat="1" outlineLevel="1" collapsed="1" x14ac:dyDescent="0.25">
      <c r="A55" s="25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25119.289999999997</v>
      </c>
      <c r="E55" s="1"/>
      <c r="F55" s="5">
        <f t="shared" si="28"/>
        <v>2.0495474141764475E-2</v>
      </c>
      <c r="G55" s="1"/>
      <c r="H55" s="1">
        <f>SUM(OSRRefH22_4x_0)</f>
        <v>28843.57</v>
      </c>
      <c r="I55" s="1"/>
      <c r="J55" s="5">
        <f t="shared" si="29"/>
        <v>2.051110431806356E-2</v>
      </c>
      <c r="K55" s="1"/>
      <c r="L55" s="1">
        <f t="shared" si="30"/>
        <v>-3724.2800000000025</v>
      </c>
      <c r="M55" s="1"/>
      <c r="N55" s="5">
        <f t="shared" si="31"/>
        <v>-0.12911993903667274</v>
      </c>
      <c r="O55" s="13"/>
      <c r="P55" s="1">
        <f>SUM(OSRRefP22_4x_0)</f>
        <v>106038.81</v>
      </c>
      <c r="Q55" s="1"/>
      <c r="R55" s="5">
        <f t="shared" si="32"/>
        <v>1.1543937064814462E-2</v>
      </c>
      <c r="S55" s="1"/>
      <c r="T55" s="1">
        <f>SUM(OSRRefT22_4x_0)</f>
        <v>107581.08</v>
      </c>
      <c r="U55" s="1"/>
      <c r="V55" s="5">
        <f t="shared" si="33"/>
        <v>1.1788740345896054E-2</v>
      </c>
      <c r="W55" s="1"/>
      <c r="X55" s="1">
        <f t="shared" si="34"/>
        <v>-1542.2700000000041</v>
      </c>
      <c r="Y55" s="1"/>
      <c r="Z55" s="5">
        <f t="shared" si="35"/>
        <v>-1.4335885083139191E-2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6">
        <v>25119.289999999997</v>
      </c>
      <c r="E56" s="2"/>
      <c r="F56" s="7">
        <f t="shared" si="28"/>
        <v>2.0495474141764475E-2</v>
      </c>
      <c r="G56" s="2"/>
      <c r="H56" s="6">
        <v>28843.57</v>
      </c>
      <c r="I56" s="2"/>
      <c r="J56" s="7">
        <f t="shared" si="29"/>
        <v>2.051110431806356E-2</v>
      </c>
      <c r="K56" s="2"/>
      <c r="L56" s="6">
        <f t="shared" si="30"/>
        <v>-3724.2800000000025</v>
      </c>
      <c r="M56" s="2"/>
      <c r="N56" s="7">
        <f t="shared" si="31"/>
        <v>-0.12911993903667274</v>
      </c>
      <c r="O56" s="11"/>
      <c r="P56" s="6">
        <v>106038.81</v>
      </c>
      <c r="Q56" s="2"/>
      <c r="R56" s="7">
        <f t="shared" si="32"/>
        <v>1.1543937064814462E-2</v>
      </c>
      <c r="S56" s="2"/>
      <c r="T56" s="6">
        <v>107581.08</v>
      </c>
      <c r="U56" s="2"/>
      <c r="V56" s="7">
        <f t="shared" si="33"/>
        <v>1.1788740345896054E-2</v>
      </c>
      <c r="W56" s="2"/>
      <c r="X56" s="6">
        <f t="shared" si="34"/>
        <v>-1542.2700000000041</v>
      </c>
      <c r="Y56" s="2"/>
      <c r="Z56" s="7">
        <f t="shared" si="35"/>
        <v>-1.4335885083139191E-2</v>
      </c>
    </row>
    <row r="57" spans="1:26" s="27" customFormat="1" outlineLevel="1" collapsed="1" x14ac:dyDescent="0.25">
      <c r="A57" s="25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40745.619999999995</v>
      </c>
      <c r="E57" s="1"/>
      <c r="F57" s="5">
        <f t="shared" si="28"/>
        <v>3.3245398301471156E-2</v>
      </c>
      <c r="G57" s="1"/>
      <c r="H57" s="1">
        <f>SUM(OSRRefH22_5x_0)</f>
        <v>35444.590000000004</v>
      </c>
      <c r="I57" s="1"/>
      <c r="J57" s="5">
        <f t="shared" si="29"/>
        <v>2.5205190723651499E-2</v>
      </c>
      <c r="K57" s="1"/>
      <c r="L57" s="1">
        <f t="shared" si="30"/>
        <v>5301.0299999999916</v>
      </c>
      <c r="M57" s="1"/>
      <c r="N57" s="5">
        <f t="shared" si="31"/>
        <v>0.1495582259521126</v>
      </c>
      <c r="O57" s="13"/>
      <c r="P57" s="1">
        <f>SUM(OSRRefP22_5x_0)</f>
        <v>238600.87</v>
      </c>
      <c r="Q57" s="1"/>
      <c r="R57" s="5">
        <f t="shared" si="32"/>
        <v>2.5975333247232568E-2</v>
      </c>
      <c r="S57" s="1"/>
      <c r="T57" s="1">
        <f>SUM(OSRRefT22_5x_0)</f>
        <v>231641.40000000002</v>
      </c>
      <c r="U57" s="1"/>
      <c r="V57" s="5">
        <f t="shared" si="33"/>
        <v>2.5383276668721363E-2</v>
      </c>
      <c r="W57" s="1"/>
      <c r="X57" s="1">
        <f t="shared" si="34"/>
        <v>6959.4699999999721</v>
      </c>
      <c r="Y57" s="1"/>
      <c r="Z57" s="5">
        <f t="shared" si="35"/>
        <v>3.0044154455982269E-2</v>
      </c>
    </row>
    <row r="58" spans="1:26" s="24" customFormat="1" hidden="1" outlineLevel="2" x14ac:dyDescent="0.25">
      <c r="A58" s="26"/>
      <c r="B58" s="11" t="str">
        <f>CONCATENATE("          ", "6321", " - ", "BUILDING DEPRECIATION")</f>
        <v xml:space="preserve">          6321 - BUILDING DEPRECIATION</v>
      </c>
      <c r="C58" s="11"/>
      <c r="D58" s="6">
        <v>24042.959999999999</v>
      </c>
      <c r="E58" s="2"/>
      <c r="F58" s="7">
        <f t="shared" si="28"/>
        <v>1.9617268838867566E-2</v>
      </c>
      <c r="G58" s="2"/>
      <c r="H58" s="6">
        <v>21516.510000000002</v>
      </c>
      <c r="I58" s="2"/>
      <c r="J58" s="7">
        <f t="shared" si="29"/>
        <v>1.530071975038658E-2</v>
      </c>
      <c r="K58" s="2"/>
      <c r="L58" s="6">
        <f t="shared" si="30"/>
        <v>2526.4499999999971</v>
      </c>
      <c r="M58" s="2"/>
      <c r="N58" s="7">
        <f t="shared" si="31"/>
        <v>0.11741913535234091</v>
      </c>
      <c r="O58" s="11"/>
      <c r="P58" s="6">
        <v>144257.76</v>
      </c>
      <c r="Q58" s="2"/>
      <c r="R58" s="7">
        <f t="shared" si="32"/>
        <v>1.5704650991001403E-2</v>
      </c>
      <c r="S58" s="2"/>
      <c r="T58" s="6">
        <v>148072.92000000001</v>
      </c>
      <c r="U58" s="2"/>
      <c r="V58" s="7">
        <f t="shared" si="33"/>
        <v>1.6225838280659006E-2</v>
      </c>
      <c r="W58" s="2"/>
      <c r="X58" s="6">
        <f t="shared" si="34"/>
        <v>-3815.1600000000035</v>
      </c>
      <c r="Y58" s="2"/>
      <c r="Z58" s="7">
        <f t="shared" si="35"/>
        <v>-2.5765413419280198E-2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16278.409999999998</v>
      </c>
      <c r="E59" s="2"/>
      <c r="F59" s="7">
        <f t="shared" si="28"/>
        <v>1.328197298665847E-2</v>
      </c>
      <c r="G59" s="2"/>
      <c r="H59" s="6">
        <v>13503.83</v>
      </c>
      <c r="I59" s="2"/>
      <c r="J59" s="7">
        <f t="shared" si="29"/>
        <v>9.6027803015852845E-3</v>
      </c>
      <c r="K59" s="2"/>
      <c r="L59" s="6">
        <f t="shared" si="30"/>
        <v>2774.5799999999981</v>
      </c>
      <c r="M59" s="2"/>
      <c r="N59" s="7">
        <f t="shared" si="31"/>
        <v>0.20546615293587064</v>
      </c>
      <c r="O59" s="11"/>
      <c r="P59" s="6">
        <v>91797.61</v>
      </c>
      <c r="Q59" s="2"/>
      <c r="R59" s="7">
        <f t="shared" si="32"/>
        <v>9.9935658702731845E-3</v>
      </c>
      <c r="S59" s="2"/>
      <c r="T59" s="6">
        <v>81022.98</v>
      </c>
      <c r="U59" s="2"/>
      <c r="V59" s="7">
        <f t="shared" si="33"/>
        <v>8.8785023655714272E-3</v>
      </c>
      <c r="W59" s="2"/>
      <c r="X59" s="6">
        <f t="shared" si="34"/>
        <v>10774.630000000005</v>
      </c>
      <c r="Y59" s="2"/>
      <c r="Z59" s="7">
        <f t="shared" si="35"/>
        <v>0.13298239585855773</v>
      </c>
    </row>
    <row r="60" spans="1:26" s="24" customFormat="1" hidden="1" outlineLevel="2" x14ac:dyDescent="0.25">
      <c r="A60" s="26"/>
      <c r="B60" s="11" t="str">
        <f>CONCATENATE("          ", "6326", " - ", "VEHICLES DEPRECIATION EXPENSE")</f>
        <v xml:space="preserve">          6326 - VEHICLES DEPRECIATION EXPENSE</v>
      </c>
      <c r="C60" s="11"/>
      <c r="D60" s="6">
        <v>424.25</v>
      </c>
      <c r="E60" s="2"/>
      <c r="F60" s="7">
        <f t="shared" si="28"/>
        <v>3.4615647594512345E-4</v>
      </c>
      <c r="G60" s="2"/>
      <c r="H60" s="6">
        <v>424.25</v>
      </c>
      <c r="I60" s="2"/>
      <c r="J60" s="7">
        <f t="shared" si="29"/>
        <v>3.0169067167963142E-4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2545.5</v>
      </c>
      <c r="Q60" s="2"/>
      <c r="R60" s="7">
        <f t="shared" si="32"/>
        <v>2.7711638595798291E-4</v>
      </c>
      <c r="S60" s="2"/>
      <c r="T60" s="6">
        <v>2545.5</v>
      </c>
      <c r="U60" s="2"/>
      <c r="V60" s="7">
        <f t="shared" si="33"/>
        <v>2.7893602249092874E-4</v>
      </c>
      <c r="W60" s="2"/>
      <c r="X60" s="6">
        <f t="shared" si="34"/>
        <v>0</v>
      </c>
      <c r="Y60" s="2"/>
      <c r="Z60" s="7">
        <f t="shared" si="35"/>
        <v>0</v>
      </c>
    </row>
    <row r="61" spans="1:26" s="27" customFormat="1" outlineLevel="1" collapsed="1" x14ac:dyDescent="0.25">
      <c r="A61" s="25"/>
      <c r="B61" s="13" t="str">
        <f>CONCATENATE("     ","Donations                                         ")</f>
        <v xml:space="preserve">     Donations                                         </v>
      </c>
      <c r="C61" s="13"/>
      <c r="D61" s="1">
        <f>SUM(OSRRefD22_6x_0)</f>
        <v>11203.09</v>
      </c>
      <c r="E61" s="1"/>
      <c r="F61" s="5">
        <f t="shared" ref="F61:F71" si="36">IF(D$12=0,0,D61/D$12)</f>
        <v>9.140888990208729E-3</v>
      </c>
      <c r="G61" s="1"/>
      <c r="H61" s="1">
        <f>SUM(OSRRefH22_6x_0)</f>
        <v>9772.9500000000007</v>
      </c>
      <c r="I61" s="1"/>
      <c r="J61" s="5">
        <f t="shared" ref="J61:J71" si="37">IF(H$12=0,0,H61/H$12)</f>
        <v>6.9496944013941169E-3</v>
      </c>
      <c r="K61" s="1"/>
      <c r="L61" s="1">
        <f t="shared" ref="L61:L71" si="38">+D61-H61</f>
        <v>1430.1399999999994</v>
      </c>
      <c r="M61" s="1"/>
      <c r="N61" s="5">
        <f t="shared" ref="N61:N71" si="39">IF(H61=0,0,L61/H61)</f>
        <v>0.14633657186417603</v>
      </c>
      <c r="O61" s="13"/>
      <c r="P61" s="1">
        <f>SUM(OSRRefP22_6x_0)</f>
        <v>77610.509999999995</v>
      </c>
      <c r="Q61" s="1"/>
      <c r="R61" s="5">
        <f t="shared" ref="R61:R71" si="40">IF(P$12=0,0,P61/P$12)</f>
        <v>8.4490842834633231E-3</v>
      </c>
      <c r="S61" s="1"/>
      <c r="T61" s="1">
        <f>SUM(OSRRefT22_6x_0)</f>
        <v>66731.740000000005</v>
      </c>
      <c r="U61" s="1"/>
      <c r="V61" s="5">
        <f t="shared" ref="V61:V71" si="41">IF(T$12=0,0,T61/T$12)</f>
        <v>7.3124675425255596E-3</v>
      </c>
      <c r="W61" s="1"/>
      <c r="X61" s="1">
        <f t="shared" ref="X61:X71" si="42">+P61-T61</f>
        <v>10878.76999999999</v>
      </c>
      <c r="Y61" s="1"/>
      <c r="Z61" s="5">
        <f t="shared" ref="Z61:Z71" si="43">IF(T61=0,0,X61/T61)</f>
        <v>0.16302242381211682</v>
      </c>
    </row>
    <row r="62" spans="1:26" s="24" customFormat="1" hidden="1" outlineLevel="2" x14ac:dyDescent="0.25">
      <c r="A62" s="26"/>
      <c r="B62" s="11" t="str">
        <f>CONCATENATE("          ", "6399", " - ", "DONATION-ON CAMPUS")</f>
        <v xml:space="preserve">          6399 - DONATION-ON CAMPUS</v>
      </c>
      <c r="C62" s="11"/>
      <c r="D62" s="6">
        <v>11203.09</v>
      </c>
      <c r="E62" s="2"/>
      <c r="F62" s="7">
        <f t="shared" si="36"/>
        <v>9.140888990208729E-3</v>
      </c>
      <c r="G62" s="2"/>
      <c r="H62" s="6">
        <v>9772.9500000000007</v>
      </c>
      <c r="I62" s="2"/>
      <c r="J62" s="7">
        <f t="shared" si="37"/>
        <v>6.9496944013941169E-3</v>
      </c>
      <c r="K62" s="2"/>
      <c r="L62" s="6">
        <f t="shared" si="38"/>
        <v>1430.1399999999994</v>
      </c>
      <c r="M62" s="2"/>
      <c r="N62" s="7">
        <f t="shared" si="39"/>
        <v>0.14633657186417603</v>
      </c>
      <c r="O62" s="11"/>
      <c r="P62" s="6">
        <v>77610.509999999995</v>
      </c>
      <c r="Q62" s="2"/>
      <c r="R62" s="7">
        <f t="shared" si="40"/>
        <v>8.4490842834633231E-3</v>
      </c>
      <c r="S62" s="2"/>
      <c r="T62" s="6">
        <v>66731.740000000005</v>
      </c>
      <c r="U62" s="2"/>
      <c r="V62" s="7">
        <f t="shared" si="41"/>
        <v>7.3124675425255596E-3</v>
      </c>
      <c r="W62" s="2"/>
      <c r="X62" s="6">
        <f t="shared" si="42"/>
        <v>10878.76999999999</v>
      </c>
      <c r="Y62" s="2"/>
      <c r="Z62" s="7">
        <f t="shared" si="43"/>
        <v>0.16302242381211682</v>
      </c>
    </row>
    <row r="63" spans="1:26" s="27" customFormat="1" outlineLevel="1" collapsed="1" x14ac:dyDescent="0.25">
      <c r="A63" s="25"/>
      <c r="B63" s="13" t="str">
        <f>CONCATENATE("     ","Employees' Appreciation                           ")</f>
        <v xml:space="preserve">     Employees' Appreciation                           </v>
      </c>
      <c r="C63" s="13"/>
      <c r="D63" s="1">
        <f>SUM(OSRRefD22_7x_0)</f>
        <v>385.99</v>
      </c>
      <c r="E63" s="1"/>
      <c r="F63" s="5">
        <f t="shared" si="36"/>
        <v>3.149391588687288E-4</v>
      </c>
      <c r="G63" s="1"/>
      <c r="H63" s="1">
        <f>SUM(OSRRefH22_7x_0)</f>
        <v>436.11</v>
      </c>
      <c r="I63" s="1"/>
      <c r="J63" s="5">
        <f t="shared" si="37"/>
        <v>3.1012449929570786E-4</v>
      </c>
      <c r="K63" s="1"/>
      <c r="L63" s="1">
        <f t="shared" si="38"/>
        <v>-50.120000000000005</v>
      </c>
      <c r="M63" s="1"/>
      <c r="N63" s="5">
        <f t="shared" si="39"/>
        <v>-0.11492513356721928</v>
      </c>
      <c r="O63" s="13"/>
      <c r="P63" s="1">
        <f>SUM(OSRRefP22_7x_0)</f>
        <v>2393.5500000000002</v>
      </c>
      <c r="Q63" s="1"/>
      <c r="R63" s="5">
        <f t="shared" si="40"/>
        <v>2.6057431766243565E-4</v>
      </c>
      <c r="S63" s="1"/>
      <c r="T63" s="1">
        <f>SUM(OSRRefT22_7x_0)</f>
        <v>2015.49</v>
      </c>
      <c r="U63" s="1"/>
      <c r="V63" s="5">
        <f t="shared" si="41"/>
        <v>2.2085749910439679E-4</v>
      </c>
      <c r="W63" s="1"/>
      <c r="X63" s="1">
        <f t="shared" si="42"/>
        <v>378.06000000000017</v>
      </c>
      <c r="Y63" s="1"/>
      <c r="Z63" s="5">
        <f t="shared" si="43"/>
        <v>0.18757721447389974</v>
      </c>
    </row>
    <row r="64" spans="1:26" s="24" customFormat="1" hidden="1" outlineLevel="2" x14ac:dyDescent="0.25">
      <c r="A64" s="26"/>
      <c r="B64" s="11" t="str">
        <f>CONCATENATE("          ", "6277", " - ", "EMPLOYEE APPRECIATION")</f>
        <v xml:space="preserve">          6277 - EMPLOYEE APPRECIATION</v>
      </c>
      <c r="C64" s="11"/>
      <c r="D64" s="6">
        <v>385.99</v>
      </c>
      <c r="E64" s="2"/>
      <c r="F64" s="7">
        <f t="shared" si="36"/>
        <v>3.149391588687288E-4</v>
      </c>
      <c r="G64" s="2"/>
      <c r="H64" s="6">
        <v>436.11</v>
      </c>
      <c r="I64" s="2"/>
      <c r="J64" s="7">
        <f t="shared" si="37"/>
        <v>3.1012449929570786E-4</v>
      </c>
      <c r="K64" s="2"/>
      <c r="L64" s="6">
        <f t="shared" si="38"/>
        <v>-50.120000000000005</v>
      </c>
      <c r="M64" s="2"/>
      <c r="N64" s="7">
        <f t="shared" si="39"/>
        <v>-0.11492513356721928</v>
      </c>
      <c r="O64" s="11"/>
      <c r="P64" s="6">
        <v>2393.5500000000002</v>
      </c>
      <c r="Q64" s="2"/>
      <c r="R64" s="7">
        <f t="shared" si="40"/>
        <v>2.6057431766243565E-4</v>
      </c>
      <c r="S64" s="2"/>
      <c r="T64" s="6">
        <v>2015.49</v>
      </c>
      <c r="U64" s="2"/>
      <c r="V64" s="7">
        <f t="shared" si="41"/>
        <v>2.2085749910439679E-4</v>
      </c>
      <c r="W64" s="2"/>
      <c r="X64" s="6">
        <f t="shared" si="42"/>
        <v>378.06000000000017</v>
      </c>
      <c r="Y64" s="2"/>
      <c r="Z64" s="7">
        <f t="shared" si="43"/>
        <v>0.18757721447389974</v>
      </c>
    </row>
    <row r="65" spans="1:26" s="27" customFormat="1" outlineLevel="1" collapsed="1" x14ac:dyDescent="0.25">
      <c r="A65" s="25"/>
      <c r="B65" s="13" t="str">
        <f>CONCATENATE("     ","Equipment Rental                                  ")</f>
        <v xml:space="preserve">     Equipment Rental                                  </v>
      </c>
      <c r="C65" s="13"/>
      <c r="D65" s="1">
        <f>SUM(OSRRefD22_8x_0)</f>
        <v>2902.95</v>
      </c>
      <c r="E65" s="1"/>
      <c r="F65" s="5">
        <f t="shared" si="36"/>
        <v>2.3685914952148402E-3</v>
      </c>
      <c r="G65" s="1"/>
      <c r="H65" s="1">
        <f>SUM(OSRRefH22_8x_0)</f>
        <v>1453.53</v>
      </c>
      <c r="I65" s="1"/>
      <c r="J65" s="5">
        <f t="shared" si="37"/>
        <v>1.033627441382427E-3</v>
      </c>
      <c r="K65" s="1"/>
      <c r="L65" s="1">
        <f t="shared" si="38"/>
        <v>1449.4199999999998</v>
      </c>
      <c r="M65" s="1"/>
      <c r="N65" s="5">
        <f t="shared" si="39"/>
        <v>0.99717240098243576</v>
      </c>
      <c r="O65" s="13"/>
      <c r="P65" s="1">
        <f>SUM(OSRRefP22_8x_0)</f>
        <v>17665.63</v>
      </c>
      <c r="Q65" s="1"/>
      <c r="R65" s="5">
        <f t="shared" si="40"/>
        <v>1.9231724774193366E-3</v>
      </c>
      <c r="S65" s="1"/>
      <c r="T65" s="1">
        <f>SUM(OSRRefT22_8x_0)</f>
        <v>12175.83</v>
      </c>
      <c r="U65" s="1"/>
      <c r="V65" s="5">
        <f t="shared" si="41"/>
        <v>1.3342280851407287E-3</v>
      </c>
      <c r="W65" s="1"/>
      <c r="X65" s="1">
        <f t="shared" si="42"/>
        <v>5489.8000000000011</v>
      </c>
      <c r="Y65" s="1"/>
      <c r="Z65" s="5">
        <f t="shared" si="43"/>
        <v>0.45087686014013018</v>
      </c>
    </row>
    <row r="66" spans="1:26" s="24" customFormat="1" hidden="1" outlineLevel="2" x14ac:dyDescent="0.25">
      <c r="A66" s="26"/>
      <c r="B66" s="11" t="str">
        <f>CONCATENATE("          ", "6351", " - ", "EQUIPMENT RENTAL")</f>
        <v xml:space="preserve">          6351 - EQUIPMENT RENTAL</v>
      </c>
      <c r="C66" s="11"/>
      <c r="D66" s="6">
        <v>2902.95</v>
      </c>
      <c r="E66" s="2"/>
      <c r="F66" s="7">
        <f t="shared" si="36"/>
        <v>2.3685914952148402E-3</v>
      </c>
      <c r="G66" s="2"/>
      <c r="H66" s="6">
        <v>1453.53</v>
      </c>
      <c r="I66" s="2"/>
      <c r="J66" s="7">
        <f t="shared" si="37"/>
        <v>1.033627441382427E-3</v>
      </c>
      <c r="K66" s="2"/>
      <c r="L66" s="6">
        <f t="shared" si="38"/>
        <v>1449.4199999999998</v>
      </c>
      <c r="M66" s="2"/>
      <c r="N66" s="7">
        <f t="shared" si="39"/>
        <v>0.99717240098243576</v>
      </c>
      <c r="O66" s="11"/>
      <c r="P66" s="6">
        <v>17665.63</v>
      </c>
      <c r="Q66" s="2"/>
      <c r="R66" s="7">
        <f t="shared" si="40"/>
        <v>1.9231724774193366E-3</v>
      </c>
      <c r="S66" s="2"/>
      <c r="T66" s="6">
        <v>12175.83</v>
      </c>
      <c r="U66" s="2"/>
      <c r="V66" s="7">
        <f t="shared" si="41"/>
        <v>1.3342280851407287E-3</v>
      </c>
      <c r="W66" s="2"/>
      <c r="X66" s="6">
        <f t="shared" si="42"/>
        <v>5489.8000000000011</v>
      </c>
      <c r="Y66" s="2"/>
      <c r="Z66" s="7">
        <f t="shared" si="43"/>
        <v>0.45087686014013018</v>
      </c>
    </row>
    <row r="67" spans="1:26" s="27" customFormat="1" outlineLevel="1" collapsed="1" x14ac:dyDescent="0.25">
      <c r="A67" s="25"/>
      <c r="B67" s="13" t="str">
        <f>CONCATENATE("     ","Freight out/Postage                               ")</f>
        <v xml:space="preserve">     Freight out/Postage                               </v>
      </c>
      <c r="C67" s="13"/>
      <c r="D67" s="1">
        <f>SUM(OSRRefD22_9x_0)</f>
        <v>0</v>
      </c>
      <c r="E67" s="1"/>
      <c r="F67" s="5">
        <f t="shared" si="36"/>
        <v>0</v>
      </c>
      <c r="G67" s="1"/>
      <c r="H67" s="1">
        <f>SUM(OSRRefH22_9x_0)</f>
        <v>0</v>
      </c>
      <c r="I67" s="1"/>
      <c r="J67" s="5">
        <f t="shared" si="37"/>
        <v>0</v>
      </c>
      <c r="K67" s="1"/>
      <c r="L67" s="1">
        <f t="shared" si="38"/>
        <v>0</v>
      </c>
      <c r="M67" s="1"/>
      <c r="N67" s="5">
        <f t="shared" si="39"/>
        <v>0</v>
      </c>
      <c r="O67" s="13"/>
      <c r="P67" s="1">
        <f>SUM(OSRRefP22_9x_0)</f>
        <v>0</v>
      </c>
      <c r="Q67" s="1"/>
      <c r="R67" s="5">
        <f t="shared" si="40"/>
        <v>0</v>
      </c>
      <c r="S67" s="1"/>
      <c r="T67" s="1">
        <f>SUM(OSRRefT22_9x_0)</f>
        <v>12.71</v>
      </c>
      <c r="U67" s="1"/>
      <c r="V67" s="5">
        <f t="shared" si="41"/>
        <v>1.3927624615437849E-6</v>
      </c>
      <c r="W67" s="1"/>
      <c r="X67" s="1">
        <f t="shared" si="42"/>
        <v>-12.71</v>
      </c>
      <c r="Y67" s="1"/>
      <c r="Z67" s="5">
        <f t="shared" si="43"/>
        <v>-1</v>
      </c>
    </row>
    <row r="68" spans="1:26" s="24" customFormat="1" hidden="1" outlineLevel="2" x14ac:dyDescent="0.25">
      <c r="A68" s="26"/>
      <c r="B68" s="11" t="str">
        <f>CONCATENATE("          ", "6307", " - ", "POSTAGE")</f>
        <v xml:space="preserve">          6307 - POSTAGE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/>
      <c r="Q68" s="2"/>
      <c r="R68" s="7">
        <f t="shared" si="40"/>
        <v>0</v>
      </c>
      <c r="S68" s="2"/>
      <c r="T68" s="6">
        <v>12.71</v>
      </c>
      <c r="U68" s="2"/>
      <c r="V68" s="7">
        <f t="shared" si="41"/>
        <v>1.3927624615437849E-6</v>
      </c>
      <c r="W68" s="2"/>
      <c r="X68" s="6">
        <f t="shared" si="42"/>
        <v>-12.71</v>
      </c>
      <c r="Y68" s="2"/>
      <c r="Z68" s="7">
        <f t="shared" si="43"/>
        <v>-1</v>
      </c>
    </row>
    <row r="69" spans="1:26" s="27" customFormat="1" outlineLevel="1" collapsed="1" x14ac:dyDescent="0.25">
      <c r="A69" s="25"/>
      <c r="B69" s="13" t="str">
        <f>CONCATENATE("     ","General                                           ")</f>
        <v xml:space="preserve">     General                                           </v>
      </c>
      <c r="C69" s="13"/>
      <c r="D69" s="1">
        <f>SUM(OSRRefD22_10x_0)</f>
        <v>4979.25</v>
      </c>
      <c r="E69" s="1"/>
      <c r="F69" s="5">
        <f t="shared" si="36"/>
        <v>4.0626980149670146E-3</v>
      </c>
      <c r="G69" s="1"/>
      <c r="H69" s="1">
        <f>SUM(OSRRefH22_10x_0)</f>
        <v>5715.59</v>
      </c>
      <c r="I69" s="1"/>
      <c r="J69" s="5">
        <f t="shared" si="37"/>
        <v>4.064443573707447E-3</v>
      </c>
      <c r="K69" s="1"/>
      <c r="L69" s="1">
        <f t="shared" si="38"/>
        <v>-736.34000000000015</v>
      </c>
      <c r="M69" s="1"/>
      <c r="N69" s="5">
        <f t="shared" si="39"/>
        <v>-0.12883009453092334</v>
      </c>
      <c r="O69" s="13"/>
      <c r="P69" s="1">
        <f>SUM(OSRRefP22_10x_0)</f>
        <v>72981.320000000007</v>
      </c>
      <c r="Q69" s="1"/>
      <c r="R69" s="5">
        <f t="shared" si="40"/>
        <v>7.9451265530713251E-3</v>
      </c>
      <c r="S69" s="1"/>
      <c r="T69" s="1">
        <f>SUM(OSRRefT22_10x_0)</f>
        <v>41307.379999999997</v>
      </c>
      <c r="U69" s="1"/>
      <c r="V69" s="5">
        <f t="shared" si="41"/>
        <v>4.526464850411055E-3</v>
      </c>
      <c r="W69" s="1"/>
      <c r="X69" s="1">
        <f t="shared" si="42"/>
        <v>31673.94000000001</v>
      </c>
      <c r="Y69" s="1"/>
      <c r="Z69" s="5">
        <f t="shared" si="43"/>
        <v>0.76678646769657166</v>
      </c>
    </row>
    <row r="70" spans="1:26" s="24" customFormat="1" hidden="1" outlineLevel="2" x14ac:dyDescent="0.25">
      <c r="A70" s="26"/>
      <c r="B70" s="11" t="str">
        <f>CONCATENATE("          ", "6269", " - ", "ENTERTAINMENT")</f>
        <v xml:space="preserve">          6269 - ENTERTAINMENT</v>
      </c>
      <c r="C70" s="11"/>
      <c r="D70" s="6">
        <v>1250</v>
      </c>
      <c r="E70" s="2"/>
      <c r="F70" s="7">
        <f t="shared" si="36"/>
        <v>1.0199071182826266E-3</v>
      </c>
      <c r="G70" s="2"/>
      <c r="H70" s="6">
        <v>500</v>
      </c>
      <c r="I70" s="2"/>
      <c r="J70" s="7">
        <f t="shared" si="37"/>
        <v>3.5555765666426804E-4</v>
      </c>
      <c r="K70" s="2"/>
      <c r="L70" s="6">
        <f t="shared" si="38"/>
        <v>750</v>
      </c>
      <c r="M70" s="2"/>
      <c r="N70" s="7">
        <f t="shared" si="39"/>
        <v>1.5</v>
      </c>
      <c r="O70" s="11"/>
      <c r="P70" s="6">
        <v>7350</v>
      </c>
      <c r="Q70" s="2"/>
      <c r="R70" s="7">
        <f t="shared" si="40"/>
        <v>8.0015927589517741E-4</v>
      </c>
      <c r="S70" s="2"/>
      <c r="T70" s="6">
        <v>4860</v>
      </c>
      <c r="U70" s="2"/>
      <c r="V70" s="7">
        <f t="shared" si="41"/>
        <v>5.3255905295852043E-4</v>
      </c>
      <c r="W70" s="2"/>
      <c r="X70" s="6">
        <f t="shared" si="42"/>
        <v>2490</v>
      </c>
      <c r="Y70" s="2"/>
      <c r="Z70" s="7">
        <f t="shared" si="43"/>
        <v>0.51234567901234573</v>
      </c>
    </row>
    <row r="71" spans="1:26" s="24" customFormat="1" hidden="1" outlineLevel="2" x14ac:dyDescent="0.25">
      <c r="A71" s="26"/>
      <c r="B71" s="11" t="str">
        <f>CONCATENATE("          ", "6279", " - ", "GENERAL EXPENSE")</f>
        <v xml:space="preserve">          6279 - GENERAL EXPENSE</v>
      </c>
      <c r="C71" s="11"/>
      <c r="D71" s="6">
        <v>3729.25</v>
      </c>
      <c r="E71" s="2"/>
      <c r="F71" s="7">
        <f t="shared" si="36"/>
        <v>3.0427908966843878E-3</v>
      </c>
      <c r="G71" s="2"/>
      <c r="H71" s="6">
        <v>5215.59</v>
      </c>
      <c r="I71" s="2"/>
      <c r="J71" s="7">
        <f t="shared" si="37"/>
        <v>3.7088859170431795E-3</v>
      </c>
      <c r="K71" s="2"/>
      <c r="L71" s="6">
        <f t="shared" si="38"/>
        <v>-1486.3400000000001</v>
      </c>
      <c r="M71" s="2"/>
      <c r="N71" s="7">
        <f t="shared" si="39"/>
        <v>-0.2849802227552396</v>
      </c>
      <c r="O71" s="11"/>
      <c r="P71" s="6">
        <v>65631.320000000007</v>
      </c>
      <c r="Q71" s="2"/>
      <c r="R71" s="7">
        <f t="shared" si="40"/>
        <v>7.1449672771761478E-3</v>
      </c>
      <c r="S71" s="2"/>
      <c r="T71" s="6">
        <v>36447.379999999997</v>
      </c>
      <c r="U71" s="2"/>
      <c r="V71" s="7">
        <f t="shared" si="41"/>
        <v>3.9939057974525344E-3</v>
      </c>
      <c r="W71" s="2"/>
      <c r="X71" s="6">
        <f t="shared" si="42"/>
        <v>29183.94000000001</v>
      </c>
      <c r="Y71" s="2"/>
      <c r="Z71" s="7">
        <f t="shared" si="43"/>
        <v>0.80071434489941418</v>
      </c>
    </row>
    <row r="72" spans="1:26" s="27" customFormat="1" outlineLevel="1" collapsed="1" x14ac:dyDescent="0.25">
      <c r="A72" s="25"/>
      <c r="B72" s="13" t="str">
        <f>CONCATENATE("     ","Insurance                                         ")</f>
        <v xml:space="preserve">     Insurance                                         </v>
      </c>
      <c r="C72" s="13"/>
      <c r="D72" s="1">
        <f>SUM(OSRRefD22_11x_0)</f>
        <v>4246.03</v>
      </c>
      <c r="E72" s="1"/>
      <c r="F72" s="5">
        <f t="shared" ref="F72:F85" si="44">IF(D$12=0,0,D72/D$12)</f>
        <v>3.4644449771532642E-3</v>
      </c>
      <c r="G72" s="1"/>
      <c r="H72" s="1">
        <f>SUM(OSRRefH22_11x_0)</f>
        <v>3998.11</v>
      </c>
      <c r="I72" s="1"/>
      <c r="J72" s="5">
        <f t="shared" ref="J72:J85" si="45">IF(H$12=0,0,H72/H$12)</f>
        <v>2.8431172453719533E-3</v>
      </c>
      <c r="K72" s="1"/>
      <c r="L72" s="1">
        <f t="shared" ref="L72:L85" si="46">+D72-H72</f>
        <v>247.91999999999962</v>
      </c>
      <c r="M72" s="1"/>
      <c r="N72" s="5">
        <f t="shared" ref="N72:N85" si="47">IF(H72=0,0,L72/H72)</f>
        <v>6.2009299393963553E-2</v>
      </c>
      <c r="O72" s="13"/>
      <c r="P72" s="1">
        <f>SUM(OSRRefP22_11x_0)</f>
        <v>25476.18</v>
      </c>
      <c r="Q72" s="1"/>
      <c r="R72" s="5">
        <f t="shared" ref="R72:R85" si="48">IF(P$12=0,0,P72/P$12)</f>
        <v>2.7734696246768981E-3</v>
      </c>
      <c r="S72" s="1"/>
      <c r="T72" s="1">
        <f>SUM(OSRRefT22_11x_0)</f>
        <v>28576.66</v>
      </c>
      <c r="U72" s="1"/>
      <c r="V72" s="5">
        <f t="shared" ref="V72:V85" si="49">IF(T$12=0,0,T72/T$12)</f>
        <v>3.1314318901888133E-3</v>
      </c>
      <c r="W72" s="1"/>
      <c r="X72" s="1">
        <f t="shared" ref="X72:X85" si="50">+P72-T72</f>
        <v>-3100.4799999999996</v>
      </c>
      <c r="Y72" s="1"/>
      <c r="Z72" s="5">
        <f t="shared" ref="Z72:Z85" si="51">IF(T72=0,0,X72/T72)</f>
        <v>-0.10849693421134589</v>
      </c>
    </row>
    <row r="73" spans="1:26" s="24" customFormat="1" hidden="1" outlineLevel="2" x14ac:dyDescent="0.25">
      <c r="A73" s="26"/>
      <c r="B73" s="11" t="str">
        <f>CONCATENATE("          ", "6314", " - ", "LIABILITY INSURANCE")</f>
        <v xml:space="preserve">          6314 - LIABILITY INSURANCE</v>
      </c>
      <c r="C73" s="11"/>
      <c r="D73" s="6">
        <v>4246.03</v>
      </c>
      <c r="E73" s="2"/>
      <c r="F73" s="7">
        <f t="shared" si="44"/>
        <v>3.4644449771532642E-3</v>
      </c>
      <c r="G73" s="2"/>
      <c r="H73" s="6">
        <v>3998.11</v>
      </c>
      <c r="I73" s="2"/>
      <c r="J73" s="7">
        <f t="shared" si="45"/>
        <v>2.8431172453719533E-3</v>
      </c>
      <c r="K73" s="2"/>
      <c r="L73" s="6">
        <f t="shared" si="46"/>
        <v>247.91999999999962</v>
      </c>
      <c r="M73" s="2"/>
      <c r="N73" s="7">
        <f t="shared" si="47"/>
        <v>6.2009299393963553E-2</v>
      </c>
      <c r="O73" s="11"/>
      <c r="P73" s="6">
        <v>25476.18</v>
      </c>
      <c r="Q73" s="2"/>
      <c r="R73" s="7">
        <f t="shared" si="48"/>
        <v>2.7734696246768981E-3</v>
      </c>
      <c r="S73" s="2"/>
      <c r="T73" s="6">
        <v>28576.66</v>
      </c>
      <c r="U73" s="2"/>
      <c r="V73" s="7">
        <f t="shared" si="49"/>
        <v>3.1314318901888133E-3</v>
      </c>
      <c r="W73" s="2"/>
      <c r="X73" s="6">
        <f t="shared" si="50"/>
        <v>-3100.4799999999996</v>
      </c>
      <c r="Y73" s="2"/>
      <c r="Z73" s="7">
        <f t="shared" si="51"/>
        <v>-0.10849693421134589</v>
      </c>
    </row>
    <row r="74" spans="1:26" s="27" customFormat="1" outlineLevel="1" collapsed="1" x14ac:dyDescent="0.25">
      <c r="A74" s="25"/>
      <c r="B74" s="13" t="str">
        <f>CONCATENATE("     ","Interest                                          ")</f>
        <v xml:space="preserve">     Interest                                          </v>
      </c>
      <c r="C74" s="13"/>
      <c r="D74" s="1">
        <f>SUM(OSRRefD22_12x_0)</f>
        <v>7754</v>
      </c>
      <c r="E74" s="1"/>
      <c r="F74" s="5">
        <f t="shared" si="44"/>
        <v>6.3266878361307888E-3</v>
      </c>
      <c r="G74" s="1"/>
      <c r="H74" s="1">
        <f>SUM(OSRRefH22_12x_0)</f>
        <v>7949</v>
      </c>
      <c r="I74" s="1"/>
      <c r="J74" s="5">
        <f t="shared" si="45"/>
        <v>5.6526556256485333E-3</v>
      </c>
      <c r="K74" s="1"/>
      <c r="L74" s="1">
        <f t="shared" si="46"/>
        <v>-195</v>
      </c>
      <c r="M74" s="1"/>
      <c r="N74" s="5">
        <f t="shared" si="47"/>
        <v>-2.4531387595924017E-2</v>
      </c>
      <c r="O74" s="13"/>
      <c r="P74" s="1">
        <f>SUM(OSRRefP22_12x_0)</f>
        <v>46131.049999999996</v>
      </c>
      <c r="Q74" s="1"/>
      <c r="R74" s="5">
        <f t="shared" si="48"/>
        <v>5.0220663352767651E-3</v>
      </c>
      <c r="S74" s="1"/>
      <c r="T74" s="1">
        <f>SUM(OSRRefT22_12x_0)</f>
        <v>47294.1</v>
      </c>
      <c r="U74" s="1"/>
      <c r="V74" s="5">
        <f t="shared" si="49"/>
        <v>5.1824899396143128E-3</v>
      </c>
      <c r="W74" s="1"/>
      <c r="X74" s="1">
        <f t="shared" si="50"/>
        <v>-1163.0500000000029</v>
      </c>
      <c r="Y74" s="1"/>
      <c r="Z74" s="5">
        <f t="shared" si="51"/>
        <v>-2.4591862409898971E-2</v>
      </c>
    </row>
    <row r="75" spans="1:26" s="24" customFormat="1" hidden="1" outlineLevel="2" x14ac:dyDescent="0.25">
      <c r="A75" s="26"/>
      <c r="B75" s="11" t="str">
        <f>CONCATENATE("          ", "6401", " - ", "INTEREST EXPENSE")</f>
        <v xml:space="preserve">          6401 - INTEREST EXPENSE</v>
      </c>
      <c r="C75" s="11"/>
      <c r="D75" s="6">
        <v>7754</v>
      </c>
      <c r="E75" s="2"/>
      <c r="F75" s="7">
        <f t="shared" si="44"/>
        <v>6.3266878361307888E-3</v>
      </c>
      <c r="G75" s="2"/>
      <c r="H75" s="6">
        <v>7949</v>
      </c>
      <c r="I75" s="2"/>
      <c r="J75" s="7">
        <f t="shared" si="45"/>
        <v>5.6526556256485333E-3</v>
      </c>
      <c r="K75" s="2"/>
      <c r="L75" s="6">
        <f t="shared" si="46"/>
        <v>-195</v>
      </c>
      <c r="M75" s="2"/>
      <c r="N75" s="7">
        <f t="shared" si="47"/>
        <v>-2.4531387595924017E-2</v>
      </c>
      <c r="O75" s="11"/>
      <c r="P75" s="6">
        <v>46131.049999999996</v>
      </c>
      <c r="Q75" s="2"/>
      <c r="R75" s="7">
        <f t="shared" si="48"/>
        <v>5.0220663352767651E-3</v>
      </c>
      <c r="S75" s="2"/>
      <c r="T75" s="6">
        <v>47294.1</v>
      </c>
      <c r="U75" s="2"/>
      <c r="V75" s="7">
        <f t="shared" si="49"/>
        <v>5.1824899396143128E-3</v>
      </c>
      <c r="W75" s="2"/>
      <c r="X75" s="6">
        <f t="shared" si="50"/>
        <v>-1163.0500000000029</v>
      </c>
      <c r="Y75" s="2"/>
      <c r="Z75" s="7">
        <f t="shared" si="51"/>
        <v>-2.4591862409898971E-2</v>
      </c>
    </row>
    <row r="76" spans="1:26" s="27" customFormat="1" outlineLevel="1" collapsed="1" x14ac:dyDescent="0.25">
      <c r="A76" s="25"/>
      <c r="B76" s="13" t="str">
        <f>CONCATENATE("     ","Professional Services                             ")</f>
        <v xml:space="preserve">     Professional Services                             </v>
      </c>
      <c r="C76" s="13"/>
      <c r="D76" s="1">
        <f>SUM(OSRRefD22_13x_0)</f>
        <v>0</v>
      </c>
      <c r="E76" s="1"/>
      <c r="F76" s="5">
        <f t="shared" si="44"/>
        <v>0</v>
      </c>
      <c r="G76" s="1"/>
      <c r="H76" s="1">
        <f>SUM(OSRRefH22_13x_0)</f>
        <v>0</v>
      </c>
      <c r="I76" s="1"/>
      <c r="J76" s="5">
        <f t="shared" si="45"/>
        <v>0</v>
      </c>
      <c r="K76" s="1"/>
      <c r="L76" s="1">
        <f t="shared" si="46"/>
        <v>0</v>
      </c>
      <c r="M76" s="1"/>
      <c r="N76" s="5">
        <f t="shared" si="47"/>
        <v>0</v>
      </c>
      <c r="O76" s="13"/>
      <c r="P76" s="1">
        <f>SUM(OSRRefP22_13x_0)</f>
        <v>125</v>
      </c>
      <c r="Q76" s="1"/>
      <c r="R76" s="5">
        <f t="shared" si="48"/>
        <v>1.3608150950598256E-5</v>
      </c>
      <c r="S76" s="1"/>
      <c r="T76" s="1">
        <f>SUM(OSRRefT22_13x_0)</f>
        <v>0</v>
      </c>
      <c r="U76" s="1"/>
      <c r="V76" s="5">
        <f t="shared" si="49"/>
        <v>0</v>
      </c>
      <c r="W76" s="1"/>
      <c r="X76" s="1">
        <f t="shared" si="50"/>
        <v>125</v>
      </c>
      <c r="Y76" s="1"/>
      <c r="Z76" s="5">
        <f t="shared" si="51"/>
        <v>0</v>
      </c>
    </row>
    <row r="77" spans="1:26" s="24" customFormat="1" hidden="1" outlineLevel="2" x14ac:dyDescent="0.25">
      <c r="A77" s="26"/>
      <c r="B77" s="11" t="str">
        <f>CONCATENATE("          ", "6336", " - ", "PROFESSIONAL SERVICES")</f>
        <v xml:space="preserve">          6336 - PROFESSIONAL SERVICES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125</v>
      </c>
      <c r="Q77" s="2"/>
      <c r="R77" s="7">
        <f t="shared" si="48"/>
        <v>1.3608150950598256E-5</v>
      </c>
      <c r="S77" s="2"/>
      <c r="T77" s="6"/>
      <c r="U77" s="2"/>
      <c r="V77" s="7">
        <f t="shared" si="49"/>
        <v>0</v>
      </c>
      <c r="W77" s="2"/>
      <c r="X77" s="6">
        <f t="shared" si="50"/>
        <v>125</v>
      </c>
      <c r="Y77" s="2"/>
      <c r="Z77" s="7">
        <f t="shared" si="51"/>
        <v>0</v>
      </c>
    </row>
    <row r="78" spans="1:26" s="27" customFormat="1" outlineLevel="1" collapsed="1" x14ac:dyDescent="0.25">
      <c r="A78" s="25"/>
      <c r="B78" s="13" t="str">
        <f>CONCATENATE("     ","R/H Commissions                                   ")</f>
        <v xml:space="preserve">     R/H Commissions                                   </v>
      </c>
      <c r="C78" s="13"/>
      <c r="D78" s="1">
        <f>SUM(OSRRefD22_14x_0)</f>
        <v>64695.709999999992</v>
      </c>
      <c r="E78" s="1"/>
      <c r="F78" s="5">
        <f t="shared" si="44"/>
        <v>5.2786892121078795E-2</v>
      </c>
      <c r="G78" s="1"/>
      <c r="H78" s="1">
        <f>SUM(OSRRefH22_14x_0)</f>
        <v>72216.760000000009</v>
      </c>
      <c r="I78" s="1"/>
      <c r="J78" s="5">
        <f t="shared" si="45"/>
        <v>5.1354443914971695E-2</v>
      </c>
      <c r="K78" s="1"/>
      <c r="L78" s="1">
        <f t="shared" si="46"/>
        <v>-7521.0500000000175</v>
      </c>
      <c r="M78" s="1"/>
      <c r="N78" s="5">
        <f t="shared" si="47"/>
        <v>-0.1041454919882866</v>
      </c>
      <c r="O78" s="13"/>
      <c r="P78" s="1">
        <f>SUM(OSRRefP22_14x_0)</f>
        <v>471590.87</v>
      </c>
      <c r="Q78" s="1"/>
      <c r="R78" s="5">
        <f t="shared" si="48"/>
        <v>5.1339837967071665E-2</v>
      </c>
      <c r="S78" s="1"/>
      <c r="T78" s="1">
        <f>SUM(OSRRefT22_14x_0)</f>
        <v>449498.97000000003</v>
      </c>
      <c r="U78" s="1"/>
      <c r="V78" s="5">
        <f t="shared" si="49"/>
        <v>4.9256120528607075E-2</v>
      </c>
      <c r="W78" s="1"/>
      <c r="X78" s="1">
        <f t="shared" si="50"/>
        <v>22091.899999999965</v>
      </c>
      <c r="Y78" s="1"/>
      <c r="Z78" s="5">
        <f t="shared" si="51"/>
        <v>4.9147832307602314E-2</v>
      </c>
    </row>
    <row r="79" spans="1:26" s="24" customFormat="1" hidden="1" outlineLevel="2" x14ac:dyDescent="0.25">
      <c r="A79" s="26"/>
      <c r="B79" s="11" t="str">
        <f>CONCATENATE("          ", "6387", " - ", "COMMISSION DUE HOUSING")</f>
        <v xml:space="preserve">          6387 - COMMISSION DUE HOUSING</v>
      </c>
      <c r="C79" s="11"/>
      <c r="D79" s="6">
        <v>64695.709999999992</v>
      </c>
      <c r="E79" s="2"/>
      <c r="F79" s="7">
        <f t="shared" si="44"/>
        <v>5.2786892121078795E-2</v>
      </c>
      <c r="G79" s="2"/>
      <c r="H79" s="6">
        <v>72216.760000000009</v>
      </c>
      <c r="I79" s="2"/>
      <c r="J79" s="7">
        <f t="shared" si="45"/>
        <v>5.1354443914971695E-2</v>
      </c>
      <c r="K79" s="2"/>
      <c r="L79" s="6">
        <f t="shared" si="46"/>
        <v>-7521.0500000000175</v>
      </c>
      <c r="M79" s="2"/>
      <c r="N79" s="7">
        <f t="shared" si="47"/>
        <v>-0.1041454919882866</v>
      </c>
      <c r="O79" s="11"/>
      <c r="P79" s="6">
        <v>471590.87</v>
      </c>
      <c r="Q79" s="2"/>
      <c r="R79" s="7">
        <f t="shared" si="48"/>
        <v>5.1339837967071665E-2</v>
      </c>
      <c r="S79" s="2"/>
      <c r="T79" s="6">
        <v>449498.97000000003</v>
      </c>
      <c r="U79" s="2"/>
      <c r="V79" s="7">
        <f t="shared" si="49"/>
        <v>4.9256120528607075E-2</v>
      </c>
      <c r="W79" s="2"/>
      <c r="X79" s="6">
        <f t="shared" si="50"/>
        <v>22091.899999999965</v>
      </c>
      <c r="Y79" s="2"/>
      <c r="Z79" s="7">
        <f t="shared" si="51"/>
        <v>4.9147832307602314E-2</v>
      </c>
    </row>
    <row r="80" spans="1:26" s="27" customFormat="1" outlineLevel="1" collapsed="1" x14ac:dyDescent="0.25">
      <c r="A80" s="25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SUM(OSRRefD22_15x_0)</f>
        <v>1850</v>
      </c>
      <c r="E80" s="1"/>
      <c r="F80" s="5">
        <f t="shared" si="44"/>
        <v>1.5094625350582872E-3</v>
      </c>
      <c r="G80" s="1"/>
      <c r="H80" s="1">
        <f>SUM(OSRRefH22_15x_0)</f>
        <v>1850</v>
      </c>
      <c r="I80" s="1"/>
      <c r="J80" s="5">
        <f t="shared" si="45"/>
        <v>1.3155633296577916E-3</v>
      </c>
      <c r="K80" s="1"/>
      <c r="L80" s="1">
        <f t="shared" si="46"/>
        <v>0</v>
      </c>
      <c r="M80" s="1"/>
      <c r="N80" s="5">
        <f t="shared" si="47"/>
        <v>0</v>
      </c>
      <c r="O80" s="13"/>
      <c r="P80" s="1">
        <f>SUM(OSRRefP22_15x_0)</f>
        <v>11100</v>
      </c>
      <c r="Q80" s="1"/>
      <c r="R80" s="5">
        <f t="shared" si="48"/>
        <v>1.2084038044131251E-3</v>
      </c>
      <c r="S80" s="1"/>
      <c r="T80" s="1">
        <f>SUM(OSRRefT22_15x_0)</f>
        <v>11100</v>
      </c>
      <c r="U80" s="1"/>
      <c r="V80" s="5">
        <f t="shared" si="49"/>
        <v>1.2163385777447689E-3</v>
      </c>
      <c r="W80" s="1"/>
      <c r="X80" s="1">
        <f t="shared" si="50"/>
        <v>0</v>
      </c>
      <c r="Y80" s="1"/>
      <c r="Z80" s="5">
        <f t="shared" si="51"/>
        <v>0</v>
      </c>
    </row>
    <row r="81" spans="1:26" s="24" customFormat="1" hidden="1" outlineLevel="2" x14ac:dyDescent="0.25">
      <c r="A81" s="26"/>
      <c r="B81" s="11" t="str">
        <f>CONCATENATE("          ", "6273", " - ", "RENT")</f>
        <v xml:space="preserve">          6273 - RENT</v>
      </c>
      <c r="C81" s="11"/>
      <c r="D81" s="6">
        <v>1850</v>
      </c>
      <c r="E81" s="2"/>
      <c r="F81" s="7">
        <f t="shared" si="44"/>
        <v>1.5094625350582872E-3</v>
      </c>
      <c r="G81" s="2"/>
      <c r="H81" s="6">
        <v>1850</v>
      </c>
      <c r="I81" s="2"/>
      <c r="J81" s="7">
        <f t="shared" si="45"/>
        <v>1.3155633296577916E-3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11100</v>
      </c>
      <c r="Q81" s="2"/>
      <c r="R81" s="7">
        <f t="shared" si="48"/>
        <v>1.2084038044131251E-3</v>
      </c>
      <c r="S81" s="2"/>
      <c r="T81" s="6">
        <v>11100</v>
      </c>
      <c r="U81" s="2"/>
      <c r="V81" s="7">
        <f t="shared" si="49"/>
        <v>1.2163385777447689E-3</v>
      </c>
      <c r="W81" s="2"/>
      <c r="X81" s="6">
        <f t="shared" si="50"/>
        <v>0</v>
      </c>
      <c r="Y81" s="2"/>
      <c r="Z81" s="7">
        <f t="shared" si="51"/>
        <v>0</v>
      </c>
    </row>
    <row r="82" spans="1:26" s="27" customFormat="1" outlineLevel="1" collapsed="1" x14ac:dyDescent="0.25">
      <c r="A82" s="25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SUM(OSRRefD22_16x_0)</f>
        <v>26144.89</v>
      </c>
      <c r="E82" s="1"/>
      <c r="F82" s="5">
        <f t="shared" si="44"/>
        <v>2.1332287534173006E-2</v>
      </c>
      <c r="G82" s="1"/>
      <c r="H82" s="1">
        <f>SUM(OSRRefH22_16x_0)</f>
        <v>24909.88</v>
      </c>
      <c r="I82" s="1"/>
      <c r="J82" s="5">
        <f t="shared" si="45"/>
        <v>1.7713797121176236E-2</v>
      </c>
      <c r="K82" s="1"/>
      <c r="L82" s="1">
        <f t="shared" si="46"/>
        <v>1235.0099999999984</v>
      </c>
      <c r="M82" s="1"/>
      <c r="N82" s="5">
        <f t="shared" si="47"/>
        <v>4.9579122821948492E-2</v>
      </c>
      <c r="O82" s="13"/>
      <c r="P82" s="1">
        <f>SUM(OSRRefP22_16x_0)</f>
        <v>168259.66</v>
      </c>
      <c r="Q82" s="1"/>
      <c r="R82" s="5">
        <f t="shared" si="48"/>
        <v>1.8317622817410714E-2</v>
      </c>
      <c r="S82" s="1"/>
      <c r="T82" s="1">
        <f>SUM(OSRRefT22_16x_0)</f>
        <v>177290.74</v>
      </c>
      <c r="U82" s="1"/>
      <c r="V82" s="5">
        <f t="shared" si="49"/>
        <v>1.9427528517019604E-2</v>
      </c>
      <c r="W82" s="1"/>
      <c r="X82" s="1">
        <f t="shared" si="50"/>
        <v>-9031.0799999999872</v>
      </c>
      <c r="Y82" s="1"/>
      <c r="Z82" s="5">
        <f t="shared" si="51"/>
        <v>-5.0939377882905715E-2</v>
      </c>
    </row>
    <row r="83" spans="1:26" s="24" customFormat="1" hidden="1" outlineLevel="2" x14ac:dyDescent="0.25">
      <c r="A83" s="26"/>
      <c r="B83" s="11" t="str">
        <f>CONCATENATE("          ", "6371", " - ", "COMPUTER SOFTWARE MAINTENANCE")</f>
        <v xml:space="preserve">          6371 - COMPUTER SOFTWARE MAINTENANCE</v>
      </c>
      <c r="C83" s="11"/>
      <c r="D83" s="6"/>
      <c r="E83" s="2"/>
      <c r="F83" s="7">
        <f t="shared" si="44"/>
        <v>0</v>
      </c>
      <c r="G83" s="2"/>
      <c r="H83" s="6">
        <v>2837.26</v>
      </c>
      <c r="I83" s="2"/>
      <c r="J83" s="7">
        <f t="shared" si="45"/>
        <v>2.0176190338945222E-3</v>
      </c>
      <c r="K83" s="2"/>
      <c r="L83" s="6">
        <f t="shared" si="46"/>
        <v>-2837.26</v>
      </c>
      <c r="M83" s="2"/>
      <c r="N83" s="7">
        <f t="shared" si="47"/>
        <v>-1</v>
      </c>
      <c r="O83" s="11"/>
      <c r="P83" s="6">
        <v>33750.620000000003</v>
      </c>
      <c r="Q83" s="2"/>
      <c r="R83" s="7">
        <f t="shared" si="48"/>
        <v>3.6742682530902446E-3</v>
      </c>
      <c r="S83" s="2"/>
      <c r="T83" s="6">
        <v>26992.76</v>
      </c>
      <c r="U83" s="2"/>
      <c r="V83" s="7">
        <f t="shared" si="49"/>
        <v>2.9578680457482778E-3</v>
      </c>
      <c r="W83" s="2"/>
      <c r="X83" s="6">
        <f t="shared" si="50"/>
        <v>6757.8600000000042</v>
      </c>
      <c r="Y83" s="2"/>
      <c r="Z83" s="7">
        <f t="shared" si="51"/>
        <v>0.25035824421066999</v>
      </c>
    </row>
    <row r="84" spans="1:26" s="24" customFormat="1" hidden="1" outlineLevel="2" x14ac:dyDescent="0.25">
      <c r="A84" s="26"/>
      <c r="B84" s="11" t="str">
        <f>CONCATENATE("          ", "6373", " - ", "MAINTENANCE CONTRACTS")</f>
        <v xml:space="preserve">          6373 - MAINTENANCE CONTRACTS</v>
      </c>
      <c r="C84" s="11"/>
      <c r="D84" s="6">
        <v>17476.52</v>
      </c>
      <c r="E84" s="2"/>
      <c r="F84" s="7">
        <f t="shared" si="44"/>
        <v>1.4259541720646951E-2</v>
      </c>
      <c r="G84" s="2"/>
      <c r="H84" s="6">
        <v>7815.87</v>
      </c>
      <c r="I84" s="2"/>
      <c r="J84" s="7">
        <f t="shared" si="45"/>
        <v>5.5579848439851051E-3</v>
      </c>
      <c r="K84" s="2"/>
      <c r="L84" s="6">
        <f t="shared" si="46"/>
        <v>9660.6500000000015</v>
      </c>
      <c r="M84" s="2"/>
      <c r="N84" s="7">
        <f t="shared" si="47"/>
        <v>1.2360300260879469</v>
      </c>
      <c r="O84" s="11"/>
      <c r="P84" s="6">
        <v>58803.44</v>
      </c>
      <c r="Q84" s="2"/>
      <c r="R84" s="7">
        <f t="shared" si="48"/>
        <v>6.4016487034755801E-3</v>
      </c>
      <c r="S84" s="2"/>
      <c r="T84" s="6">
        <v>69459.459999999992</v>
      </c>
      <c r="U84" s="2"/>
      <c r="V84" s="7">
        <f t="shared" si="49"/>
        <v>7.6113712421008693E-3</v>
      </c>
      <c r="W84" s="2"/>
      <c r="X84" s="6">
        <f t="shared" si="50"/>
        <v>-10656.01999999999</v>
      </c>
      <c r="Y84" s="2"/>
      <c r="Z84" s="7">
        <f t="shared" si="51"/>
        <v>-0.15341351631584799</v>
      </c>
    </row>
    <row r="85" spans="1:26" s="24" customFormat="1" hidden="1" outlineLevel="2" x14ac:dyDescent="0.25">
      <c r="A85" s="26"/>
      <c r="B85" s="11" t="str">
        <f>CONCATENATE("          ", "6375", " - ", "OUTSIDE REPAIRS &amp; MAINTENANCE")</f>
        <v xml:space="preserve">          6375 - OUTSIDE REPAIRS &amp; MAINTENANCE</v>
      </c>
      <c r="C85" s="11"/>
      <c r="D85" s="6">
        <v>8668.3700000000008</v>
      </c>
      <c r="E85" s="2"/>
      <c r="F85" s="7">
        <f t="shared" si="44"/>
        <v>7.0727458135260574E-3</v>
      </c>
      <c r="G85" s="2"/>
      <c r="H85" s="6">
        <v>14256.75</v>
      </c>
      <c r="I85" s="2"/>
      <c r="J85" s="7">
        <f t="shared" si="45"/>
        <v>1.0138193243296605E-2</v>
      </c>
      <c r="K85" s="2"/>
      <c r="L85" s="6">
        <f t="shared" si="46"/>
        <v>-5588.3799999999992</v>
      </c>
      <c r="M85" s="2"/>
      <c r="N85" s="7">
        <f t="shared" si="47"/>
        <v>-0.39198134217125213</v>
      </c>
      <c r="O85" s="11"/>
      <c r="P85" s="6">
        <v>75705.600000000006</v>
      </c>
      <c r="Q85" s="2"/>
      <c r="R85" s="7">
        <f t="shared" si="48"/>
        <v>8.2417058608448921E-3</v>
      </c>
      <c r="S85" s="2"/>
      <c r="T85" s="6">
        <v>80838.52</v>
      </c>
      <c r="U85" s="2"/>
      <c r="V85" s="7">
        <f t="shared" si="49"/>
        <v>8.8582892291704553E-3</v>
      </c>
      <c r="W85" s="2"/>
      <c r="X85" s="6">
        <f t="shared" si="50"/>
        <v>-5132.9199999999983</v>
      </c>
      <c r="Y85" s="2"/>
      <c r="Z85" s="7">
        <f t="shared" si="51"/>
        <v>-6.3495967021662422E-2</v>
      </c>
    </row>
    <row r="86" spans="1:26" s="27" customFormat="1" outlineLevel="1" collapsed="1" x14ac:dyDescent="0.25">
      <c r="A86" s="25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SUM(OSRRefD22_17x_0)</f>
        <v>18952.580000000002</v>
      </c>
      <c r="E86" s="1"/>
      <c r="F86" s="5">
        <f t="shared" ref="F86:F88" si="52">IF(D$12=0,0,D86/D$12)</f>
        <v>1.5463897001456754E-2</v>
      </c>
      <c r="G86" s="1"/>
      <c r="H86" s="1">
        <f>SUM(OSRRefH22_17x_0)</f>
        <v>30032.019999999997</v>
      </c>
      <c r="I86" s="1"/>
      <c r="J86" s="5">
        <f t="shared" ref="J86:J88" si="53">IF(H$12=0,0,H86/H$12)</f>
        <v>2.1356229312188859E-2</v>
      </c>
      <c r="K86" s="1"/>
      <c r="L86" s="1">
        <f t="shared" ref="L86:L88" si="54">+D86-H86</f>
        <v>-11079.439999999995</v>
      </c>
      <c r="M86" s="1"/>
      <c r="N86" s="5">
        <f t="shared" ref="N86:N88" si="55">IF(H86=0,0,L86/H86)</f>
        <v>-0.36892090508730335</v>
      </c>
      <c r="O86" s="13"/>
      <c r="P86" s="1">
        <f>SUM(OSRRefP22_17x_0)</f>
        <v>133672.18</v>
      </c>
      <c r="Q86" s="1"/>
      <c r="R86" s="5">
        <f t="shared" ref="R86:R88" si="56">IF(P$12=0,0,P86/P$12)</f>
        <v>1.4552249626684329E-2</v>
      </c>
      <c r="S86" s="1"/>
      <c r="T86" s="1">
        <f>SUM(OSRRefT22_17x_0)</f>
        <v>146297.59000000003</v>
      </c>
      <c r="U86" s="1"/>
      <c r="V86" s="5">
        <f t="shared" ref="V86:V88" si="57">IF(T$12=0,0,T86/T$12)</f>
        <v>1.6031297526854716E-2</v>
      </c>
      <c r="W86" s="1"/>
      <c r="X86" s="1">
        <f t="shared" ref="X86:X88" si="58">+P86-T86</f>
        <v>-12625.410000000033</v>
      </c>
      <c r="Y86" s="1"/>
      <c r="Z86" s="5">
        <f t="shared" ref="Z86:Z88" si="59">IF(T86=0,0,X86/T86)</f>
        <v>-8.6299507736252043E-2</v>
      </c>
    </row>
    <row r="87" spans="1:26" s="24" customFormat="1" hidden="1" outlineLevel="2" x14ac:dyDescent="0.25">
      <c r="A87" s="26"/>
      <c r="B87" s="11" t="str">
        <f>CONCATENATE("          ", "6254", " - ", "ROYALTY &amp; COMMISSIONS")</f>
        <v xml:space="preserve">          6254 - ROYALTY &amp; COMMISSIONS</v>
      </c>
      <c r="C87" s="11"/>
      <c r="D87" s="6">
        <v>8040.34</v>
      </c>
      <c r="E87" s="2"/>
      <c r="F87" s="7">
        <f t="shared" si="52"/>
        <v>6.5603199995300267E-3</v>
      </c>
      <c r="G87" s="2"/>
      <c r="H87" s="6">
        <v>17642.419999999998</v>
      </c>
      <c r="I87" s="2"/>
      <c r="J87" s="7">
        <f t="shared" si="53"/>
        <v>1.2545795026173629E-2</v>
      </c>
      <c r="K87" s="2"/>
      <c r="L87" s="6">
        <f t="shared" si="54"/>
        <v>-9602.0799999999981</v>
      </c>
      <c r="M87" s="2"/>
      <c r="N87" s="7">
        <f t="shared" si="55"/>
        <v>-0.54426093472437453</v>
      </c>
      <c r="O87" s="11"/>
      <c r="P87" s="6">
        <v>61027.06</v>
      </c>
      <c r="Q87" s="2"/>
      <c r="R87" s="7">
        <f t="shared" si="56"/>
        <v>6.6437235564097341E-3</v>
      </c>
      <c r="S87" s="2"/>
      <c r="T87" s="6">
        <v>73687.990000000005</v>
      </c>
      <c r="U87" s="2"/>
      <c r="V87" s="7">
        <f t="shared" si="57"/>
        <v>8.074733779591961E-3</v>
      </c>
      <c r="W87" s="2"/>
      <c r="X87" s="6">
        <f t="shared" si="58"/>
        <v>-12660.930000000008</v>
      </c>
      <c r="Y87" s="2"/>
      <c r="Z87" s="7">
        <f t="shared" si="59"/>
        <v>-0.17181809410190191</v>
      </c>
    </row>
    <row r="88" spans="1:26" s="24" customFormat="1" hidden="1" outlineLevel="2" x14ac:dyDescent="0.25">
      <c r="A88" s="26"/>
      <c r="B88" s="11" t="str">
        <f>CONCATENATE("          ", "6259", " - ", "ROYALTY &amp; COMMISSIONS")</f>
        <v xml:space="preserve">          6259 - ROYALTY &amp; COMMISSIONS</v>
      </c>
      <c r="C88" s="11"/>
      <c r="D88" s="6">
        <v>10912.24</v>
      </c>
      <c r="E88" s="2"/>
      <c r="F88" s="7">
        <f t="shared" si="52"/>
        <v>8.9035770019267272E-3</v>
      </c>
      <c r="G88" s="2"/>
      <c r="H88" s="6">
        <v>12389.6</v>
      </c>
      <c r="I88" s="2"/>
      <c r="J88" s="7">
        <f t="shared" si="53"/>
        <v>8.8104342860152295E-3</v>
      </c>
      <c r="K88" s="2"/>
      <c r="L88" s="6">
        <f t="shared" si="54"/>
        <v>-1477.3600000000006</v>
      </c>
      <c r="M88" s="2"/>
      <c r="N88" s="7">
        <f t="shared" si="55"/>
        <v>-0.11924194485697687</v>
      </c>
      <c r="O88" s="11"/>
      <c r="P88" s="6">
        <v>72645.119999999995</v>
      </c>
      <c r="Q88" s="2"/>
      <c r="R88" s="7">
        <f t="shared" si="56"/>
        <v>7.9085260702745942E-3</v>
      </c>
      <c r="S88" s="2"/>
      <c r="T88" s="6">
        <v>72609.600000000006</v>
      </c>
      <c r="U88" s="2"/>
      <c r="V88" s="7">
        <f t="shared" si="57"/>
        <v>7.956563747262755E-3</v>
      </c>
      <c r="W88" s="2"/>
      <c r="X88" s="6">
        <f t="shared" si="58"/>
        <v>35.519999999989523</v>
      </c>
      <c r="Y88" s="2"/>
      <c r="Z88" s="7">
        <f t="shared" si="59"/>
        <v>4.8919151186605522E-4</v>
      </c>
    </row>
    <row r="89" spans="1:26" s="27" customFormat="1" outlineLevel="1" collapsed="1" x14ac:dyDescent="0.25">
      <c r="A89" s="25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SUM(OSRRefD22_18x_0)</f>
        <v>46186.89</v>
      </c>
      <c r="E89" s="1"/>
      <c r="F89" s="5">
        <f t="shared" ref="F89:F94" si="60">IF(D$12=0,0,D89/D$12)</f>
        <v>3.7685070305869324E-2</v>
      </c>
      <c r="G89" s="1"/>
      <c r="H89" s="1">
        <f>SUM(OSRRefH22_18x_0)</f>
        <v>29279.469999999998</v>
      </c>
      <c r="I89" s="1"/>
      <c r="J89" s="5">
        <f t="shared" ref="J89:J94" si="61">IF(H$12=0,0,H89/H$12)</f>
        <v>2.0821079483143469E-2</v>
      </c>
      <c r="K89" s="1"/>
      <c r="L89" s="1">
        <f t="shared" ref="L89:L94" si="62">+D89-H89</f>
        <v>16907.420000000002</v>
      </c>
      <c r="M89" s="1"/>
      <c r="N89" s="5">
        <f t="shared" ref="N89:N94" si="63">IF(H89=0,0,L89/H89)</f>
        <v>0.57744966012021404</v>
      </c>
      <c r="O89" s="13"/>
      <c r="P89" s="1">
        <f>SUM(OSRRefP22_18x_0)</f>
        <v>244794.68</v>
      </c>
      <c r="Q89" s="1"/>
      <c r="R89" s="5">
        <f t="shared" ref="R89:R94" si="64">IF(P$12=0,0,P89/P$12)</f>
        <v>2.6649623658747165E-2</v>
      </c>
      <c r="S89" s="1"/>
      <c r="T89" s="1">
        <f>SUM(OSRRefT22_18x_0)</f>
        <v>220343.89</v>
      </c>
      <c r="U89" s="1"/>
      <c r="V89" s="5">
        <f t="shared" ref="V89:V94" si="65">IF(T$12=0,0,T89/T$12)</f>
        <v>2.414529493489638E-2</v>
      </c>
      <c r="W89" s="1"/>
      <c r="X89" s="1">
        <f t="shared" ref="X89:X94" si="66">+P89-T89</f>
        <v>24450.789999999979</v>
      </c>
      <c r="Y89" s="1"/>
      <c r="Z89" s="5">
        <f t="shared" ref="Z89:Z94" si="67">IF(T89=0,0,X89/T89)</f>
        <v>0.11096649877607216</v>
      </c>
    </row>
    <row r="90" spans="1:26" s="24" customFormat="1" hidden="1" outlineLevel="2" x14ac:dyDescent="0.25">
      <c r="A90" s="26"/>
      <c r="B90" s="11" t="str">
        <f>CONCATENATE("          ", "6282", " - ", "JANITORIAL/EXTERMINATOR EXPENS")</f>
        <v xml:space="preserve">          6282 - JANITORIAL/EXTERMINATOR EXPENS</v>
      </c>
      <c r="C90" s="11"/>
      <c r="D90" s="6">
        <v>5571.74</v>
      </c>
      <c r="E90" s="2"/>
      <c r="F90" s="7">
        <f t="shared" si="60"/>
        <v>4.5461258297760333E-3</v>
      </c>
      <c r="G90" s="2"/>
      <c r="H90" s="6"/>
      <c r="I90" s="2"/>
      <c r="J90" s="7">
        <f t="shared" si="61"/>
        <v>0</v>
      </c>
      <c r="K90" s="2"/>
      <c r="L90" s="6">
        <f t="shared" si="62"/>
        <v>5571.74</v>
      </c>
      <c r="M90" s="2"/>
      <c r="N90" s="7">
        <f t="shared" si="63"/>
        <v>0</v>
      </c>
      <c r="O90" s="11"/>
      <c r="P90" s="6">
        <v>19771.09</v>
      </c>
      <c r="Q90" s="2"/>
      <c r="R90" s="7">
        <f t="shared" si="64"/>
        <v>2.1523838174229092E-3</v>
      </c>
      <c r="S90" s="2"/>
      <c r="T90" s="6">
        <v>13749.55</v>
      </c>
      <c r="U90" s="2"/>
      <c r="V90" s="7">
        <f t="shared" si="65"/>
        <v>1.5066764046514042E-3</v>
      </c>
      <c r="W90" s="2"/>
      <c r="X90" s="6">
        <f t="shared" si="66"/>
        <v>6021.5400000000009</v>
      </c>
      <c r="Y90" s="2"/>
      <c r="Z90" s="7">
        <f t="shared" si="67"/>
        <v>0.43794451454774891</v>
      </c>
    </row>
    <row r="91" spans="1:26" s="24" customFormat="1" hidden="1" outlineLevel="2" x14ac:dyDescent="0.25">
      <c r="A91" s="26"/>
      <c r="B91" s="11" t="str">
        <f>CONCATENATE("          ", "6283", " - ", "PLANT SERVICE")</f>
        <v xml:space="preserve">          6283 - PLANT SERVICE</v>
      </c>
      <c r="C91" s="11"/>
      <c r="D91" s="6"/>
      <c r="E91" s="2"/>
      <c r="F91" s="7">
        <f t="shared" si="60"/>
        <v>0</v>
      </c>
      <c r="G91" s="2"/>
      <c r="H91" s="6">
        <v>176</v>
      </c>
      <c r="I91" s="2"/>
      <c r="J91" s="7">
        <f t="shared" si="61"/>
        <v>1.2515629514582235E-4</v>
      </c>
      <c r="K91" s="2"/>
      <c r="L91" s="6">
        <f t="shared" si="62"/>
        <v>-176</v>
      </c>
      <c r="M91" s="2"/>
      <c r="N91" s="7">
        <f t="shared" si="63"/>
        <v>-1</v>
      </c>
      <c r="O91" s="11"/>
      <c r="P91" s="6">
        <v>799.12</v>
      </c>
      <c r="Q91" s="2"/>
      <c r="R91" s="7">
        <f t="shared" si="64"/>
        <v>8.6996364701136632E-5</v>
      </c>
      <c r="S91" s="2"/>
      <c r="T91" s="6">
        <v>1056</v>
      </c>
      <c r="U91" s="2"/>
      <c r="V91" s="7">
        <f t="shared" si="65"/>
        <v>1.1571653496382666E-4</v>
      </c>
      <c r="W91" s="2"/>
      <c r="X91" s="6">
        <f t="shared" si="66"/>
        <v>-256.88</v>
      </c>
      <c r="Y91" s="2"/>
      <c r="Z91" s="7">
        <f t="shared" si="67"/>
        <v>-0.24325757575757576</v>
      </c>
    </row>
    <row r="92" spans="1:26" s="24" customFormat="1" hidden="1" outlineLevel="2" x14ac:dyDescent="0.25">
      <c r="A92" s="26"/>
      <c r="B92" s="11" t="str">
        <f>CONCATENATE("          ", "6284", " - ", "TRASH REMOVAL EXPENSE")</f>
        <v xml:space="preserve">          6284 - TRASH REMOVAL EXPENSE</v>
      </c>
      <c r="C92" s="11"/>
      <c r="D92" s="6">
        <v>9673</v>
      </c>
      <c r="E92" s="2"/>
      <c r="F92" s="7">
        <f t="shared" si="60"/>
        <v>7.892449244118277E-3</v>
      </c>
      <c r="G92" s="2"/>
      <c r="H92" s="6">
        <v>4199</v>
      </c>
      <c r="I92" s="2"/>
      <c r="J92" s="7">
        <f t="shared" si="61"/>
        <v>2.9859732006665227E-3</v>
      </c>
      <c r="K92" s="2"/>
      <c r="L92" s="6">
        <f t="shared" si="62"/>
        <v>5474</v>
      </c>
      <c r="M92" s="2"/>
      <c r="N92" s="7">
        <f t="shared" si="63"/>
        <v>1.3036437246963564</v>
      </c>
      <c r="O92" s="11"/>
      <c r="P92" s="6">
        <v>22893</v>
      </c>
      <c r="Q92" s="2"/>
      <c r="R92" s="7">
        <f t="shared" si="64"/>
        <v>2.4922511976963671E-3</v>
      </c>
      <c r="S92" s="2"/>
      <c r="T92" s="6">
        <v>34700.270000000004</v>
      </c>
      <c r="U92" s="2"/>
      <c r="V92" s="7">
        <f t="shared" si="65"/>
        <v>3.8024573927170698E-3</v>
      </c>
      <c r="W92" s="2"/>
      <c r="X92" s="6">
        <f t="shared" si="66"/>
        <v>-11807.270000000004</v>
      </c>
      <c r="Y92" s="2"/>
      <c r="Z92" s="7">
        <f t="shared" si="67"/>
        <v>-0.34026449938285791</v>
      </c>
    </row>
    <row r="93" spans="1:26" s="24" customFormat="1" hidden="1" outlineLevel="2" x14ac:dyDescent="0.25">
      <c r="A93" s="26"/>
      <c r="B93" s="11" t="str">
        <f>CONCATENATE("          ", "6285", " - ", "JANITORIAL SERVICES")</f>
        <v xml:space="preserve">          6285 - JANITORIAL SERVICES</v>
      </c>
      <c r="C93" s="11"/>
      <c r="D93" s="6">
        <v>24757.47</v>
      </c>
      <c r="E93" s="2"/>
      <c r="F93" s="7">
        <f t="shared" si="60"/>
        <v>2.0200255906934864E-2</v>
      </c>
      <c r="G93" s="2"/>
      <c r="H93" s="6">
        <v>19764.289999999997</v>
      </c>
      <c r="I93" s="2"/>
      <c r="J93" s="7">
        <f t="shared" si="61"/>
        <v>1.4054689276066049E-2</v>
      </c>
      <c r="K93" s="2"/>
      <c r="L93" s="6">
        <f t="shared" si="62"/>
        <v>4993.1800000000039</v>
      </c>
      <c r="M93" s="2"/>
      <c r="N93" s="7">
        <f t="shared" si="63"/>
        <v>0.25263644684428355</v>
      </c>
      <c r="O93" s="11"/>
      <c r="P93" s="6">
        <v>153731.78</v>
      </c>
      <c r="Q93" s="2"/>
      <c r="R93" s="7">
        <f t="shared" si="64"/>
        <v>1.6736042145153295E-2</v>
      </c>
      <c r="S93" s="2"/>
      <c r="T93" s="6">
        <v>128665.60000000001</v>
      </c>
      <c r="U93" s="2"/>
      <c r="V93" s="7">
        <f t="shared" si="65"/>
        <v>1.4099183144925887E-2</v>
      </c>
      <c r="W93" s="2"/>
      <c r="X93" s="6">
        <f t="shared" si="66"/>
        <v>25066.179999999993</v>
      </c>
      <c r="Y93" s="2"/>
      <c r="Z93" s="7">
        <f t="shared" si="67"/>
        <v>0.19481648552526853</v>
      </c>
    </row>
    <row r="94" spans="1:26" s="24" customFormat="1" hidden="1" outlineLevel="2" x14ac:dyDescent="0.25">
      <c r="A94" s="26"/>
      <c r="B94" s="11" t="str">
        <f>CONCATENATE("          ", "6286", " - ", "LAUNDRY EXPENSE")</f>
        <v xml:space="preserve">          6286 - LAUNDRY EXPENSE</v>
      </c>
      <c r="C94" s="11"/>
      <c r="D94" s="6">
        <v>6184.68</v>
      </c>
      <c r="E94" s="2"/>
      <c r="F94" s="7">
        <f t="shared" si="60"/>
        <v>5.0462393250401555E-3</v>
      </c>
      <c r="G94" s="2"/>
      <c r="H94" s="6">
        <v>5140.18</v>
      </c>
      <c r="I94" s="2"/>
      <c r="J94" s="7">
        <f t="shared" si="61"/>
        <v>3.6552607112650746E-3</v>
      </c>
      <c r="K94" s="2"/>
      <c r="L94" s="6">
        <f t="shared" si="62"/>
        <v>1044.5</v>
      </c>
      <c r="M94" s="2"/>
      <c r="N94" s="7">
        <f t="shared" si="63"/>
        <v>0.20320300067312816</v>
      </c>
      <c r="O94" s="11"/>
      <c r="P94" s="6">
        <v>47599.689999999995</v>
      </c>
      <c r="Q94" s="2"/>
      <c r="R94" s="7">
        <f t="shared" si="64"/>
        <v>5.1819501337734579E-3</v>
      </c>
      <c r="S94" s="2"/>
      <c r="T94" s="6">
        <v>42172.47</v>
      </c>
      <c r="U94" s="2"/>
      <c r="V94" s="7">
        <f t="shared" si="65"/>
        <v>4.6212614576381927E-3</v>
      </c>
      <c r="W94" s="2"/>
      <c r="X94" s="6">
        <f t="shared" si="66"/>
        <v>5427.2199999999939</v>
      </c>
      <c r="Y94" s="2"/>
      <c r="Z94" s="7">
        <f t="shared" si="67"/>
        <v>0.12869106315091322</v>
      </c>
    </row>
    <row r="95" spans="1:26" s="27" customFormat="1" outlineLevel="1" collapsed="1" x14ac:dyDescent="0.25">
      <c r="A95" s="25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SUM(OSRRefD22_19x_0)</f>
        <v>4123.42</v>
      </c>
      <c r="E95" s="1"/>
      <c r="F95" s="5">
        <f t="shared" ref="F95:F97" si="68">IF(D$12=0,0,D95/D$12)</f>
        <v>3.3644043277351581E-3</v>
      </c>
      <c r="G95" s="1"/>
      <c r="H95" s="1">
        <f>SUM(OSRRefH22_19x_0)</f>
        <v>448.78</v>
      </c>
      <c r="I95" s="1"/>
      <c r="J95" s="5">
        <f t="shared" ref="J95:J97" si="69">IF(H$12=0,0,H95/H$12)</f>
        <v>3.1913433031558039E-4</v>
      </c>
      <c r="K95" s="1"/>
      <c r="L95" s="1">
        <f t="shared" ref="L95:L97" si="70">+D95-H95</f>
        <v>3674.6400000000003</v>
      </c>
      <c r="M95" s="1"/>
      <c r="N95" s="5">
        <f t="shared" ref="N95:N97" si="71">IF(H95=0,0,L95/H95)</f>
        <v>8.1880654218102418</v>
      </c>
      <c r="O95" s="13"/>
      <c r="P95" s="1">
        <f>SUM(OSRRefP22_19x_0)</f>
        <v>6274.6</v>
      </c>
      <c r="Q95" s="1"/>
      <c r="R95" s="5">
        <f t="shared" ref="R95:R97" si="72">IF(P$12=0,0,P95/P$12)</f>
        <v>6.8308563163699059E-4</v>
      </c>
      <c r="S95" s="1"/>
      <c r="T95" s="1">
        <f>SUM(OSRRefT22_19x_0)</f>
        <v>1956.79</v>
      </c>
      <c r="U95" s="1"/>
      <c r="V95" s="5">
        <f t="shared" ref="V95:V97" si="73">IF(T$12=0,0,T95/T$12)</f>
        <v>2.1442515004911587E-4</v>
      </c>
      <c r="W95" s="1"/>
      <c r="X95" s="1">
        <f t="shared" ref="X95:X97" si="74">+P95-T95</f>
        <v>4317.8100000000004</v>
      </c>
      <c r="Y95" s="1"/>
      <c r="Z95" s="5">
        <f t="shared" ref="Z95:Z97" si="75">IF(T95=0,0,X95/T95)</f>
        <v>2.2065781202888406</v>
      </c>
    </row>
    <row r="96" spans="1:26" s="24" customFormat="1" hidden="1" outlineLevel="2" x14ac:dyDescent="0.25">
      <c r="A96" s="26"/>
      <c r="B96" s="11" t="str">
        <f>CONCATENATE("          ", "6258", " - ", "MEMBERSHIP DUES")</f>
        <v xml:space="preserve">          6258 - MEMBERSHIP DUES</v>
      </c>
      <c r="C96" s="11"/>
      <c r="D96" s="6">
        <v>3730</v>
      </c>
      <c r="E96" s="2"/>
      <c r="F96" s="7">
        <f t="shared" si="68"/>
        <v>3.0434028409553576E-3</v>
      </c>
      <c r="G96" s="2"/>
      <c r="H96" s="6"/>
      <c r="I96" s="2"/>
      <c r="J96" s="7">
        <f t="shared" si="69"/>
        <v>0</v>
      </c>
      <c r="K96" s="2"/>
      <c r="L96" s="6">
        <f t="shared" si="70"/>
        <v>3730</v>
      </c>
      <c r="M96" s="2"/>
      <c r="N96" s="7">
        <f t="shared" si="71"/>
        <v>0</v>
      </c>
      <c r="O96" s="11"/>
      <c r="P96" s="6">
        <v>3730</v>
      </c>
      <c r="Q96" s="2"/>
      <c r="R96" s="7">
        <f t="shared" si="72"/>
        <v>4.0606722436585193E-4</v>
      </c>
      <c r="S96" s="2"/>
      <c r="T96" s="6"/>
      <c r="U96" s="2"/>
      <c r="V96" s="7">
        <f t="shared" si="73"/>
        <v>0</v>
      </c>
      <c r="W96" s="2"/>
      <c r="X96" s="6">
        <f t="shared" si="74"/>
        <v>3730</v>
      </c>
      <c r="Y96" s="2"/>
      <c r="Z96" s="7">
        <f t="shared" si="75"/>
        <v>0</v>
      </c>
    </row>
    <row r="97" spans="1:26" s="24" customFormat="1" hidden="1" outlineLevel="2" x14ac:dyDescent="0.25">
      <c r="A97" s="26"/>
      <c r="B97" s="11" t="str">
        <f>CONCATENATE("          ", "6275", " - ", "SUBSCRIPTIONS")</f>
        <v xml:space="preserve">          6275 - SUBSCRIPTIONS</v>
      </c>
      <c r="C97" s="11"/>
      <c r="D97" s="6">
        <v>393.42</v>
      </c>
      <c r="E97" s="2"/>
      <c r="F97" s="7">
        <f t="shared" si="68"/>
        <v>3.2100148677980072E-4</v>
      </c>
      <c r="G97" s="2"/>
      <c r="H97" s="6">
        <v>448.78</v>
      </c>
      <c r="I97" s="2"/>
      <c r="J97" s="7">
        <f t="shared" si="69"/>
        <v>3.1913433031558039E-4</v>
      </c>
      <c r="K97" s="2"/>
      <c r="L97" s="6">
        <f t="shared" si="70"/>
        <v>-55.359999999999957</v>
      </c>
      <c r="M97" s="2"/>
      <c r="N97" s="7">
        <f t="shared" si="71"/>
        <v>-0.12335665582245189</v>
      </c>
      <c r="O97" s="11"/>
      <c r="P97" s="6">
        <v>2544.6</v>
      </c>
      <c r="Q97" s="2"/>
      <c r="R97" s="7">
        <f t="shared" si="72"/>
        <v>2.7701840727113855E-4</v>
      </c>
      <c r="S97" s="2"/>
      <c r="T97" s="6">
        <v>1956.79</v>
      </c>
      <c r="U97" s="2"/>
      <c r="V97" s="7">
        <f t="shared" si="73"/>
        <v>2.1442515004911587E-4</v>
      </c>
      <c r="W97" s="2"/>
      <c r="X97" s="6">
        <f t="shared" si="74"/>
        <v>587.80999999999995</v>
      </c>
      <c r="Y97" s="2"/>
      <c r="Z97" s="7">
        <f t="shared" si="75"/>
        <v>0.30039503472523876</v>
      </c>
    </row>
    <row r="98" spans="1:26" s="27" customFormat="1" outlineLevel="1" collapsed="1" x14ac:dyDescent="0.25">
      <c r="A98" s="25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SUM(OSRRefD22_20x_0)</f>
        <v>22929.22</v>
      </c>
      <c r="E98" s="1"/>
      <c r="F98" s="5">
        <f t="shared" ref="F98:F106" si="76">IF(D$12=0,0,D98/D$12)</f>
        <v>1.8708539755734693E-2</v>
      </c>
      <c r="G98" s="1"/>
      <c r="H98" s="1">
        <f>SUM(OSRRefH22_20x_0)</f>
        <v>32967.61</v>
      </c>
      <c r="I98" s="1"/>
      <c r="J98" s="5">
        <f t="shared" ref="J98:J106" si="77">IF(H$12=0,0,H98/H$12)</f>
        <v>2.344377231484298E-2</v>
      </c>
      <c r="K98" s="1"/>
      <c r="L98" s="1">
        <f t="shared" ref="L98:L106" si="78">+D98-H98</f>
        <v>-10038.39</v>
      </c>
      <c r="M98" s="1"/>
      <c r="N98" s="5">
        <f t="shared" ref="N98:N106" si="79">IF(H98=0,0,L98/H98)</f>
        <v>-0.30449250036626857</v>
      </c>
      <c r="O98" s="13"/>
      <c r="P98" s="1">
        <f>SUM(OSRRefP22_20x_0)</f>
        <v>251002.27999999997</v>
      </c>
      <c r="Q98" s="1"/>
      <c r="R98" s="5">
        <f t="shared" ref="R98:R106" si="80">IF(P$12=0,0,P98/P$12)</f>
        <v>2.7325415321474634E-2</v>
      </c>
      <c r="S98" s="1"/>
      <c r="T98" s="1">
        <f>SUM(OSRRefT22_20x_0)</f>
        <v>237481.02999999997</v>
      </c>
      <c r="U98" s="1"/>
      <c r="V98" s="5">
        <f t="shared" ref="V98:V106" si="81">IF(T$12=0,0,T98/T$12)</f>
        <v>2.6023183628068717E-2</v>
      </c>
      <c r="W98" s="1"/>
      <c r="X98" s="1">
        <f t="shared" ref="X98:X106" si="82">+P98-T98</f>
        <v>13521.25</v>
      </c>
      <c r="Y98" s="1"/>
      <c r="Z98" s="5">
        <f t="shared" ref="Z98:Z106" si="83">IF(T98=0,0,X98/T98)</f>
        <v>5.693612664556829E-2</v>
      </c>
    </row>
    <row r="99" spans="1:26" s="24" customFormat="1" hidden="1" outlineLevel="2" x14ac:dyDescent="0.25">
      <c r="A99" s="26"/>
      <c r="B99" s="11" t="str">
        <f>CONCATENATE("          ", "6234", " - ", "EXPENDABLE SUPPLIES &amp; EQUIPMEN")</f>
        <v xml:space="preserve">          6234 - EXPENDABLE SUPPLIES &amp; EQUIPMEN</v>
      </c>
      <c r="C99" s="11"/>
      <c r="D99" s="6"/>
      <c r="E99" s="2"/>
      <c r="F99" s="7">
        <f t="shared" si="76"/>
        <v>0</v>
      </c>
      <c r="G99" s="2"/>
      <c r="H99" s="6">
        <v>128.07</v>
      </c>
      <c r="I99" s="2"/>
      <c r="J99" s="7">
        <f t="shared" si="77"/>
        <v>9.10725381779856E-5</v>
      </c>
      <c r="K99" s="2"/>
      <c r="L99" s="6">
        <f t="shared" si="78"/>
        <v>-128.07</v>
      </c>
      <c r="M99" s="2"/>
      <c r="N99" s="7">
        <f t="shared" si="79"/>
        <v>-1</v>
      </c>
      <c r="O99" s="11"/>
      <c r="P99" s="6">
        <v>12302.72</v>
      </c>
      <c r="Q99" s="2"/>
      <c r="R99" s="7">
        <f t="shared" si="80"/>
        <v>1.3393381669035533E-3</v>
      </c>
      <c r="S99" s="2"/>
      <c r="T99" s="6">
        <v>7007.26</v>
      </c>
      <c r="U99" s="2"/>
      <c r="V99" s="7">
        <f t="shared" si="81"/>
        <v>7.6785591552142431E-4</v>
      </c>
      <c r="W99" s="2"/>
      <c r="X99" s="6">
        <f t="shared" si="82"/>
        <v>5295.4599999999991</v>
      </c>
      <c r="Y99" s="2"/>
      <c r="Z99" s="7">
        <f t="shared" si="83"/>
        <v>0.75571050596096034</v>
      </c>
    </row>
    <row r="100" spans="1:26" s="24" customFormat="1" hidden="1" outlineLevel="2" x14ac:dyDescent="0.25">
      <c r="A100" s="26"/>
      <c r="B100" s="11" t="str">
        <f>CONCATENATE("          ", "6237", " - ", "JANITORIAL SUPPLIES")</f>
        <v xml:space="preserve">          6237 - JANITORIAL SUPPLIES</v>
      </c>
      <c r="C100" s="11"/>
      <c r="D100" s="6">
        <v>10587.19</v>
      </c>
      <c r="E100" s="2"/>
      <c r="F100" s="7">
        <f t="shared" si="76"/>
        <v>8.6383603548885121E-3</v>
      </c>
      <c r="G100" s="2"/>
      <c r="H100" s="6">
        <v>16207.110000000002</v>
      </c>
      <c r="I100" s="2"/>
      <c r="J100" s="7">
        <f t="shared" si="77"/>
        <v>1.1525124105800052E-2</v>
      </c>
      <c r="K100" s="2"/>
      <c r="L100" s="6">
        <f t="shared" si="78"/>
        <v>-5619.9200000000019</v>
      </c>
      <c r="M100" s="2"/>
      <c r="N100" s="7">
        <f t="shared" si="79"/>
        <v>-0.34675645442031311</v>
      </c>
      <c r="O100" s="11"/>
      <c r="P100" s="6">
        <v>80188.67</v>
      </c>
      <c r="Q100" s="2"/>
      <c r="R100" s="7">
        <f t="shared" si="80"/>
        <v>8.7297562071016778E-3</v>
      </c>
      <c r="S100" s="2"/>
      <c r="T100" s="6">
        <v>87620.479999999996</v>
      </c>
      <c r="U100" s="2"/>
      <c r="V100" s="7">
        <f t="shared" si="81"/>
        <v>9.6014567589652218E-3</v>
      </c>
      <c r="W100" s="2"/>
      <c r="X100" s="6">
        <f t="shared" si="82"/>
        <v>-7431.8099999999977</v>
      </c>
      <c r="Y100" s="2"/>
      <c r="Z100" s="7">
        <f t="shared" si="83"/>
        <v>-8.4818184059251872E-2</v>
      </c>
    </row>
    <row r="101" spans="1:26" s="24" customFormat="1" hidden="1" outlineLevel="2" x14ac:dyDescent="0.25">
      <c r="A101" s="26"/>
      <c r="B101" s="11" t="str">
        <f>CONCATENATE("          ", "6239", " - ", "KITCHEN SUPPLIES")</f>
        <v xml:space="preserve">          6239 - KITCHEN SUPPLIES</v>
      </c>
      <c r="C101" s="11"/>
      <c r="D101" s="6">
        <v>3255.8</v>
      </c>
      <c r="E101" s="2"/>
      <c r="F101" s="7">
        <f t="shared" si="76"/>
        <v>2.6564908765636603E-3</v>
      </c>
      <c r="G101" s="2"/>
      <c r="H101" s="6">
        <v>5010.5600000000004</v>
      </c>
      <c r="I101" s="2"/>
      <c r="J101" s="7">
        <f t="shared" si="77"/>
        <v>3.5630859443514296E-3</v>
      </c>
      <c r="K101" s="2"/>
      <c r="L101" s="6">
        <f t="shared" si="78"/>
        <v>-1754.7600000000002</v>
      </c>
      <c r="M101" s="2"/>
      <c r="N101" s="7">
        <f t="shared" si="79"/>
        <v>-0.3502123515136033</v>
      </c>
      <c r="O101" s="11"/>
      <c r="P101" s="6">
        <v>55062.03</v>
      </c>
      <c r="Q101" s="2"/>
      <c r="R101" s="7">
        <f t="shared" si="80"/>
        <v>5.9943393270909572E-3</v>
      </c>
      <c r="S101" s="2"/>
      <c r="T101" s="6">
        <v>33201.129999999997</v>
      </c>
      <c r="U101" s="2"/>
      <c r="V101" s="7">
        <f t="shared" si="81"/>
        <v>3.6381815534882139E-3</v>
      </c>
      <c r="W101" s="2"/>
      <c r="X101" s="6">
        <f t="shared" si="82"/>
        <v>21860.9</v>
      </c>
      <c r="Y101" s="2"/>
      <c r="Z101" s="7">
        <f t="shared" si="83"/>
        <v>0.65843843266780389</v>
      </c>
    </row>
    <row r="102" spans="1:26" s="24" customFormat="1" hidden="1" outlineLevel="2" x14ac:dyDescent="0.25">
      <c r="A102" s="26"/>
      <c r="B102" s="11" t="str">
        <f>CONCATENATE("          ", "6241", " - ", "OFFICE EXPENSE")</f>
        <v xml:space="preserve">          6241 - OFFICE EXPENSE</v>
      </c>
      <c r="C102" s="11"/>
      <c r="D102" s="6">
        <v>1992.22</v>
      </c>
      <c r="E102" s="2"/>
      <c r="F102" s="7">
        <f t="shared" si="76"/>
        <v>1.6255034873480113E-3</v>
      </c>
      <c r="G102" s="2"/>
      <c r="H102" s="6">
        <v>3250.23</v>
      </c>
      <c r="I102" s="2"/>
      <c r="J102" s="7">
        <f t="shared" si="77"/>
        <v>2.3112883248398077E-3</v>
      </c>
      <c r="K102" s="2"/>
      <c r="L102" s="6">
        <f t="shared" si="78"/>
        <v>-1258.01</v>
      </c>
      <c r="M102" s="2"/>
      <c r="N102" s="7">
        <f t="shared" si="79"/>
        <v>-0.38705260858462326</v>
      </c>
      <c r="O102" s="11"/>
      <c r="P102" s="6">
        <v>41238.550000000003</v>
      </c>
      <c r="Q102" s="2"/>
      <c r="R102" s="7">
        <f t="shared" si="80"/>
        <v>4.4894433070703501E-3</v>
      </c>
      <c r="S102" s="2"/>
      <c r="T102" s="6">
        <v>19623.32</v>
      </c>
      <c r="U102" s="2"/>
      <c r="V102" s="7">
        <f t="shared" si="81"/>
        <v>2.1503244269757186E-3</v>
      </c>
      <c r="W102" s="2"/>
      <c r="X102" s="6">
        <f t="shared" si="82"/>
        <v>21615.230000000003</v>
      </c>
      <c r="Y102" s="2"/>
      <c r="Z102" s="7">
        <f t="shared" si="83"/>
        <v>1.101507288267225</v>
      </c>
    </row>
    <row r="103" spans="1:26" s="24" customFormat="1" hidden="1" outlineLevel="2" x14ac:dyDescent="0.25">
      <c r="A103" s="26"/>
      <c r="B103" s="11" t="str">
        <f>CONCATENATE("          ", "6243", " - ", "PAPER SUPPLIES")</f>
        <v xml:space="preserve">          6243 - PAPER SUPPLIES</v>
      </c>
      <c r="C103" s="11"/>
      <c r="D103" s="6">
        <v>6593.33</v>
      </c>
      <c r="E103" s="2"/>
      <c r="F103" s="7">
        <f t="shared" si="76"/>
        <v>5.3796673601491114E-3</v>
      </c>
      <c r="G103" s="2"/>
      <c r="H103" s="6">
        <v>7112.96</v>
      </c>
      <c r="I103" s="2"/>
      <c r="J103" s="7">
        <f t="shared" si="77"/>
        <v>5.0581347790933434E-3</v>
      </c>
      <c r="K103" s="2"/>
      <c r="L103" s="6">
        <f t="shared" si="78"/>
        <v>-519.63000000000011</v>
      </c>
      <c r="M103" s="2"/>
      <c r="N103" s="7">
        <f t="shared" si="79"/>
        <v>-7.3053974716573711E-2</v>
      </c>
      <c r="O103" s="11"/>
      <c r="P103" s="6">
        <v>56679.219999999994</v>
      </c>
      <c r="Q103" s="2"/>
      <c r="R103" s="7">
        <f t="shared" si="80"/>
        <v>6.170395052177341E-3</v>
      </c>
      <c r="S103" s="2"/>
      <c r="T103" s="6">
        <v>66244.800000000003</v>
      </c>
      <c r="U103" s="2"/>
      <c r="V103" s="7">
        <f t="shared" si="81"/>
        <v>7.2591086319807813E-3</v>
      </c>
      <c r="W103" s="2"/>
      <c r="X103" s="6">
        <f t="shared" si="82"/>
        <v>-9565.580000000009</v>
      </c>
      <c r="Y103" s="2"/>
      <c r="Z103" s="7">
        <f t="shared" si="83"/>
        <v>-0.14439744704490026</v>
      </c>
    </row>
    <row r="104" spans="1:26" s="24" customFormat="1" hidden="1" outlineLevel="2" x14ac:dyDescent="0.25">
      <c r="A104" s="26"/>
      <c r="B104" s="11" t="str">
        <f>CONCATENATE("          ", "6245", " - ", "PRINTING")</f>
        <v xml:space="preserve">          6245 - PRINTING</v>
      </c>
      <c r="C104" s="11"/>
      <c r="D104" s="6"/>
      <c r="E104" s="2"/>
      <c r="F104" s="7">
        <f t="shared" si="76"/>
        <v>0</v>
      </c>
      <c r="G104" s="2"/>
      <c r="H104" s="6"/>
      <c r="I104" s="2"/>
      <c r="J104" s="7">
        <f t="shared" si="77"/>
        <v>0</v>
      </c>
      <c r="K104" s="2"/>
      <c r="L104" s="6">
        <f t="shared" si="78"/>
        <v>0</v>
      </c>
      <c r="M104" s="2"/>
      <c r="N104" s="7">
        <f t="shared" si="79"/>
        <v>0</v>
      </c>
      <c r="O104" s="11"/>
      <c r="P104" s="6">
        <v>1622.34</v>
      </c>
      <c r="Q104" s="2"/>
      <c r="R104" s="7">
        <f t="shared" si="80"/>
        <v>1.7661638090554858E-4</v>
      </c>
      <c r="S104" s="2"/>
      <c r="T104" s="6">
        <v>1828.87</v>
      </c>
      <c r="U104" s="2"/>
      <c r="V104" s="7">
        <f t="shared" si="81"/>
        <v>2.0040766979099778E-4</v>
      </c>
      <c r="W104" s="2"/>
      <c r="X104" s="6">
        <f t="shared" si="82"/>
        <v>-206.52999999999997</v>
      </c>
      <c r="Y104" s="2"/>
      <c r="Z104" s="7">
        <f t="shared" si="83"/>
        <v>-0.11292765478136772</v>
      </c>
    </row>
    <row r="105" spans="1:26" s="24" customFormat="1" hidden="1" outlineLevel="2" x14ac:dyDescent="0.25">
      <c r="A105" s="26"/>
      <c r="B105" s="11" t="str">
        <f>CONCATENATE("          ", "6247", " - ", "STORE SUPPLIES")</f>
        <v xml:space="preserve">          6247 - STORE SUPPLIES</v>
      </c>
      <c r="C105" s="11"/>
      <c r="D105" s="6">
        <v>500.68</v>
      </c>
      <c r="E105" s="2"/>
      <c r="F105" s="7">
        <f t="shared" si="76"/>
        <v>4.0851767678539634E-4</v>
      </c>
      <c r="G105" s="2"/>
      <c r="H105" s="6">
        <v>259.16000000000003</v>
      </c>
      <c r="I105" s="2"/>
      <c r="J105" s="7">
        <f t="shared" si="77"/>
        <v>1.8429264460222342E-4</v>
      </c>
      <c r="K105" s="2"/>
      <c r="L105" s="6">
        <f t="shared" si="78"/>
        <v>241.51999999999998</v>
      </c>
      <c r="M105" s="2"/>
      <c r="N105" s="7">
        <f t="shared" si="79"/>
        <v>0.93193394042290456</v>
      </c>
      <c r="O105" s="11"/>
      <c r="P105" s="6">
        <v>4060.35</v>
      </c>
      <c r="Q105" s="2"/>
      <c r="R105" s="7">
        <f t="shared" si="80"/>
        <v>4.4203084569809304E-4</v>
      </c>
      <c r="S105" s="2"/>
      <c r="T105" s="6">
        <v>3811.15</v>
      </c>
      <c r="U105" s="2"/>
      <c r="V105" s="7">
        <f t="shared" si="81"/>
        <v>4.1762601536684467E-4</v>
      </c>
      <c r="W105" s="2"/>
      <c r="X105" s="6">
        <f t="shared" si="82"/>
        <v>249.19999999999982</v>
      </c>
      <c r="Y105" s="2"/>
      <c r="Z105" s="7">
        <f t="shared" si="83"/>
        <v>6.538708788685825E-2</v>
      </c>
    </row>
    <row r="106" spans="1:26" s="24" customFormat="1" hidden="1" outlineLevel="2" x14ac:dyDescent="0.25">
      <c r="A106" s="26"/>
      <c r="B106" s="11" t="str">
        <f>CONCATENATE("          ", "6248", " - ", "UNIFORMS")</f>
        <v xml:space="preserve">          6248 - UNIFORMS</v>
      </c>
      <c r="C106" s="11"/>
      <c r="D106" s="6"/>
      <c r="E106" s="2"/>
      <c r="F106" s="7">
        <f t="shared" si="76"/>
        <v>0</v>
      </c>
      <c r="G106" s="2"/>
      <c r="H106" s="6">
        <v>999.52</v>
      </c>
      <c r="I106" s="2"/>
      <c r="J106" s="7">
        <f t="shared" si="77"/>
        <v>7.107739779781383E-4</v>
      </c>
      <c r="K106" s="2"/>
      <c r="L106" s="6">
        <f t="shared" si="78"/>
        <v>-999.52</v>
      </c>
      <c r="M106" s="2"/>
      <c r="N106" s="7">
        <f t="shared" si="79"/>
        <v>-1</v>
      </c>
      <c r="O106" s="11"/>
      <c r="P106" s="6">
        <v>-151.6</v>
      </c>
      <c r="Q106" s="2"/>
      <c r="R106" s="7">
        <f t="shared" si="80"/>
        <v>-1.6503965472885563E-5</v>
      </c>
      <c r="S106" s="2"/>
      <c r="T106" s="6">
        <v>18144.02</v>
      </c>
      <c r="U106" s="2"/>
      <c r="V106" s="7">
        <f t="shared" si="81"/>
        <v>1.9882226559795172E-3</v>
      </c>
      <c r="W106" s="2"/>
      <c r="X106" s="6">
        <f t="shared" si="82"/>
        <v>-18295.62</v>
      </c>
      <c r="Y106" s="2"/>
      <c r="Z106" s="7">
        <f t="shared" si="83"/>
        <v>-1.0083553699786485</v>
      </c>
    </row>
    <row r="107" spans="1:26" s="27" customFormat="1" outlineLevel="1" collapsed="1" x14ac:dyDescent="0.25">
      <c r="A107" s="25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SUM(OSRRefD22_21x_0)</f>
        <v>2651.34</v>
      </c>
      <c r="E107" s="1"/>
      <c r="F107" s="5">
        <f t="shared" ref="F107:F114" si="84">IF(D$12=0,0,D107/D$12)</f>
        <v>2.1632964311899673E-3</v>
      </c>
      <c r="G107" s="1"/>
      <c r="H107" s="1">
        <f>SUM(OSRRefH22_21x_0)</f>
        <v>2639.51</v>
      </c>
      <c r="I107" s="1"/>
      <c r="J107" s="5">
        <f t="shared" ref="J107:J114" si="85">IF(H$12=0,0,H107/H$12)</f>
        <v>1.8769959806838044E-3</v>
      </c>
      <c r="K107" s="1"/>
      <c r="L107" s="1">
        <f t="shared" ref="L107:L114" si="86">+D107-H107</f>
        <v>11.829999999999927</v>
      </c>
      <c r="M107" s="1"/>
      <c r="N107" s="5">
        <f t="shared" ref="N107:N114" si="87">IF(H107=0,0,L107/H107)</f>
        <v>4.4818924724664526E-3</v>
      </c>
      <c r="O107" s="13"/>
      <c r="P107" s="1">
        <f>SUM(OSRRefP22_21x_0)</f>
        <v>14189.57</v>
      </c>
      <c r="Q107" s="1"/>
      <c r="R107" s="5">
        <f t="shared" ref="R107:R114" si="88">IF(P$12=0,0,P107/P$12)</f>
        <v>1.5447504838726439E-3</v>
      </c>
      <c r="S107" s="1"/>
      <c r="T107" s="1">
        <f>SUM(OSRRefT22_21x_0)</f>
        <v>15739.16</v>
      </c>
      <c r="U107" s="1"/>
      <c r="V107" s="5">
        <f t="shared" ref="V107:V114" si="89">IF(T$12=0,0,T107/T$12)</f>
        <v>1.7246979720087709E-3</v>
      </c>
      <c r="W107" s="1"/>
      <c r="X107" s="1">
        <f t="shared" ref="X107:X114" si="90">+P107-T107</f>
        <v>-1549.5900000000001</v>
      </c>
      <c r="Y107" s="1"/>
      <c r="Z107" s="5">
        <f t="shared" ref="Z107:Z114" si="91">IF(T107=0,0,X107/T107)</f>
        <v>-9.8454428317648474E-2</v>
      </c>
    </row>
    <row r="108" spans="1:26" s="24" customFormat="1" hidden="1" outlineLevel="2" x14ac:dyDescent="0.25">
      <c r="A108" s="26"/>
      <c r="B108" s="11" t="str">
        <f>CONCATENATE("          ", "6309", " - ", "TELEPHONE")</f>
        <v xml:space="preserve">          6309 - TELEPHONE</v>
      </c>
      <c r="C108" s="11"/>
      <c r="D108" s="6">
        <v>2651.34</v>
      </c>
      <c r="E108" s="2"/>
      <c r="F108" s="7">
        <f t="shared" si="84"/>
        <v>2.1632964311899673E-3</v>
      </c>
      <c r="G108" s="2"/>
      <c r="H108" s="6">
        <v>2639.51</v>
      </c>
      <c r="I108" s="2"/>
      <c r="J108" s="7">
        <f t="shared" si="85"/>
        <v>1.8769959806838044E-3</v>
      </c>
      <c r="K108" s="2"/>
      <c r="L108" s="6">
        <f t="shared" si="86"/>
        <v>11.829999999999927</v>
      </c>
      <c r="M108" s="2"/>
      <c r="N108" s="7">
        <f t="shared" si="87"/>
        <v>4.4818924724664526E-3</v>
      </c>
      <c r="O108" s="11"/>
      <c r="P108" s="6">
        <v>14189.57</v>
      </c>
      <c r="Q108" s="2"/>
      <c r="R108" s="7">
        <f t="shared" si="88"/>
        <v>1.5447504838726439E-3</v>
      </c>
      <c r="S108" s="2"/>
      <c r="T108" s="6">
        <v>15739.16</v>
      </c>
      <c r="U108" s="2"/>
      <c r="V108" s="7">
        <f t="shared" si="89"/>
        <v>1.7246979720087709E-3</v>
      </c>
      <c r="W108" s="2"/>
      <c r="X108" s="6">
        <f t="shared" si="90"/>
        <v>-1549.5900000000001</v>
      </c>
      <c r="Y108" s="2"/>
      <c r="Z108" s="7">
        <f t="shared" si="91"/>
        <v>-9.8454428317648474E-2</v>
      </c>
    </row>
    <row r="109" spans="1:26" s="27" customFormat="1" outlineLevel="1" collapsed="1" x14ac:dyDescent="0.25">
      <c r="A109" s="25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SUM(OSRRefD22_22x_0)</f>
        <v>1663.1</v>
      </c>
      <c r="E109" s="1"/>
      <c r="F109" s="5">
        <f t="shared" si="84"/>
        <v>1.3569660227326689E-3</v>
      </c>
      <c r="G109" s="1"/>
      <c r="H109" s="1">
        <f>SUM(OSRRefH22_22x_0)</f>
        <v>553.36</v>
      </c>
      <c r="I109" s="1"/>
      <c r="J109" s="5">
        <f t="shared" si="85"/>
        <v>3.9350276978347871E-4</v>
      </c>
      <c r="K109" s="1"/>
      <c r="L109" s="1">
        <f t="shared" si="86"/>
        <v>1109.7399999999998</v>
      </c>
      <c r="M109" s="1"/>
      <c r="N109" s="5">
        <f t="shared" si="87"/>
        <v>2.0054575683099607</v>
      </c>
      <c r="O109" s="13"/>
      <c r="P109" s="1">
        <f>SUM(OSRRefP22_22x_0)</f>
        <v>7572.87</v>
      </c>
      <c r="Q109" s="1"/>
      <c r="R109" s="5">
        <f t="shared" si="88"/>
        <v>8.2442206471405606E-4</v>
      </c>
      <c r="S109" s="1"/>
      <c r="T109" s="1">
        <f>SUM(OSRRefT22_22x_0)</f>
        <v>7726.18</v>
      </c>
      <c r="U109" s="1"/>
      <c r="V109" s="5">
        <f t="shared" si="89"/>
        <v>8.4663520654054767E-4</v>
      </c>
      <c r="W109" s="1"/>
      <c r="X109" s="1">
        <f t="shared" si="90"/>
        <v>-153.3100000000004</v>
      </c>
      <c r="Y109" s="1"/>
      <c r="Z109" s="5">
        <f t="shared" si="91"/>
        <v>-1.9842923669911961E-2</v>
      </c>
    </row>
    <row r="110" spans="1:26" s="24" customFormat="1" hidden="1" outlineLevel="2" x14ac:dyDescent="0.25">
      <c r="A110" s="26"/>
      <c r="B110" s="11" t="str">
        <f>CONCATENATE("          ", "6376", " - ", "TRAINING")</f>
        <v xml:space="preserve">          6376 - TRAINING</v>
      </c>
      <c r="C110" s="11"/>
      <c r="D110" s="6">
        <v>1663.1</v>
      </c>
      <c r="E110" s="2"/>
      <c r="F110" s="7">
        <f t="shared" si="84"/>
        <v>1.3569660227326689E-3</v>
      </c>
      <c r="G110" s="2"/>
      <c r="H110" s="6">
        <v>553.36</v>
      </c>
      <c r="I110" s="2"/>
      <c r="J110" s="7">
        <f t="shared" si="85"/>
        <v>3.9350276978347871E-4</v>
      </c>
      <c r="K110" s="2"/>
      <c r="L110" s="6">
        <f t="shared" si="86"/>
        <v>1109.7399999999998</v>
      </c>
      <c r="M110" s="2"/>
      <c r="N110" s="7">
        <f t="shared" si="87"/>
        <v>2.0054575683099607</v>
      </c>
      <c r="O110" s="11"/>
      <c r="P110" s="6">
        <v>7572.87</v>
      </c>
      <c r="Q110" s="2"/>
      <c r="R110" s="7">
        <f t="shared" si="88"/>
        <v>8.2442206471405606E-4</v>
      </c>
      <c r="S110" s="2"/>
      <c r="T110" s="6">
        <v>7726.18</v>
      </c>
      <c r="U110" s="2"/>
      <c r="V110" s="7">
        <f t="shared" si="89"/>
        <v>8.4663520654054767E-4</v>
      </c>
      <c r="W110" s="2"/>
      <c r="X110" s="6">
        <f t="shared" si="90"/>
        <v>-153.3100000000004</v>
      </c>
      <c r="Y110" s="2"/>
      <c r="Z110" s="7">
        <f t="shared" si="91"/>
        <v>-1.9842923669911961E-2</v>
      </c>
    </row>
    <row r="111" spans="1:26" s="27" customFormat="1" outlineLevel="1" collapsed="1" x14ac:dyDescent="0.25">
      <c r="A111" s="25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SUM(OSRRefD22_23x_0)</f>
        <v>1273.6300000000001</v>
      </c>
      <c r="E111" s="1"/>
      <c r="F111" s="5">
        <f t="shared" si="84"/>
        <v>1.0391874424466414E-3</v>
      </c>
      <c r="G111" s="1"/>
      <c r="H111" s="1">
        <f>SUM(OSRRefH22_23x_0)</f>
        <v>809.99</v>
      </c>
      <c r="I111" s="1"/>
      <c r="J111" s="5">
        <f t="shared" si="85"/>
        <v>5.7599629264298087E-4</v>
      </c>
      <c r="K111" s="1"/>
      <c r="L111" s="1">
        <f t="shared" si="86"/>
        <v>463.6400000000001</v>
      </c>
      <c r="M111" s="1"/>
      <c r="N111" s="5">
        <f t="shared" si="87"/>
        <v>0.57240212842133864</v>
      </c>
      <c r="O111" s="13"/>
      <c r="P111" s="1">
        <f>SUM(OSRRefP22_23x_0)</f>
        <v>4683.1000000000004</v>
      </c>
      <c r="Q111" s="1"/>
      <c r="R111" s="5">
        <f t="shared" si="88"/>
        <v>5.0982665373397354E-4</v>
      </c>
      <c r="S111" s="1"/>
      <c r="T111" s="1">
        <f>SUM(OSRRefT22_23x_0)</f>
        <v>4818.57</v>
      </c>
      <c r="U111" s="1"/>
      <c r="V111" s="5">
        <f t="shared" si="89"/>
        <v>5.2801915140212707E-4</v>
      </c>
      <c r="W111" s="1"/>
      <c r="X111" s="1">
        <f t="shared" si="90"/>
        <v>-135.46999999999935</v>
      </c>
      <c r="Y111" s="1"/>
      <c r="Z111" s="5">
        <f t="shared" si="91"/>
        <v>-2.8114150048665756E-2</v>
      </c>
    </row>
    <row r="112" spans="1:26" s="24" customFormat="1" hidden="1" outlineLevel="2" x14ac:dyDescent="0.25">
      <c r="A112" s="26"/>
      <c r="B112" s="11" t="str">
        <f>CONCATENATE("          ", "6292", " - ", "TRAVEL/CONFERENCE")</f>
        <v xml:space="preserve">          6292 - TRAVEL/CONFERENCE</v>
      </c>
      <c r="C112" s="11"/>
      <c r="D112" s="6">
        <v>1158.95</v>
      </c>
      <c r="E112" s="2"/>
      <c r="F112" s="7">
        <f t="shared" si="84"/>
        <v>9.4561708378692005E-4</v>
      </c>
      <c r="G112" s="2"/>
      <c r="H112" s="6">
        <v>571.20000000000005</v>
      </c>
      <c r="I112" s="2"/>
      <c r="J112" s="7">
        <f t="shared" si="85"/>
        <v>4.0618906697325983E-4</v>
      </c>
      <c r="K112" s="2"/>
      <c r="L112" s="6">
        <f t="shared" si="86"/>
        <v>587.75</v>
      </c>
      <c r="M112" s="2"/>
      <c r="N112" s="7">
        <f t="shared" si="87"/>
        <v>1.0289740896358543</v>
      </c>
      <c r="O112" s="11"/>
      <c r="P112" s="6">
        <v>3864.88</v>
      </c>
      <c r="Q112" s="2"/>
      <c r="R112" s="7">
        <f t="shared" si="88"/>
        <v>4.2075096356758554E-4</v>
      </c>
      <c r="S112" s="2"/>
      <c r="T112" s="6">
        <v>2318.5100000000002</v>
      </c>
      <c r="U112" s="2"/>
      <c r="V112" s="7">
        <f t="shared" si="89"/>
        <v>2.540624464763085E-4</v>
      </c>
      <c r="W112" s="2"/>
      <c r="X112" s="6">
        <f t="shared" si="90"/>
        <v>1546.37</v>
      </c>
      <c r="Y112" s="2"/>
      <c r="Z112" s="7">
        <f t="shared" si="91"/>
        <v>0.66696714700389459</v>
      </c>
    </row>
    <row r="113" spans="1:26" s="24" customFormat="1" hidden="1" outlineLevel="2" x14ac:dyDescent="0.25">
      <c r="A113" s="26"/>
      <c r="B113" s="11" t="str">
        <f>CONCATENATE("          ", "6294", " - ", "TRAVEL OPERATIONAL")</f>
        <v xml:space="preserve">          6294 - TRAVEL OPERATIONAL</v>
      </c>
      <c r="C113" s="11"/>
      <c r="D113" s="6"/>
      <c r="E113" s="2"/>
      <c r="F113" s="7">
        <f t="shared" si="84"/>
        <v>0</v>
      </c>
      <c r="G113" s="2"/>
      <c r="H113" s="6">
        <v>52.5</v>
      </c>
      <c r="I113" s="2"/>
      <c r="J113" s="7">
        <f t="shared" si="85"/>
        <v>3.7333553949748143E-5</v>
      </c>
      <c r="K113" s="2"/>
      <c r="L113" s="6">
        <f t="shared" si="86"/>
        <v>-52.5</v>
      </c>
      <c r="M113" s="2"/>
      <c r="N113" s="7">
        <f t="shared" si="87"/>
        <v>-1</v>
      </c>
      <c r="O113" s="11"/>
      <c r="P113" s="6">
        <v>45.49</v>
      </c>
      <c r="Q113" s="2"/>
      <c r="R113" s="7">
        <f t="shared" si="88"/>
        <v>4.9522782939417176E-6</v>
      </c>
      <c r="S113" s="2"/>
      <c r="T113" s="6">
        <v>1829.28</v>
      </c>
      <c r="U113" s="2"/>
      <c r="V113" s="7">
        <f t="shared" si="89"/>
        <v>2.004525976123379E-4</v>
      </c>
      <c r="W113" s="2"/>
      <c r="X113" s="6">
        <f t="shared" si="90"/>
        <v>-1783.79</v>
      </c>
      <c r="Y113" s="2"/>
      <c r="Z113" s="7">
        <f t="shared" si="91"/>
        <v>-0.97513229248666144</v>
      </c>
    </row>
    <row r="114" spans="1:26" s="24" customFormat="1" hidden="1" outlineLevel="2" x14ac:dyDescent="0.25">
      <c r="A114" s="26"/>
      <c r="B114" s="11" t="str">
        <f>CONCATENATE("          ", "6298", " - ", "VEHICLE MILEAGE")</f>
        <v xml:space="preserve">          6298 - VEHICLE MILEAGE</v>
      </c>
      <c r="C114" s="11"/>
      <c r="D114" s="6">
        <v>114.68</v>
      </c>
      <c r="E114" s="2"/>
      <c r="F114" s="7">
        <f t="shared" si="84"/>
        <v>9.3570358659721294E-5</v>
      </c>
      <c r="G114" s="2"/>
      <c r="H114" s="6">
        <v>186.29</v>
      </c>
      <c r="I114" s="2"/>
      <c r="J114" s="7">
        <f t="shared" si="85"/>
        <v>1.3247367171997297E-4</v>
      </c>
      <c r="K114" s="2"/>
      <c r="L114" s="6">
        <f t="shared" si="86"/>
        <v>-71.609999999999985</v>
      </c>
      <c r="M114" s="2"/>
      <c r="N114" s="7">
        <f t="shared" si="87"/>
        <v>-0.38440066562885816</v>
      </c>
      <c r="O114" s="11"/>
      <c r="P114" s="6">
        <v>772.73</v>
      </c>
      <c r="Q114" s="2"/>
      <c r="R114" s="7">
        <f t="shared" si="88"/>
        <v>8.4123411872446326E-5</v>
      </c>
      <c r="S114" s="2"/>
      <c r="T114" s="6">
        <v>670.78</v>
      </c>
      <c r="U114" s="2"/>
      <c r="V114" s="7">
        <f t="shared" si="89"/>
        <v>7.3504107313480726E-5</v>
      </c>
      <c r="W114" s="2"/>
      <c r="X114" s="6">
        <f t="shared" si="90"/>
        <v>101.95000000000005</v>
      </c>
      <c r="Y114" s="2"/>
      <c r="Z114" s="7">
        <f t="shared" si="91"/>
        <v>0.15198723873699282</v>
      </c>
    </row>
    <row r="115" spans="1:26" s="27" customFormat="1" outlineLevel="1" collapsed="1" x14ac:dyDescent="0.25">
      <c r="A115" s="25"/>
      <c r="B115" s="13" t="str">
        <f>CONCATENATE("     ","Utilities                                         ")</f>
        <v xml:space="preserve">     Utilities                                         </v>
      </c>
      <c r="C115" s="13"/>
      <c r="D115" s="1">
        <f>SUM(OSRRefD22_24x_0)</f>
        <v>38547</v>
      </c>
      <c r="E115" s="1"/>
      <c r="F115" s="5">
        <f t="shared" ref="F115:F116" si="92">IF(D$12=0,0,D115/D$12)</f>
        <v>3.1451487750752322E-2</v>
      </c>
      <c r="G115" s="1"/>
      <c r="H115" s="1">
        <f>SUM(OSRRefH22_24x_0)</f>
        <v>13691</v>
      </c>
      <c r="I115" s="1"/>
      <c r="J115" s="5">
        <f t="shared" ref="J115:J116" si="93">IF(H$12=0,0,H115/H$12)</f>
        <v>9.7358797547809871E-3</v>
      </c>
      <c r="K115" s="1"/>
      <c r="L115" s="1">
        <f t="shared" ref="L115:L116" si="94">+D115-H115</f>
        <v>24856</v>
      </c>
      <c r="M115" s="1"/>
      <c r="N115" s="5">
        <f t="shared" ref="N115:N116" si="95">IF(H115=0,0,L115/H115)</f>
        <v>1.8154992330728215</v>
      </c>
      <c r="O115" s="13"/>
      <c r="P115" s="1">
        <f>SUM(OSRRefP22_24x_0)</f>
        <v>96887</v>
      </c>
      <c r="Q115" s="1"/>
      <c r="R115" s="5">
        <f t="shared" ref="R115:R116" si="96">IF(P$12=0,0,P115/P$12)</f>
        <v>1.0547623369204905E-2</v>
      </c>
      <c r="S115" s="1"/>
      <c r="T115" s="1">
        <f>SUM(OSRRefT22_24x_0)</f>
        <v>58344.62</v>
      </c>
      <c r="U115" s="1"/>
      <c r="V115" s="5">
        <f t="shared" ref="V115:V116" si="97">IF(T$12=0,0,T115/T$12)</f>
        <v>6.3934064963836936E-3</v>
      </c>
      <c r="W115" s="1"/>
      <c r="X115" s="1">
        <f t="shared" ref="X115:X116" si="98">+P115-T115</f>
        <v>38542.379999999997</v>
      </c>
      <c r="Y115" s="1"/>
      <c r="Z115" s="5">
        <f t="shared" ref="Z115:Z116" si="99">IF(T115=0,0,X115/T115)</f>
        <v>0.66059869787479975</v>
      </c>
    </row>
    <row r="116" spans="1:26" s="24" customFormat="1" hidden="1" outlineLevel="2" x14ac:dyDescent="0.25">
      <c r="A116" s="26"/>
      <c r="B116" s="11" t="str">
        <f>CONCATENATE("          ", "6274", " - ", "UTILITIES")</f>
        <v xml:space="preserve">          6274 - UTILITIES</v>
      </c>
      <c r="C116" s="11"/>
      <c r="D116" s="6">
        <v>38547</v>
      </c>
      <c r="E116" s="2"/>
      <c r="F116" s="7">
        <f t="shared" si="92"/>
        <v>3.1451487750752322E-2</v>
      </c>
      <c r="G116" s="2"/>
      <c r="H116" s="6">
        <v>13691</v>
      </c>
      <c r="I116" s="2"/>
      <c r="J116" s="7">
        <f t="shared" si="93"/>
        <v>9.7358797547809871E-3</v>
      </c>
      <c r="K116" s="2"/>
      <c r="L116" s="6">
        <f t="shared" si="94"/>
        <v>24856</v>
      </c>
      <c r="M116" s="2"/>
      <c r="N116" s="7">
        <f t="shared" si="95"/>
        <v>1.8154992330728215</v>
      </c>
      <c r="O116" s="11"/>
      <c r="P116" s="6">
        <v>96887</v>
      </c>
      <c r="Q116" s="2"/>
      <c r="R116" s="7">
        <f t="shared" si="96"/>
        <v>1.0547623369204905E-2</v>
      </c>
      <c r="S116" s="2"/>
      <c r="T116" s="6">
        <v>58344.62</v>
      </c>
      <c r="U116" s="2"/>
      <c r="V116" s="7">
        <f t="shared" si="97"/>
        <v>6.3934064963836936E-3</v>
      </c>
      <c r="W116" s="2"/>
      <c r="X116" s="6">
        <f t="shared" si="98"/>
        <v>38542.379999999997</v>
      </c>
      <c r="Y116" s="2"/>
      <c r="Z116" s="7">
        <f t="shared" si="99"/>
        <v>0.66059869787479975</v>
      </c>
    </row>
    <row r="117" spans="1:26" s="61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8" t="s">
        <v>0</v>
      </c>
      <c r="C118" s="10"/>
      <c r="D118" s="4">
        <f>SUM(OSRRefD25x_0)</f>
        <v>21370.27</v>
      </c>
      <c r="E118" s="4"/>
      <c r="F118" s="12">
        <f t="shared" ref="F118:F121" si="100">IF(D$12=0,0,D118/D$12)</f>
        <v>1.7436552394097332E-2</v>
      </c>
      <c r="G118" s="4"/>
      <c r="H118" s="4">
        <f>SUM(OSRRefH25x_0)</f>
        <v>31985.91</v>
      </c>
      <c r="I118" s="4"/>
      <c r="J118" s="12">
        <f t="shared" ref="J118:J121" si="101">IF(H$12=0,0,H118/H$12)</f>
        <v>2.2745670411748353E-2</v>
      </c>
      <c r="K118" s="4"/>
      <c r="L118" s="4">
        <f t="shared" ref="L118:L121" si="102">+D118-H118</f>
        <v>-10615.64</v>
      </c>
      <c r="M118" s="4"/>
      <c r="N118" s="12">
        <f t="shared" ref="N118:N121" si="103">IF(H118=0,0,L118/H118)</f>
        <v>-0.33188488306257347</v>
      </c>
      <c r="O118" s="10"/>
      <c r="P118" s="4">
        <f>SUM(OSRRefP25x_0)</f>
        <v>514437.52999999997</v>
      </c>
      <c r="Q118" s="4"/>
      <c r="R118" s="12">
        <f t="shared" ref="R118:R121" si="104">IF(P$12=0,0,P118/P$12)</f>
        <v>5.6004348503143349E-2</v>
      </c>
      <c r="S118" s="4"/>
      <c r="T118" s="4">
        <f>SUM(OSRRefT25x_0)</f>
        <v>458217.86</v>
      </c>
      <c r="U118" s="4"/>
      <c r="V118" s="12">
        <f t="shared" ref="V118:V121" si="105">IF(T$12=0,0,T118/T$12)</f>
        <v>5.0211536948617262E-2</v>
      </c>
      <c r="W118" s="4"/>
      <c r="X118" s="4">
        <f t="shared" ref="X118:X121" si="106">+P118-T118</f>
        <v>56219.669999999984</v>
      </c>
      <c r="Y118" s="4"/>
      <c r="Z118" s="12">
        <f t="shared" ref="Z118:Z121" si="107">IF(T118=0,0,X118/T118)</f>
        <v>0.12269200942975027</v>
      </c>
    </row>
    <row r="119" spans="1:26" s="24" customFormat="1" hidden="1" outlineLevel="1" x14ac:dyDescent="0.25">
      <c r="A119" s="44"/>
      <c r="B119" s="11" t="str">
        <f>CONCATENATE("          ", "9150", " - ", "MISC. INCOME")</f>
        <v xml:space="preserve">          9150 - MISC. INCOME</v>
      </c>
      <c r="C119" s="11"/>
      <c r="D119" s="2">
        <f>--17328.33</f>
        <v>17328.330000000002</v>
      </c>
      <c r="E119" s="2"/>
      <c r="F119" s="19">
        <f t="shared" si="100"/>
        <v>1.413862969196031E-2</v>
      </c>
      <c r="G119" s="2"/>
      <c r="H119" s="2">
        <f>--31985.91</f>
        <v>31985.91</v>
      </c>
      <c r="I119" s="2"/>
      <c r="J119" s="19">
        <f t="shared" si="101"/>
        <v>2.2745670411748353E-2</v>
      </c>
      <c r="K119" s="2"/>
      <c r="L119" s="2">
        <f t="shared" si="102"/>
        <v>-14657.579999999998</v>
      </c>
      <c r="M119" s="2"/>
      <c r="N119" s="19">
        <f t="shared" si="103"/>
        <v>-0.45825114870891581</v>
      </c>
      <c r="O119" s="11"/>
      <c r="P119" s="2">
        <f>--182971.27</f>
        <v>182971.27</v>
      </c>
      <c r="Q119" s="2"/>
      <c r="R119" s="19">
        <f t="shared" si="104"/>
        <v>1.9919205294261361E-2</v>
      </c>
      <c r="S119" s="2"/>
      <c r="T119" s="2">
        <f>--179901.19</f>
        <v>179901.19</v>
      </c>
      <c r="U119" s="2"/>
      <c r="V119" s="19">
        <f t="shared" si="105"/>
        <v>1.9713581763891121E-2</v>
      </c>
      <c r="W119" s="2"/>
      <c r="X119" s="2">
        <f t="shared" si="106"/>
        <v>3070.0799999999872</v>
      </c>
      <c r="Y119" s="2"/>
      <c r="Z119" s="19">
        <f t="shared" si="107"/>
        <v>1.70653679389224E-2</v>
      </c>
    </row>
    <row r="120" spans="1:26" s="24" customFormat="1" hidden="1" outlineLevel="1" x14ac:dyDescent="0.25">
      <c r="A120" s="44"/>
      <c r="B120" s="11" t="str">
        <f>CONCATENATE("          ", "9160", " - ", "MISC. INCOME")</f>
        <v xml:space="preserve">          9160 - MISC. INCOME</v>
      </c>
      <c r="C120" s="11"/>
      <c r="D120" s="2">
        <f>0</f>
        <v>0</v>
      </c>
      <c r="E120" s="2"/>
      <c r="F120" s="19">
        <f t="shared" si="100"/>
        <v>0</v>
      </c>
      <c r="G120" s="2"/>
      <c r="H120" s="2">
        <f t="shared" ref="H120:H121" si="108">0</f>
        <v>0</v>
      </c>
      <c r="I120" s="2"/>
      <c r="J120" s="19">
        <f t="shared" si="101"/>
        <v>0</v>
      </c>
      <c r="K120" s="2"/>
      <c r="L120" s="2">
        <f t="shared" si="102"/>
        <v>0</v>
      </c>
      <c r="M120" s="2"/>
      <c r="N120" s="19">
        <f t="shared" si="103"/>
        <v>0</v>
      </c>
      <c r="O120" s="11"/>
      <c r="P120" s="2">
        <f>--104050.2</f>
        <v>104050.2</v>
      </c>
      <c r="Q120" s="2"/>
      <c r="R120" s="19">
        <f t="shared" si="104"/>
        <v>1.1327446624319509E-2</v>
      </c>
      <c r="S120" s="2"/>
      <c r="T120" s="2">
        <f>--60385.67</f>
        <v>60385.67</v>
      </c>
      <c r="U120" s="2"/>
      <c r="V120" s="19">
        <f t="shared" si="105"/>
        <v>6.6170648616184647E-3</v>
      </c>
      <c r="W120" s="2"/>
      <c r="X120" s="2">
        <f t="shared" si="106"/>
        <v>43664.53</v>
      </c>
      <c r="Y120" s="2"/>
      <c r="Z120" s="19">
        <f t="shared" si="107"/>
        <v>0.72309423742421008</v>
      </c>
    </row>
    <row r="121" spans="1:26" s="24" customFormat="1" hidden="1" outlineLevel="1" x14ac:dyDescent="0.25">
      <c r="A121" s="44"/>
      <c r="B121" s="11" t="str">
        <f>CONCATENATE("          ", "9165", " - ", "OTHER INCOME")</f>
        <v xml:space="preserve">          9165 - OTHER INCOME</v>
      </c>
      <c r="C121" s="11"/>
      <c r="D121" s="2">
        <f>--4041.94</f>
        <v>4041.94</v>
      </c>
      <c r="E121" s="2"/>
      <c r="F121" s="19">
        <f t="shared" si="100"/>
        <v>3.2979227021370234E-3</v>
      </c>
      <c r="G121" s="2"/>
      <c r="H121" s="2">
        <f t="shared" si="108"/>
        <v>0</v>
      </c>
      <c r="I121" s="2"/>
      <c r="J121" s="19">
        <f t="shared" si="101"/>
        <v>0</v>
      </c>
      <c r="K121" s="2"/>
      <c r="L121" s="2">
        <f t="shared" si="102"/>
        <v>4041.94</v>
      </c>
      <c r="M121" s="2"/>
      <c r="N121" s="19">
        <f t="shared" si="103"/>
        <v>0</v>
      </c>
      <c r="O121" s="11"/>
      <c r="P121" s="2">
        <f>--227416.06</f>
        <v>227416.06</v>
      </c>
      <c r="Q121" s="2"/>
      <c r="R121" s="19">
        <f t="shared" si="104"/>
        <v>2.4757696584562481E-2</v>
      </c>
      <c r="S121" s="2"/>
      <c r="T121" s="2">
        <f>--217931</f>
        <v>217931</v>
      </c>
      <c r="U121" s="2"/>
      <c r="V121" s="19">
        <f t="shared" si="105"/>
        <v>2.3880890323107678E-2</v>
      </c>
      <c r="W121" s="2"/>
      <c r="X121" s="2">
        <f t="shared" si="106"/>
        <v>9485.0599999999977</v>
      </c>
      <c r="Y121" s="2"/>
      <c r="Z121" s="19">
        <f t="shared" si="107"/>
        <v>4.3523225241016643E-2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9" t="s">
        <v>3</v>
      </c>
      <c r="C123" s="29"/>
      <c r="D123" s="20">
        <f>+D30-D32+D118</f>
        <v>16166.740000000089</v>
      </c>
      <c r="E123" s="14"/>
      <c r="F123" s="21">
        <f>IF(D$12=0,0,D123/D$12)</f>
        <v>1.3190858564339648E-2</v>
      </c>
      <c r="G123" s="14"/>
      <c r="H123" s="20">
        <f>+H30-H32+H118</f>
        <v>237203.16</v>
      </c>
      <c r="I123" s="14"/>
      <c r="J123" s="21">
        <f>IF(H$12=0,0,H123/H$12)</f>
        <v>0.16867879944591888</v>
      </c>
      <c r="K123" s="15"/>
      <c r="L123" s="20">
        <f>+D123-H123</f>
        <v>-221036.41999999993</v>
      </c>
      <c r="M123" s="15"/>
      <c r="N123" s="21">
        <f>IF(H123=0,0,L123/H123)</f>
        <v>-0.93184433124752608</v>
      </c>
      <c r="O123" s="28"/>
      <c r="P123" s="20">
        <f>+P30-P32+P118</f>
        <v>1405381.2700000003</v>
      </c>
      <c r="Q123" s="14"/>
      <c r="R123" s="21">
        <f>IF(P$12=0,0,P123/P$12)</f>
        <v>0.15299712372242791</v>
      </c>
      <c r="S123" s="14"/>
      <c r="T123" s="20">
        <f>+T30-T32+T118</f>
        <v>1825585.48</v>
      </c>
      <c r="U123" s="14"/>
      <c r="V123" s="21">
        <f>IF(T$12=0,0,T123/T$12)</f>
        <v>0.20004775191844154</v>
      </c>
      <c r="W123" s="15"/>
      <c r="X123" s="20">
        <f>+P123-T123</f>
        <v>-420204.20999999973</v>
      </c>
      <c r="Y123" s="15"/>
      <c r="Z123" s="21">
        <f>IF(T123=0,0,X123/T123)</f>
        <v>-0.23017503951663756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1"/>
      <c r="B125" s="10" t="s">
        <v>13</v>
      </c>
      <c r="C125" s="10"/>
      <c r="D125" s="4">
        <v>149205.74</v>
      </c>
      <c r="E125" s="4"/>
      <c r="F125" s="12">
        <f>IF(D$12=0,0,D125/D$12)</f>
        <v>0.12174079705170145</v>
      </c>
      <c r="G125" s="4"/>
      <c r="H125" s="4">
        <v>172541.44</v>
      </c>
      <c r="I125" s="4"/>
      <c r="J125" s="12">
        <f>IF(H$12=0,0,H125/H$12)</f>
        <v>0.1226968601677568</v>
      </c>
      <c r="K125" s="4"/>
      <c r="L125" s="4">
        <f>+D125-H125</f>
        <v>-23335.700000000012</v>
      </c>
      <c r="M125" s="4"/>
      <c r="N125" s="12">
        <f>IF(H125=0,0,L125/H125)</f>
        <v>-0.13524692966512863</v>
      </c>
      <c r="O125" s="10"/>
      <c r="P125" s="4">
        <v>992123.2300000001</v>
      </c>
      <c r="Q125" s="4"/>
      <c r="R125" s="12">
        <f>IF(P$12=0,0,P125/P$12)</f>
        <v>0.10800770140348091</v>
      </c>
      <c r="S125" s="4"/>
      <c r="T125" s="4">
        <v>984806.40000000002</v>
      </c>
      <c r="U125" s="4"/>
      <c r="V125" s="12">
        <f>IF(T$12=0,0,T125/T$12)</f>
        <v>0.1079151365702654</v>
      </c>
      <c r="W125" s="4"/>
      <c r="X125" s="4">
        <f>+P125-T125</f>
        <v>7316.8300000000745</v>
      </c>
      <c r="Y125" s="4"/>
      <c r="Z125" s="12">
        <f>IF(T125=0,0,X125/T125)</f>
        <v>7.4297141042138576E-3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4</v>
      </c>
      <c r="C127" s="29"/>
      <c r="D127" s="32">
        <f>+D123-D125</f>
        <v>-133038.99999999991</v>
      </c>
      <c r="E127" s="14"/>
      <c r="F127" s="30">
        <f>IF(D$12=0,0,D127/D$12)</f>
        <v>-0.1085499384873618</v>
      </c>
      <c r="G127" s="14"/>
      <c r="H127" s="32">
        <f>+H123-H125</f>
        <v>64661.72</v>
      </c>
      <c r="I127" s="14"/>
      <c r="J127" s="30">
        <f>IF(H$12=0,0,H127/H$12)</f>
        <v>4.5981939278162069E-2</v>
      </c>
      <c r="K127" s="15"/>
      <c r="L127" s="32">
        <f>D127-H127</f>
        <v>-197700.71999999991</v>
      </c>
      <c r="M127" s="15"/>
      <c r="N127" s="30">
        <f>IF(H127=0,0,L127/H127)</f>
        <v>-3.0574615089112989</v>
      </c>
      <c r="O127" s="28"/>
      <c r="P127" s="32">
        <f>+P123-P125</f>
        <v>413258.04000000015</v>
      </c>
      <c r="Q127" s="14"/>
      <c r="R127" s="30">
        <f>IF(P$12=0,0,P127/P$12)</f>
        <v>4.4989422318946995E-2</v>
      </c>
      <c r="S127" s="14"/>
      <c r="T127" s="32">
        <f>+T123-T125</f>
        <v>840779.08</v>
      </c>
      <c r="U127" s="14"/>
      <c r="V127" s="30">
        <f>IF(T$12=0,0,T127/T$12)</f>
        <v>9.2132615348176142E-2</v>
      </c>
      <c r="W127" s="15"/>
      <c r="X127" s="32">
        <f>P127-T127</f>
        <v>-427521.0399999998</v>
      </c>
      <c r="Y127" s="15"/>
      <c r="Z127" s="30">
        <f>IF(T127=0,0,X127/T127)</f>
        <v>-0.50848201408626847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5</v>
      </c>
      <c r="C130" s="29"/>
      <c r="D130" s="36">
        <f>SUM(D127:D129)</f>
        <v>-133038.99999999991</v>
      </c>
      <c r="E130" s="14"/>
      <c r="F130" s="31">
        <f>IF(D$12=0,0,D130/D$12)</f>
        <v>-0.1085499384873618</v>
      </c>
      <c r="G130" s="14"/>
      <c r="H130" s="36">
        <f>SUM(H127:H129)</f>
        <v>64661.72</v>
      </c>
      <c r="I130" s="14"/>
      <c r="J130" s="31">
        <f>IF(H$12=0,0,H130/H$12)</f>
        <v>4.5981939278162069E-2</v>
      </c>
      <c r="K130" s="15"/>
      <c r="L130" s="36">
        <f>+D130-H130</f>
        <v>-197700.71999999991</v>
      </c>
      <c r="M130" s="15"/>
      <c r="N130" s="31">
        <f>IF(H130=0,0,L130/H130)</f>
        <v>-3.0574615089112989</v>
      </c>
      <c r="O130" s="28"/>
      <c r="P130" s="36">
        <f>SUM(P127:P129)</f>
        <v>413258.04000000015</v>
      </c>
      <c r="Q130" s="14"/>
      <c r="R130" s="31">
        <f>IF(P$12=0,0,P130/P$12)</f>
        <v>4.4989422318946995E-2</v>
      </c>
      <c r="S130" s="14"/>
      <c r="T130" s="36">
        <f>SUM(T127:T129)</f>
        <v>840779.08</v>
      </c>
      <c r="U130" s="14"/>
      <c r="V130" s="31">
        <f>IF(T$12=0,0,T130/T$12)</f>
        <v>9.2132615348176142E-2</v>
      </c>
      <c r="W130" s="15"/>
      <c r="X130" s="36">
        <f>+P130-T130</f>
        <v>-427521.0399999998</v>
      </c>
      <c r="Y130" s="15"/>
      <c r="Z130" s="31">
        <f>IF(T130=0,0,X130/T130)</f>
        <v>-0.50848201408626847</v>
      </c>
    </row>
    <row r="131" spans="1:26" ht="15.75" thickTop="1" x14ac:dyDescent="0.25">
      <c r="A131" s="9"/>
      <c r="C131" s="9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6" x14ac:dyDescent="0.25">
      <c r="A132" s="9"/>
      <c r="B132" s="62">
        <v>43847.453298148146</v>
      </c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6" t="s">
        <v>313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4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312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634954.82999999996</v>
      </c>
      <c r="E12" s="4"/>
      <c r="F12" s="12"/>
      <c r="G12" s="4"/>
      <c r="H12" s="4">
        <f>SUM(OSRRefH13x_0)</f>
        <v>751783.51</v>
      </c>
      <c r="I12" s="4"/>
      <c r="J12" s="12"/>
      <c r="K12" s="4"/>
      <c r="L12" s="4">
        <f t="shared" ref="L12:L30" si="0">+D12-H12</f>
        <v>-116828.68000000005</v>
      </c>
      <c r="M12" s="4"/>
      <c r="N12" s="12">
        <f t="shared" ref="N12:N30" si="1">IF(H12=0,0,L12/H12)</f>
        <v>-0.15540202524527313</v>
      </c>
      <c r="O12" s="10"/>
      <c r="P12" s="4">
        <f>SUM(OSRRefP13x_0)</f>
        <v>4724149.870000001</v>
      </c>
      <c r="Q12" s="4"/>
      <c r="R12" s="12"/>
      <c r="S12" s="4"/>
      <c r="T12" s="4">
        <f>SUM(OSRRefT13x_0)</f>
        <v>4827698.1000000006</v>
      </c>
      <c r="U12" s="4"/>
      <c r="V12" s="12"/>
      <c r="W12" s="4"/>
      <c r="X12" s="4">
        <f t="shared" ref="X12:X30" si="2">+P12-T12</f>
        <v>-103548.22999999952</v>
      </c>
      <c r="Y12" s="4"/>
      <c r="Z12" s="12">
        <f t="shared" ref="Z12:Z30" si="3">IF(T12=0,0,X12/T12)</f>
        <v>-2.1448779077548264E-2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--28435.15</f>
        <v>28435.15</v>
      </c>
      <c r="E13" s="2"/>
      <c r="F13" s="19"/>
      <c r="G13" s="2"/>
      <c r="H13" s="2">
        <f>--33417.75</f>
        <v>33417.75</v>
      </c>
      <c r="I13" s="2"/>
      <c r="J13" s="19"/>
      <c r="K13" s="2"/>
      <c r="L13" s="2">
        <f t="shared" si="0"/>
        <v>-4982.5999999999985</v>
      </c>
      <c r="M13" s="2"/>
      <c r="N13" s="19">
        <f t="shared" si="1"/>
        <v>-0.14910040322882295</v>
      </c>
      <c r="O13" s="11"/>
      <c r="P13" s="2">
        <f>--189948.88</f>
        <v>189948.88</v>
      </c>
      <c r="Q13" s="2"/>
      <c r="R13" s="19"/>
      <c r="S13" s="2"/>
      <c r="T13" s="2">
        <f>--197471.77</f>
        <v>197471.77</v>
      </c>
      <c r="U13" s="2"/>
      <c r="V13" s="19"/>
      <c r="W13" s="2"/>
      <c r="X13" s="2">
        <f t="shared" si="2"/>
        <v>-7522.8899999999849</v>
      </c>
      <c r="Y13" s="2"/>
      <c r="Z13" s="19">
        <f t="shared" si="3"/>
        <v>-3.8096027599286646E-2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--282.75</f>
        <v>282.75</v>
      </c>
      <c r="E15" s="2"/>
      <c r="F15" s="19"/>
      <c r="G15" s="2"/>
      <c r="H15" s="2">
        <f>--189.88</f>
        <v>189.88</v>
      </c>
      <c r="I15" s="2"/>
      <c r="J15" s="19"/>
      <c r="K15" s="2"/>
      <c r="L15" s="2">
        <f t="shared" si="0"/>
        <v>92.87</v>
      </c>
      <c r="M15" s="2"/>
      <c r="N15" s="19">
        <f t="shared" si="1"/>
        <v>0.48909837792289873</v>
      </c>
      <c r="O15" s="11"/>
      <c r="P15" s="2">
        <f>--2201.92</f>
        <v>2201.92</v>
      </c>
      <c r="Q15" s="2"/>
      <c r="R15" s="19"/>
      <c r="S15" s="2"/>
      <c r="T15" s="2">
        <f>--1319.17</f>
        <v>1319.17</v>
      </c>
      <c r="U15" s="2"/>
      <c r="V15" s="19"/>
      <c r="W15" s="2"/>
      <c r="X15" s="2">
        <f t="shared" si="2"/>
        <v>882.75</v>
      </c>
      <c r="Y15" s="2"/>
      <c r="Z15" s="19">
        <f t="shared" si="3"/>
        <v>0.66917076646679352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--57092.23</f>
        <v>57092.23</v>
      </c>
      <c r="E16" s="2"/>
      <c r="F16" s="19"/>
      <c r="G16" s="2"/>
      <c r="H16" s="2">
        <f>--73269.55</f>
        <v>73269.55</v>
      </c>
      <c r="I16" s="2"/>
      <c r="J16" s="19"/>
      <c r="K16" s="2"/>
      <c r="L16" s="2">
        <f t="shared" si="0"/>
        <v>-16177.32</v>
      </c>
      <c r="M16" s="2"/>
      <c r="N16" s="19">
        <f t="shared" si="1"/>
        <v>-0.2207918569173688</v>
      </c>
      <c r="O16" s="11"/>
      <c r="P16" s="2">
        <f>--432096.75</f>
        <v>432096.75</v>
      </c>
      <c r="Q16" s="2"/>
      <c r="R16" s="19"/>
      <c r="S16" s="2"/>
      <c r="T16" s="2">
        <f>--471639.37</f>
        <v>471639.37</v>
      </c>
      <c r="U16" s="2"/>
      <c r="V16" s="19"/>
      <c r="W16" s="2"/>
      <c r="X16" s="2">
        <f t="shared" si="2"/>
        <v>-39542.619999999995</v>
      </c>
      <c r="Y16" s="2"/>
      <c r="Z16" s="19">
        <f t="shared" si="3"/>
        <v>-8.3840795563780005E-2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--82451.12</f>
        <v>82451.12</v>
      </c>
      <c r="E17" s="2"/>
      <c r="F17" s="19"/>
      <c r="G17" s="2"/>
      <c r="H17" s="2">
        <f>--105122.28</f>
        <v>105122.28</v>
      </c>
      <c r="I17" s="2"/>
      <c r="J17" s="19"/>
      <c r="K17" s="2"/>
      <c r="L17" s="2">
        <f t="shared" si="0"/>
        <v>-22671.160000000003</v>
      </c>
      <c r="M17" s="2"/>
      <c r="N17" s="19">
        <f t="shared" si="1"/>
        <v>-0.21566465263120249</v>
      </c>
      <c r="O17" s="11"/>
      <c r="P17" s="2">
        <f>--536296.65</f>
        <v>536296.65</v>
      </c>
      <c r="Q17" s="2"/>
      <c r="R17" s="19"/>
      <c r="S17" s="2"/>
      <c r="T17" s="2">
        <f>--673989.69</f>
        <v>673989.69</v>
      </c>
      <c r="U17" s="2"/>
      <c r="V17" s="19"/>
      <c r="W17" s="2"/>
      <c r="X17" s="2">
        <f t="shared" si="2"/>
        <v>-137693.03999999992</v>
      </c>
      <c r="Y17" s="2"/>
      <c r="Z17" s="19">
        <f t="shared" si="3"/>
        <v>-0.20429546926748973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--15916.58</f>
        <v>15916.58</v>
      </c>
      <c r="E18" s="2"/>
      <c r="F18" s="19"/>
      <c r="G18" s="2"/>
      <c r="H18" s="2">
        <f>--25210.01</f>
        <v>25210.01</v>
      </c>
      <c r="I18" s="2"/>
      <c r="J18" s="19"/>
      <c r="K18" s="2"/>
      <c r="L18" s="2">
        <f t="shared" si="0"/>
        <v>-9293.4299999999985</v>
      </c>
      <c r="M18" s="2"/>
      <c r="N18" s="19">
        <f t="shared" si="1"/>
        <v>-0.36864047257418775</v>
      </c>
      <c r="O18" s="11"/>
      <c r="P18" s="2">
        <f>--86431.87</f>
        <v>86431.87</v>
      </c>
      <c r="Q18" s="2"/>
      <c r="R18" s="19"/>
      <c r="S18" s="2"/>
      <c r="T18" s="2">
        <f>--82050.96</f>
        <v>82050.960000000006</v>
      </c>
      <c r="U18" s="2"/>
      <c r="V18" s="19"/>
      <c r="W18" s="2"/>
      <c r="X18" s="2">
        <f t="shared" si="2"/>
        <v>4380.9099999999889</v>
      </c>
      <c r="Y18" s="2"/>
      <c r="Z18" s="19">
        <f t="shared" si="3"/>
        <v>5.3392550190759357E-2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--36745.98</f>
        <v>36745.980000000003</v>
      </c>
      <c r="E19" s="2"/>
      <c r="F19" s="19"/>
      <c r="G19" s="2"/>
      <c r="H19" s="2">
        <f>--48684.59</f>
        <v>48684.59</v>
      </c>
      <c r="I19" s="2"/>
      <c r="J19" s="19"/>
      <c r="K19" s="2"/>
      <c r="L19" s="2">
        <f t="shared" si="0"/>
        <v>-11938.609999999993</v>
      </c>
      <c r="M19" s="2"/>
      <c r="N19" s="19">
        <f t="shared" si="1"/>
        <v>-0.2452235912842235</v>
      </c>
      <c r="O19" s="11"/>
      <c r="P19" s="2">
        <f>--271853.95</f>
        <v>271853.95</v>
      </c>
      <c r="Q19" s="2"/>
      <c r="R19" s="19"/>
      <c r="S19" s="2"/>
      <c r="T19" s="2">
        <f>--316320.95</f>
        <v>316320.95</v>
      </c>
      <c r="U19" s="2"/>
      <c r="V19" s="19"/>
      <c r="W19" s="2"/>
      <c r="X19" s="2">
        <f t="shared" si="2"/>
        <v>-44467</v>
      </c>
      <c r="Y19" s="2"/>
      <c r="Z19" s="19">
        <f t="shared" si="3"/>
        <v>-0.14057557679945004</v>
      </c>
    </row>
    <row r="20" spans="1:26" s="24" customFormat="1" hidden="1" outlineLevel="1" x14ac:dyDescent="0.25">
      <c r="A20" s="44"/>
      <c r="B20" s="11" t="str">
        <f>CONCATENATE("          ", "4057", " - ", "TAXABLE SALES-FOOD")</f>
        <v xml:space="preserve">          4057 - TAXABLE SALES-FOOD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--11506.08</f>
        <v>11506.08</v>
      </c>
      <c r="U20" s="2"/>
      <c r="V20" s="19"/>
      <c r="W20" s="2"/>
      <c r="X20" s="2">
        <f t="shared" si="2"/>
        <v>-11506.08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"4058", " - ", "TAXABLE SALES-FOOD")</f>
        <v xml:space="preserve">          4058 - TAXABLE SALES-FOOD</v>
      </c>
      <c r="C21" s="11"/>
      <c r="D21" s="2">
        <f>--9096.8</f>
        <v>9096.7999999999993</v>
      </c>
      <c r="E21" s="2"/>
      <c r="F21" s="19"/>
      <c r="G21" s="2"/>
      <c r="H21" s="2">
        <f>--12611.6</f>
        <v>12611.6</v>
      </c>
      <c r="I21" s="2"/>
      <c r="J21" s="19"/>
      <c r="K21" s="2"/>
      <c r="L21" s="2">
        <f t="shared" si="0"/>
        <v>-3514.8000000000011</v>
      </c>
      <c r="M21" s="2"/>
      <c r="N21" s="19">
        <f t="shared" si="1"/>
        <v>-0.27869580386311021</v>
      </c>
      <c r="O21" s="11"/>
      <c r="P21" s="2">
        <f>--87899.21</f>
        <v>87899.21</v>
      </c>
      <c r="Q21" s="2"/>
      <c r="R21" s="19"/>
      <c r="S21" s="2"/>
      <c r="T21" s="2">
        <f>--121610.75</f>
        <v>121610.75</v>
      </c>
      <c r="U21" s="2"/>
      <c r="V21" s="19"/>
      <c r="W21" s="2"/>
      <c r="X21" s="2">
        <f t="shared" si="2"/>
        <v>-33711.539999999994</v>
      </c>
      <c r="Y21" s="2"/>
      <c r="Z21" s="19">
        <f t="shared" si="3"/>
        <v>-0.27720855269784944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--84051.32</f>
        <v>84051.32</v>
      </c>
      <c r="E22" s="2"/>
      <c r="F22" s="19"/>
      <c r="G22" s="2"/>
      <c r="H22" s="2">
        <f>--84056.69</f>
        <v>84056.69</v>
      </c>
      <c r="I22" s="2"/>
      <c r="J22" s="19"/>
      <c r="K22" s="2"/>
      <c r="L22" s="2">
        <f t="shared" si="0"/>
        <v>-5.3699999999953434</v>
      </c>
      <c r="M22" s="2"/>
      <c r="N22" s="19">
        <f t="shared" si="1"/>
        <v>-6.3885456350890605E-5</v>
      </c>
      <c r="O22" s="11"/>
      <c r="P22" s="2">
        <f>--739121.72</f>
        <v>739121.72</v>
      </c>
      <c r="Q22" s="2"/>
      <c r="R22" s="19"/>
      <c r="S22" s="2"/>
      <c r="T22" s="2">
        <f>--669908.3</f>
        <v>669908.30000000005</v>
      </c>
      <c r="U22" s="2"/>
      <c r="V22" s="19"/>
      <c r="W22" s="2"/>
      <c r="X22" s="2">
        <f t="shared" si="2"/>
        <v>69213.419999999925</v>
      </c>
      <c r="Y22" s="2"/>
      <c r="Z22" s="19">
        <f t="shared" si="3"/>
        <v>0.10331775259389968</v>
      </c>
    </row>
    <row r="23" spans="1:26" s="24" customFormat="1" hidden="1" outlineLevel="1" x14ac:dyDescent="0.25">
      <c r="A23" s="44"/>
      <c r="B23" s="11" t="str">
        <f>CONCATENATE("          ", "4134", " - ", "NON-TAXABLE SALES-SODA")</f>
        <v xml:space="preserve">          4134 - NON-TAXABLE SALES-SODA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--0.39</f>
        <v>0.39</v>
      </c>
      <c r="Q23" s="2"/>
      <c r="R23" s="19"/>
      <c r="S23" s="2"/>
      <c r="T23" s="2">
        <f>--53.94</f>
        <v>53.94</v>
      </c>
      <c r="U23" s="2"/>
      <c r="V23" s="19"/>
      <c r="W23" s="2"/>
      <c r="X23" s="2">
        <f t="shared" si="2"/>
        <v>-53.55</v>
      </c>
      <c r="Y23" s="2"/>
      <c r="Z23" s="19">
        <f t="shared" si="3"/>
        <v>-0.99276974416017794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--125.56</f>
        <v>125.56</v>
      </c>
      <c r="E24" s="2"/>
      <c r="F24" s="19"/>
      <c r="G24" s="2"/>
      <c r="H24" s="2">
        <f>--139.28</f>
        <v>139.28</v>
      </c>
      <c r="I24" s="2"/>
      <c r="J24" s="19"/>
      <c r="K24" s="2"/>
      <c r="L24" s="2">
        <f t="shared" si="0"/>
        <v>-13.719999999999999</v>
      </c>
      <c r="M24" s="2"/>
      <c r="N24" s="19">
        <f t="shared" si="1"/>
        <v>-9.8506605399195854E-2</v>
      </c>
      <c r="O24" s="11"/>
      <c r="P24" s="2">
        <f>--1150.1</f>
        <v>1150.0999999999999</v>
      </c>
      <c r="Q24" s="2"/>
      <c r="R24" s="19"/>
      <c r="S24" s="2"/>
      <c r="T24" s="2">
        <f>--1401.49</f>
        <v>1401.49</v>
      </c>
      <c r="U24" s="2"/>
      <c r="V24" s="19"/>
      <c r="W24" s="2"/>
      <c r="X24" s="2">
        <f t="shared" si="2"/>
        <v>-251.3900000000001</v>
      </c>
      <c r="Y24" s="2"/>
      <c r="Z24" s="19">
        <f t="shared" si="3"/>
        <v>-0.17937338118716517</v>
      </c>
    </row>
    <row r="25" spans="1:26" s="24" customFormat="1" hidden="1" outlineLevel="1" x14ac:dyDescent="0.25">
      <c r="A25" s="44"/>
      <c r="B25" s="11" t="str">
        <f>CONCATENATE("          ", "4151", " - ", "NON-TAXABLE SALES-FOOD")</f>
        <v xml:space="preserve">          4151 - NON-TAXABLE SALES-FOOD</v>
      </c>
      <c r="C25" s="11"/>
      <c r="D25" s="2">
        <f>--204747.05</f>
        <v>204747.05</v>
      </c>
      <c r="E25" s="2"/>
      <c r="F25" s="19"/>
      <c r="G25" s="2"/>
      <c r="H25" s="2">
        <f>--242772.39</f>
        <v>242772.39</v>
      </c>
      <c r="I25" s="2"/>
      <c r="J25" s="19"/>
      <c r="K25" s="2"/>
      <c r="L25" s="2">
        <f t="shared" si="0"/>
        <v>-38025.340000000026</v>
      </c>
      <c r="M25" s="2"/>
      <c r="N25" s="19">
        <f t="shared" si="1"/>
        <v>-0.15662959037475399</v>
      </c>
      <c r="O25" s="11"/>
      <c r="P25" s="2">
        <f>--1529617.24</f>
        <v>1529617.24</v>
      </c>
      <c r="Q25" s="2"/>
      <c r="R25" s="19"/>
      <c r="S25" s="2"/>
      <c r="T25" s="2">
        <f>--1471696.31</f>
        <v>1471696.31</v>
      </c>
      <c r="U25" s="2"/>
      <c r="V25" s="19"/>
      <c r="W25" s="2"/>
      <c r="X25" s="2">
        <f t="shared" si="2"/>
        <v>57920.929999999935</v>
      </c>
      <c r="Y25" s="2"/>
      <c r="Z25" s="19">
        <f t="shared" si="3"/>
        <v>3.9356577580873277E-2</v>
      </c>
    </row>
    <row r="26" spans="1:26" s="24" customFormat="1" hidden="1" outlineLevel="1" x14ac:dyDescent="0.25">
      <c r="A26" s="44"/>
      <c r="B26" s="11" t="str">
        <f>CONCATENATE("          ", "4152", " - ", "NON-TAXABLE SALES-FOOD")</f>
        <v xml:space="preserve">          4152 - NON-TAXABLE SALES-FOOD</v>
      </c>
      <c r="C26" s="11"/>
      <c r="D26" s="2">
        <f>--4293.35</f>
        <v>4293.3500000000004</v>
      </c>
      <c r="E26" s="2"/>
      <c r="F26" s="19"/>
      <c r="G26" s="2"/>
      <c r="H26" s="2">
        <f>--6226.42</f>
        <v>6226.42</v>
      </c>
      <c r="I26" s="2"/>
      <c r="J26" s="19"/>
      <c r="K26" s="2"/>
      <c r="L26" s="2">
        <f t="shared" si="0"/>
        <v>-1933.0699999999997</v>
      </c>
      <c r="M26" s="2"/>
      <c r="N26" s="19">
        <f t="shared" si="1"/>
        <v>-0.31046251296892913</v>
      </c>
      <c r="O26" s="11"/>
      <c r="P26" s="2">
        <f>--34634.8</f>
        <v>34634.800000000003</v>
      </c>
      <c r="Q26" s="2"/>
      <c r="R26" s="19"/>
      <c r="S26" s="2"/>
      <c r="T26" s="2">
        <f>--40503.52</f>
        <v>40503.519999999997</v>
      </c>
      <c r="U26" s="2"/>
      <c r="V26" s="19"/>
      <c r="W26" s="2"/>
      <c r="X26" s="2">
        <f t="shared" si="2"/>
        <v>-5868.7199999999939</v>
      </c>
      <c r="Y26" s="2"/>
      <c r="Z26" s="19">
        <f t="shared" si="3"/>
        <v>-0.14489407340399044</v>
      </c>
    </row>
    <row r="27" spans="1:26" s="24" customFormat="1" hidden="1" outlineLevel="1" x14ac:dyDescent="0.25">
      <c r="A27" s="44"/>
      <c r="B27" s="11" t="str">
        <f>CONCATENATE("          ", "4153", " - ", "NON-TAXABLE SALES-FOOD")</f>
        <v xml:space="preserve">          4153 - NON-TAXABLE SALES-FOOD</v>
      </c>
      <c r="C27" s="11"/>
      <c r="D27" s="2">
        <f>--2733</f>
        <v>2733</v>
      </c>
      <c r="E27" s="2"/>
      <c r="F27" s="19"/>
      <c r="G27" s="2"/>
      <c r="H27" s="2">
        <f>--1745</f>
        <v>1745</v>
      </c>
      <c r="I27" s="2"/>
      <c r="J27" s="19"/>
      <c r="K27" s="2"/>
      <c r="L27" s="2">
        <f t="shared" si="0"/>
        <v>988</v>
      </c>
      <c r="M27" s="2"/>
      <c r="N27" s="19">
        <f t="shared" si="1"/>
        <v>0.56618911174785103</v>
      </c>
      <c r="O27" s="11"/>
      <c r="P27" s="2">
        <f>--9560</f>
        <v>9560</v>
      </c>
      <c r="Q27" s="2"/>
      <c r="R27" s="19"/>
      <c r="S27" s="2"/>
      <c r="T27" s="2">
        <f>--7715.13</f>
        <v>7715.13</v>
      </c>
      <c r="U27" s="2"/>
      <c r="V27" s="19"/>
      <c r="W27" s="2"/>
      <c r="X27" s="2">
        <f t="shared" si="2"/>
        <v>1844.87</v>
      </c>
      <c r="Y27" s="2"/>
      <c r="Z27" s="19">
        <f t="shared" si="3"/>
        <v>0.23912364406043707</v>
      </c>
    </row>
    <row r="28" spans="1:26" s="24" customFormat="1" hidden="1" outlineLevel="1" x14ac:dyDescent="0.25">
      <c r="A28" s="44"/>
      <c r="B28" s="11" t="str">
        <f>CONCATENATE("          ", "4155", " - ", "NON-TAXABLE SALES-FOOD")</f>
        <v xml:space="preserve">          4155 - NON-TAXABLE SALES-FOOD</v>
      </c>
      <c r="C28" s="11"/>
      <c r="D28" s="2">
        <f>--63255.26</f>
        <v>63255.26</v>
      </c>
      <c r="E28" s="2"/>
      <c r="F28" s="19"/>
      <c r="G28" s="2"/>
      <c r="H28" s="2">
        <f>--70436.01</f>
        <v>70436.009999999995</v>
      </c>
      <c r="I28" s="2"/>
      <c r="J28" s="19"/>
      <c r="K28" s="2"/>
      <c r="L28" s="2">
        <f t="shared" si="0"/>
        <v>-7180.7499999999927</v>
      </c>
      <c r="M28" s="2"/>
      <c r="N28" s="19">
        <f t="shared" si="1"/>
        <v>-0.10194714322972004</v>
      </c>
      <c r="O28" s="11"/>
      <c r="P28" s="2">
        <f>--484720.45</f>
        <v>484720.45</v>
      </c>
      <c r="Q28" s="2"/>
      <c r="R28" s="19"/>
      <c r="S28" s="2"/>
      <c r="T28" s="2">
        <f>--448108.51</f>
        <v>448108.51</v>
      </c>
      <c r="U28" s="2"/>
      <c r="V28" s="19"/>
      <c r="W28" s="2"/>
      <c r="X28" s="2">
        <f t="shared" si="2"/>
        <v>36611.94</v>
      </c>
      <c r="Y28" s="2"/>
      <c r="Z28" s="19">
        <f t="shared" si="3"/>
        <v>8.1703291017615351E-2</v>
      </c>
    </row>
    <row r="29" spans="1:26" s="24" customFormat="1" hidden="1" outlineLevel="1" x14ac:dyDescent="0.25">
      <c r="A29" s="44"/>
      <c r="B29" s="11" t="str">
        <f>CONCATENATE("          ", "4158", " - ", "NON-TAXABLE SALES-FOOD")</f>
        <v xml:space="preserve">          4158 - NON-TAXABLE SALES-FOOD</v>
      </c>
      <c r="C29" s="11"/>
      <c r="D29" s="2">
        <f>--45728.68</f>
        <v>45728.68</v>
      </c>
      <c r="E29" s="2"/>
      <c r="F29" s="19"/>
      <c r="G29" s="2"/>
      <c r="H29" s="2">
        <f>--47902.06</f>
        <v>47902.06</v>
      </c>
      <c r="I29" s="2"/>
      <c r="J29" s="19"/>
      <c r="K29" s="2"/>
      <c r="L29" s="2">
        <f t="shared" si="0"/>
        <v>-2173.3799999999974</v>
      </c>
      <c r="M29" s="2"/>
      <c r="N29" s="19">
        <f t="shared" si="1"/>
        <v>-4.53713264105969E-2</v>
      </c>
      <c r="O29" s="11"/>
      <c r="P29" s="2">
        <f>--318615.94</f>
        <v>318615.94</v>
      </c>
      <c r="Q29" s="2"/>
      <c r="R29" s="19"/>
      <c r="S29" s="2"/>
      <c r="T29" s="2">
        <f>--312383.86</f>
        <v>312383.86</v>
      </c>
      <c r="U29" s="2"/>
      <c r="V29" s="19"/>
      <c r="W29" s="2"/>
      <c r="X29" s="2">
        <f t="shared" si="2"/>
        <v>6232.0800000000163</v>
      </c>
      <c r="Y29" s="2"/>
      <c r="Z29" s="19">
        <f t="shared" si="3"/>
        <v>1.9950070403765473E-2</v>
      </c>
    </row>
    <row r="30" spans="1:26" s="24" customFormat="1" hidden="1" outlineLevel="1" x14ac:dyDescent="0.25">
      <c r="A30" s="44"/>
      <c r="B30" s="11" t="str">
        <f>CONCATENATE("          ", "4233", " - ", "SALES RETURN TAXABLE-CANDY")</f>
        <v xml:space="preserve">          4233 - SALES RETURN TAXABLE-CANDY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-1.69</f>
        <v>-1.69</v>
      </c>
      <c r="U30" s="2"/>
      <c r="V30" s="19"/>
      <c r="W30" s="2"/>
      <c r="X30" s="2">
        <f t="shared" si="2"/>
        <v>1.69</v>
      </c>
      <c r="Y30" s="2"/>
      <c r="Z30" s="19">
        <f t="shared" si="3"/>
        <v>-1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8" t="s">
        <v>8</v>
      </c>
      <c r="C32" s="10"/>
      <c r="D32" s="4">
        <f>SUM(OSRRefD16x_0)</f>
        <v>236810.22999999998</v>
      </c>
      <c r="E32" s="4"/>
      <c r="F32" s="12">
        <f t="shared" ref="F32:F34" si="4">IF(D$12=0,0,D32/D$12)</f>
        <v>0.372956025864076</v>
      </c>
      <c r="G32" s="4"/>
      <c r="H32" s="4">
        <f>SUM(OSRRefH16x_0)</f>
        <v>265770.14</v>
      </c>
      <c r="I32" s="4"/>
      <c r="J32" s="12">
        <f t="shared" ref="J32:J34" si="5">IF(H$12=0,0,H32/H$12)</f>
        <v>0.35351951255222397</v>
      </c>
      <c r="K32" s="4"/>
      <c r="L32" s="4">
        <f t="shared" ref="L32:L34" si="6">+D32-H32</f>
        <v>-28959.910000000033</v>
      </c>
      <c r="M32" s="4"/>
      <c r="N32" s="12">
        <f t="shared" ref="N32:N34" si="7">IF(H32=0,0,L32/H32)</f>
        <v>-0.10896600347954827</v>
      </c>
      <c r="O32" s="10"/>
      <c r="P32" s="4">
        <f>SUM(OSRRefP16x_0)</f>
        <v>1790336.4000000001</v>
      </c>
      <c r="Q32" s="4"/>
      <c r="R32" s="12">
        <f t="shared" ref="R32:R34" si="8">IF(P$12=0,0,P32/P$12)</f>
        <v>0.37897536049168562</v>
      </c>
      <c r="S32" s="4"/>
      <c r="T32" s="4">
        <f>SUM(OSRRefT16x_0)</f>
        <v>1743287.07</v>
      </c>
      <c r="U32" s="4"/>
      <c r="V32" s="12">
        <f t="shared" ref="V32:V34" si="9">IF(T$12=0,0,T32/T$12)</f>
        <v>0.3611010949504071</v>
      </c>
      <c r="W32" s="4"/>
      <c r="X32" s="4">
        <f t="shared" ref="X32:X34" si="10">+P32-T32</f>
        <v>47049.330000000075</v>
      </c>
      <c r="Y32" s="4"/>
      <c r="Z32" s="12">
        <f t="shared" ref="Z32:Z34" si="11">IF(T32=0,0,X32/T32)</f>
        <v>2.69888596144983E-2</v>
      </c>
    </row>
    <row r="33" spans="1:26" s="24" customFormat="1" hidden="1" outlineLevel="1" x14ac:dyDescent="0.25">
      <c r="A33" s="44"/>
      <c r="B33" s="11" t="str">
        <f>CONCATENATE("          ", "5053", " - ", "PURCHASES @ COST-FOOD")</f>
        <v xml:space="preserve">          5053 - PURCHASES @ COST-FOOD</v>
      </c>
      <c r="C33" s="11"/>
      <c r="D33" s="2">
        <v>213118.74</v>
      </c>
      <c r="E33" s="2"/>
      <c r="F33" s="19">
        <f t="shared" si="4"/>
        <v>0.33564393864048564</v>
      </c>
      <c r="G33" s="2"/>
      <c r="H33" s="2">
        <v>211633.11</v>
      </c>
      <c r="I33" s="2"/>
      <c r="J33" s="19">
        <f t="shared" si="5"/>
        <v>0.2815080501034134</v>
      </c>
      <c r="K33" s="2"/>
      <c r="L33" s="2">
        <f t="shared" si="6"/>
        <v>1485.6300000000047</v>
      </c>
      <c r="M33" s="2"/>
      <c r="N33" s="19">
        <f t="shared" si="7"/>
        <v>7.0198373023956633E-3</v>
      </c>
      <c r="O33" s="11"/>
      <c r="P33" s="2">
        <v>1832661.81</v>
      </c>
      <c r="Q33" s="2"/>
      <c r="R33" s="19">
        <f t="shared" si="8"/>
        <v>0.38793473120699273</v>
      </c>
      <c r="S33" s="2"/>
      <c r="T33" s="2">
        <v>1747220.21</v>
      </c>
      <c r="U33" s="2"/>
      <c r="V33" s="19">
        <f t="shared" si="9"/>
        <v>0.36191579792448075</v>
      </c>
      <c r="W33" s="2"/>
      <c r="X33" s="2">
        <f t="shared" si="10"/>
        <v>85441.600000000093</v>
      </c>
      <c r="Y33" s="2"/>
      <c r="Z33" s="19">
        <f t="shared" si="11"/>
        <v>4.8901449005102848E-2</v>
      </c>
    </row>
    <row r="34" spans="1:26" s="24" customFormat="1" hidden="1" outlineLevel="1" x14ac:dyDescent="0.25">
      <c r="A34" s="44"/>
      <c r="B34" s="11" t="str">
        <f>CONCATENATE("          ", "5059", " - ", "PURCHASES @ COST-FOOD")</f>
        <v xml:space="preserve">          5059 - PURCHASES @ COST-FOOD</v>
      </c>
      <c r="C34" s="11"/>
      <c r="D34" s="2">
        <v>23691.489999999998</v>
      </c>
      <c r="E34" s="2"/>
      <c r="F34" s="19">
        <f t="shared" si="4"/>
        <v>3.7312087223590376E-2</v>
      </c>
      <c r="G34" s="2"/>
      <c r="H34" s="2">
        <v>54137.03</v>
      </c>
      <c r="I34" s="2"/>
      <c r="J34" s="19">
        <f t="shared" si="5"/>
        <v>7.2011462448810556E-2</v>
      </c>
      <c r="K34" s="2"/>
      <c r="L34" s="2">
        <f t="shared" si="6"/>
        <v>-30445.54</v>
      </c>
      <c r="M34" s="2"/>
      <c r="N34" s="19">
        <f t="shared" si="7"/>
        <v>-0.56237920698641952</v>
      </c>
      <c r="O34" s="11"/>
      <c r="P34" s="2">
        <v>-42325.409999999996</v>
      </c>
      <c r="Q34" s="2"/>
      <c r="R34" s="19">
        <f t="shared" si="8"/>
        <v>-8.9593707153071307E-3</v>
      </c>
      <c r="S34" s="2"/>
      <c r="T34" s="2">
        <v>-3933.14</v>
      </c>
      <c r="U34" s="2"/>
      <c r="V34" s="19">
        <f t="shared" si="9"/>
        <v>-8.1470297407371009E-4</v>
      </c>
      <c r="W34" s="2"/>
      <c r="X34" s="2">
        <f t="shared" si="10"/>
        <v>-38392.269999999997</v>
      </c>
      <c r="Y34" s="2"/>
      <c r="Z34" s="19">
        <f t="shared" si="11"/>
        <v>9.761226399263693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9" t="s">
        <v>6</v>
      </c>
      <c r="C36" s="29"/>
      <c r="D36" s="20">
        <f>D12-D32</f>
        <v>398144.6</v>
      </c>
      <c r="E36" s="14"/>
      <c r="F36" s="21">
        <f>IF(D$12=0,0,D36/D$12)</f>
        <v>0.62704397413592394</v>
      </c>
      <c r="G36" s="14"/>
      <c r="H36" s="20">
        <f>H12-H32</f>
        <v>486013.37</v>
      </c>
      <c r="I36" s="14"/>
      <c r="J36" s="21">
        <f>IF(H$12=0,0,H36/H$12)</f>
        <v>0.64648048744777598</v>
      </c>
      <c r="K36" s="15"/>
      <c r="L36" s="20">
        <f>+D36-H36</f>
        <v>-87868.770000000019</v>
      </c>
      <c r="M36" s="15"/>
      <c r="N36" s="21">
        <f>IF(H36=0,0,L36/H36)</f>
        <v>-0.18079496455004934</v>
      </c>
      <c r="O36" s="28"/>
      <c r="P36" s="20">
        <f>P12-P32</f>
        <v>2933813.4700000007</v>
      </c>
      <c r="Q36" s="14"/>
      <c r="R36" s="21">
        <f>IF(P$12=0,0,P36/P$12)</f>
        <v>0.62102463950831432</v>
      </c>
      <c r="S36" s="14"/>
      <c r="T36" s="20">
        <f>T12-T32</f>
        <v>3084411.0300000003</v>
      </c>
      <c r="U36" s="14"/>
      <c r="V36" s="21">
        <f>IF(T$12=0,0,T36/T$12)</f>
        <v>0.6388989050495929</v>
      </c>
      <c r="W36" s="15"/>
      <c r="X36" s="20">
        <f>+P36-T36</f>
        <v>-150597.55999999959</v>
      </c>
      <c r="Y36" s="15"/>
      <c r="Z36" s="21">
        <f>IF(T36=0,0,X36/T36)</f>
        <v>-4.8825386284524985E-2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8" t="s">
        <v>9</v>
      </c>
      <c r="C38" s="10"/>
      <c r="D38" s="22">
        <f>SUM(OSRRefD22x_0)</f>
        <v>576673.31999999983</v>
      </c>
      <c r="E38" s="22"/>
      <c r="F38" s="33">
        <f t="shared" ref="F38:F48" si="12">IF(D$12=0,0,D38/D$12)</f>
        <v>0.90821156522267865</v>
      </c>
      <c r="G38" s="22"/>
      <c r="H38" s="22">
        <f>SUM(OSRRefH22x_0)</f>
        <v>517816.03999999992</v>
      </c>
      <c r="I38" s="22"/>
      <c r="J38" s="33">
        <f t="shared" ref="J38:J48" si="13">IF(H$12=0,0,H38/H$12)</f>
        <v>0.68878345043774625</v>
      </c>
      <c r="K38" s="4"/>
      <c r="L38" s="22">
        <f t="shared" ref="L38:L48" si="14">+D38-H38</f>
        <v>58857.279999999912</v>
      </c>
      <c r="M38" s="4"/>
      <c r="N38" s="33">
        <f t="shared" ref="N38:N48" si="15">IF(H38=0,0,L38/H38)</f>
        <v>0.11366445890706653</v>
      </c>
      <c r="O38" s="10"/>
      <c r="P38" s="22">
        <f>SUM(OSRRefP22x_0)</f>
        <v>3508762.6800000006</v>
      </c>
      <c r="Q38" s="22"/>
      <c r="R38" s="33">
        <f t="shared" ref="R38:R48" si="16">IF(P$12=0,0,P38/P$12)</f>
        <v>0.74272890923335588</v>
      </c>
      <c r="S38" s="22"/>
      <c r="T38" s="22">
        <f>SUM(OSRRefT22x_0)</f>
        <v>3241459.7099999986</v>
      </c>
      <c r="U38" s="22"/>
      <c r="V38" s="33">
        <f t="shared" ref="V38:V48" si="17">IF(T$12=0,0,T38/T$12)</f>
        <v>0.67142966334203835</v>
      </c>
      <c r="W38" s="4"/>
      <c r="X38" s="22">
        <f t="shared" ref="X38:X48" si="18">+P38-T38</f>
        <v>267302.97000000207</v>
      </c>
      <c r="Y38" s="4"/>
      <c r="Z38" s="33">
        <f t="shared" ref="Z38:Z48" si="19">IF(T38=0,0,X38/T38)</f>
        <v>8.2463764450122434E-2</v>
      </c>
    </row>
    <row r="39" spans="1:26" s="27" customFormat="1" outlineLevel="1" collapsed="1" x14ac:dyDescent="0.25">
      <c r="A39" s="25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77437.950000000012</v>
      </c>
      <c r="E39" s="1"/>
      <c r="F39" s="5">
        <f t="shared" si="12"/>
        <v>0.121958202916576</v>
      </c>
      <c r="G39" s="1"/>
      <c r="H39" s="1">
        <f>SUM(OSRRefH22_0x_0)</f>
        <v>71704.029999999984</v>
      </c>
      <c r="I39" s="1"/>
      <c r="J39" s="5">
        <f t="shared" si="13"/>
        <v>9.537856184155992E-2</v>
      </c>
      <c r="K39" s="1"/>
      <c r="L39" s="1">
        <f t="shared" si="14"/>
        <v>5733.9200000000274</v>
      </c>
      <c r="M39" s="1"/>
      <c r="N39" s="5">
        <f t="shared" si="15"/>
        <v>7.9966495607011606E-2</v>
      </c>
      <c r="O39" s="13"/>
      <c r="P39" s="1">
        <f>SUM(OSRRefP22_0x_0)</f>
        <v>490993.72999999992</v>
      </c>
      <c r="Q39" s="1"/>
      <c r="R39" s="5">
        <f t="shared" si="16"/>
        <v>0.10393271668157297</v>
      </c>
      <c r="S39" s="1"/>
      <c r="T39" s="1">
        <f>SUM(OSRRefT22_0x_0)</f>
        <v>440169.75</v>
      </c>
      <c r="U39" s="1"/>
      <c r="V39" s="5">
        <f t="shared" si="17"/>
        <v>9.1175906380724175E-2</v>
      </c>
      <c r="W39" s="1"/>
      <c r="X39" s="1">
        <f t="shared" si="18"/>
        <v>50823.979999999923</v>
      </c>
      <c r="Y39" s="1"/>
      <c r="Z39" s="5">
        <f t="shared" si="19"/>
        <v>0.11546449977537057</v>
      </c>
    </row>
    <row r="40" spans="1:26" s="24" customFormat="1" hidden="1" outlineLevel="2" x14ac:dyDescent="0.25">
      <c r="A40" s="26"/>
      <c r="B40" s="11" t="str">
        <f>CONCATENATE("          ", "6111", " - ", "F.I.C.A.")</f>
        <v xml:space="preserve">          6111 - F.I.C.A.</v>
      </c>
      <c r="C40" s="11"/>
      <c r="D40" s="6">
        <v>12463.44</v>
      </c>
      <c r="E40" s="2"/>
      <c r="F40" s="7">
        <f t="shared" si="12"/>
        <v>1.9628860843534338E-2</v>
      </c>
      <c r="G40" s="2"/>
      <c r="H40" s="6">
        <v>10308.459999999999</v>
      </c>
      <c r="I40" s="2"/>
      <c r="J40" s="7">
        <f t="shared" si="13"/>
        <v>1.3712006000238018E-2</v>
      </c>
      <c r="K40" s="2"/>
      <c r="L40" s="6">
        <f t="shared" si="14"/>
        <v>2154.9800000000014</v>
      </c>
      <c r="M40" s="2"/>
      <c r="N40" s="7">
        <f t="shared" si="15"/>
        <v>0.20904965436156336</v>
      </c>
      <c r="O40" s="11"/>
      <c r="P40" s="6">
        <v>94483.260000000009</v>
      </c>
      <c r="Q40" s="2"/>
      <c r="R40" s="7">
        <f t="shared" si="16"/>
        <v>2.0000055586720831E-2</v>
      </c>
      <c r="S40" s="2"/>
      <c r="T40" s="6">
        <v>83787.16</v>
      </c>
      <c r="U40" s="2"/>
      <c r="V40" s="7">
        <f t="shared" si="17"/>
        <v>1.7355509450767023E-2</v>
      </c>
      <c r="W40" s="2"/>
      <c r="X40" s="6">
        <f t="shared" si="18"/>
        <v>10696.100000000006</v>
      </c>
      <c r="Y40" s="2"/>
      <c r="Z40" s="7">
        <f t="shared" si="19"/>
        <v>0.12765798482726953</v>
      </c>
    </row>
    <row r="41" spans="1:26" s="24" customFormat="1" hidden="1" outlineLevel="2" x14ac:dyDescent="0.25">
      <c r="A41" s="26"/>
      <c r="B41" s="11" t="str">
        <f>CONCATENATE("          ", "6112", " - ", "COMPENSATION INSURANCE")</f>
        <v xml:space="preserve">          6112 - COMPENSATION INSURANCE</v>
      </c>
      <c r="C41" s="11"/>
      <c r="D41" s="6">
        <v>12127.26</v>
      </c>
      <c r="E41" s="2"/>
      <c r="F41" s="7">
        <f t="shared" si="12"/>
        <v>1.9099405858523828E-2</v>
      </c>
      <c r="G41" s="2"/>
      <c r="H41" s="6">
        <v>9933.4599999999991</v>
      </c>
      <c r="I41" s="2"/>
      <c r="J41" s="7">
        <f t="shared" si="13"/>
        <v>1.3213192186138797E-2</v>
      </c>
      <c r="K41" s="2"/>
      <c r="L41" s="6">
        <f t="shared" si="14"/>
        <v>2193.8000000000011</v>
      </c>
      <c r="M41" s="2"/>
      <c r="N41" s="7">
        <f t="shared" si="15"/>
        <v>0.22084953279119274</v>
      </c>
      <c r="O41" s="11"/>
      <c r="P41" s="6">
        <v>43365.79</v>
      </c>
      <c r="Q41" s="2"/>
      <c r="R41" s="7">
        <f t="shared" si="16"/>
        <v>9.1795965821041981E-3</v>
      </c>
      <c r="S41" s="2"/>
      <c r="T41" s="6">
        <v>50308.93</v>
      </c>
      <c r="U41" s="2"/>
      <c r="V41" s="7">
        <f t="shared" si="17"/>
        <v>1.0420893966008354E-2</v>
      </c>
      <c r="W41" s="2"/>
      <c r="X41" s="6">
        <f t="shared" si="18"/>
        <v>-6943.1399999999994</v>
      </c>
      <c r="Y41" s="2"/>
      <c r="Z41" s="7">
        <f t="shared" si="19"/>
        <v>-0.13801009085265775</v>
      </c>
    </row>
    <row r="42" spans="1:26" s="24" customFormat="1" hidden="1" outlineLevel="2" x14ac:dyDescent="0.25">
      <c r="A42" s="26"/>
      <c r="B42" s="11" t="str">
        <f>CONCATENATE("          ", "6113", " - ", "GROUP INSURANCE")</f>
        <v xml:space="preserve">          6113 - GROUP INSURANCE</v>
      </c>
      <c r="C42" s="11"/>
      <c r="D42" s="6">
        <v>27691.43</v>
      </c>
      <c r="E42" s="2"/>
      <c r="F42" s="7">
        <f t="shared" si="12"/>
        <v>4.3611653446277432E-2</v>
      </c>
      <c r="G42" s="2"/>
      <c r="H42" s="6">
        <v>29511.119999999999</v>
      </c>
      <c r="I42" s="2"/>
      <c r="J42" s="7">
        <f t="shared" si="13"/>
        <v>3.9254811534772824E-2</v>
      </c>
      <c r="K42" s="2"/>
      <c r="L42" s="6">
        <f t="shared" si="14"/>
        <v>-1819.6899999999987</v>
      </c>
      <c r="M42" s="2"/>
      <c r="N42" s="7">
        <f t="shared" si="15"/>
        <v>-6.1661163656275962E-2</v>
      </c>
      <c r="O42" s="11"/>
      <c r="P42" s="6">
        <v>165825.53</v>
      </c>
      <c r="Q42" s="2"/>
      <c r="R42" s="7">
        <f t="shared" si="16"/>
        <v>3.510166581569521E-2</v>
      </c>
      <c r="S42" s="2"/>
      <c r="T42" s="6">
        <v>160336.69999999998</v>
      </c>
      <c r="U42" s="2"/>
      <c r="V42" s="7">
        <f t="shared" si="17"/>
        <v>3.3211832363751158E-2</v>
      </c>
      <c r="W42" s="2"/>
      <c r="X42" s="6">
        <f t="shared" si="18"/>
        <v>5488.8300000000163</v>
      </c>
      <c r="Y42" s="2"/>
      <c r="Z42" s="7">
        <f t="shared" si="19"/>
        <v>3.4233148118927338E-2</v>
      </c>
    </row>
    <row r="43" spans="1:26" s="24" customFormat="1" hidden="1" outlineLevel="2" x14ac:dyDescent="0.25">
      <c r="A43" s="26"/>
      <c r="B43" s="11" t="str">
        <f>CONCATENATE("          ", "6114", " - ", "STATE UNEMPLOYMENT INSURANCE")</f>
        <v xml:space="preserve">          6114 - STATE UNEMPLOYMENT INSURANCE</v>
      </c>
      <c r="C43" s="11"/>
      <c r="D43" s="6">
        <v>956.95</v>
      </c>
      <c r="E43" s="2"/>
      <c r="F43" s="7">
        <f t="shared" si="12"/>
        <v>1.507115080926308E-3</v>
      </c>
      <c r="G43" s="2"/>
      <c r="H43" s="6">
        <v>861.85</v>
      </c>
      <c r="I43" s="2"/>
      <c r="J43" s="7">
        <f t="shared" si="13"/>
        <v>1.1464071618171034E-3</v>
      </c>
      <c r="K43" s="2"/>
      <c r="L43" s="6">
        <f t="shared" si="14"/>
        <v>95.100000000000023</v>
      </c>
      <c r="M43" s="2"/>
      <c r="N43" s="7">
        <f t="shared" si="15"/>
        <v>0.11034402738295529</v>
      </c>
      <c r="O43" s="11"/>
      <c r="P43" s="6">
        <v>4548.6000000000004</v>
      </c>
      <c r="Q43" s="2"/>
      <c r="R43" s="7">
        <f t="shared" si="16"/>
        <v>9.6283990245212079E-4</v>
      </c>
      <c r="S43" s="2"/>
      <c r="T43" s="6">
        <v>4367.08</v>
      </c>
      <c r="U43" s="2"/>
      <c r="V43" s="7">
        <f t="shared" si="17"/>
        <v>9.0458846214927968E-4</v>
      </c>
      <c r="W43" s="2"/>
      <c r="X43" s="6">
        <f t="shared" si="18"/>
        <v>181.52000000000044</v>
      </c>
      <c r="Y43" s="2"/>
      <c r="Z43" s="7">
        <f t="shared" si="19"/>
        <v>4.1565531201626815E-2</v>
      </c>
    </row>
    <row r="44" spans="1:26" s="24" customFormat="1" hidden="1" outlineLevel="2" x14ac:dyDescent="0.25">
      <c r="A44" s="26"/>
      <c r="B44" s="11" t="str">
        <f>CONCATENATE("          ", "6115", " - ", "P.E.R.S.")</f>
        <v xml:space="preserve">          6115 - P.E.R.S.</v>
      </c>
      <c r="C44" s="11"/>
      <c r="D44" s="6">
        <v>8126.67</v>
      </c>
      <c r="E44" s="2"/>
      <c r="F44" s="7">
        <f t="shared" si="12"/>
        <v>1.2798815940970164E-2</v>
      </c>
      <c r="G44" s="2"/>
      <c r="H44" s="6">
        <v>7273.1</v>
      </c>
      <c r="I44" s="2"/>
      <c r="J44" s="7">
        <f t="shared" si="13"/>
        <v>9.6744606702001221E-3</v>
      </c>
      <c r="K44" s="2"/>
      <c r="L44" s="6">
        <f t="shared" si="14"/>
        <v>853.56999999999971</v>
      </c>
      <c r="M44" s="2"/>
      <c r="N44" s="7">
        <f t="shared" si="15"/>
        <v>0.11735986030715921</v>
      </c>
      <c r="O44" s="11"/>
      <c r="P44" s="6">
        <v>51960.55</v>
      </c>
      <c r="Q44" s="2"/>
      <c r="R44" s="7">
        <f t="shared" si="16"/>
        <v>1.0998920743384459E-2</v>
      </c>
      <c r="S44" s="2"/>
      <c r="T44" s="6">
        <v>51504.480000000003</v>
      </c>
      <c r="U44" s="2"/>
      <c r="V44" s="7">
        <f t="shared" si="17"/>
        <v>1.0668537869010491E-2</v>
      </c>
      <c r="W44" s="2"/>
      <c r="X44" s="6">
        <f t="shared" si="18"/>
        <v>456.06999999999971</v>
      </c>
      <c r="Y44" s="2"/>
      <c r="Z44" s="7">
        <f t="shared" si="19"/>
        <v>8.8549578599764461E-3</v>
      </c>
    </row>
    <row r="45" spans="1:26" s="24" customFormat="1" hidden="1" outlineLevel="2" x14ac:dyDescent="0.25">
      <c r="A45" s="26"/>
      <c r="B45" s="11" t="str">
        <f>CONCATENATE("          ", "6117", " - ", "RETIREMENT STAFF HOURLY")</f>
        <v xml:space="preserve">          6117 - RETIREMENT STAFF HOURLY</v>
      </c>
      <c r="C45" s="11"/>
      <c r="D45" s="6">
        <v>56</v>
      </c>
      <c r="E45" s="2"/>
      <c r="F45" s="7">
        <f t="shared" si="12"/>
        <v>8.8195250046369452E-5</v>
      </c>
      <c r="G45" s="2"/>
      <c r="H45" s="6">
        <v>56</v>
      </c>
      <c r="I45" s="2"/>
      <c r="J45" s="7">
        <f t="shared" si="13"/>
        <v>7.4489529572150371E-5</v>
      </c>
      <c r="K45" s="2"/>
      <c r="L45" s="6">
        <f t="shared" si="14"/>
        <v>0</v>
      </c>
      <c r="M45" s="2"/>
      <c r="N45" s="7">
        <f t="shared" si="15"/>
        <v>0</v>
      </c>
      <c r="O45" s="11"/>
      <c r="P45" s="6">
        <v>364</v>
      </c>
      <c r="Q45" s="2"/>
      <c r="R45" s="7">
        <f t="shared" si="16"/>
        <v>7.7050900165451336E-5</v>
      </c>
      <c r="S45" s="2"/>
      <c r="T45" s="6">
        <v>364</v>
      </c>
      <c r="U45" s="2"/>
      <c r="V45" s="7">
        <f t="shared" si="17"/>
        <v>7.5398252430076352E-5</v>
      </c>
      <c r="W45" s="2"/>
      <c r="X45" s="6">
        <f t="shared" si="18"/>
        <v>0</v>
      </c>
      <c r="Y45" s="2"/>
      <c r="Z45" s="7">
        <f t="shared" si="19"/>
        <v>0</v>
      </c>
    </row>
    <row r="46" spans="1:26" s="24" customFormat="1" hidden="1" outlineLevel="2" x14ac:dyDescent="0.25">
      <c r="A46" s="26"/>
      <c r="B46" s="11" t="str">
        <f>CONCATENATE("          ", "6118", " - ", "VACATION")</f>
        <v xml:space="preserve">          6118 - VACATION</v>
      </c>
      <c r="C46" s="11"/>
      <c r="D46" s="6">
        <v>7168.07</v>
      </c>
      <c r="E46" s="2"/>
      <c r="F46" s="7">
        <f t="shared" si="12"/>
        <v>1.1289102249997846E-2</v>
      </c>
      <c r="G46" s="2"/>
      <c r="H46" s="6">
        <v>6157.45</v>
      </c>
      <c r="I46" s="2"/>
      <c r="J46" s="7">
        <f t="shared" si="13"/>
        <v>8.1904563190006649E-3</v>
      </c>
      <c r="K46" s="2"/>
      <c r="L46" s="6">
        <f t="shared" si="14"/>
        <v>1010.6199999999999</v>
      </c>
      <c r="M46" s="2"/>
      <c r="N46" s="7">
        <f t="shared" si="15"/>
        <v>0.1641296315845033</v>
      </c>
      <c r="O46" s="11"/>
      <c r="P46" s="6">
        <v>52969.23</v>
      </c>
      <c r="Q46" s="2"/>
      <c r="R46" s="7">
        <f t="shared" si="16"/>
        <v>1.1212436408161622E-2</v>
      </c>
      <c r="S46" s="2"/>
      <c r="T46" s="6">
        <v>42980.39</v>
      </c>
      <c r="U46" s="2"/>
      <c r="V46" s="7">
        <f t="shared" si="17"/>
        <v>8.9028744361624428E-3</v>
      </c>
      <c r="W46" s="2"/>
      <c r="X46" s="6">
        <f t="shared" si="18"/>
        <v>9988.8400000000038</v>
      </c>
      <c r="Y46" s="2"/>
      <c r="Z46" s="7">
        <f t="shared" si="19"/>
        <v>0.23240459195461008</v>
      </c>
    </row>
    <row r="47" spans="1:26" s="24" customFormat="1" hidden="1" outlineLevel="2" x14ac:dyDescent="0.25">
      <c r="A47" s="26"/>
      <c r="B47" s="11" t="str">
        <f>CONCATENATE("          ", "6119", " - ", "SICK LEAVE")</f>
        <v xml:space="preserve">          6119 - SICK LEAVE</v>
      </c>
      <c r="C47" s="11"/>
      <c r="D47" s="6">
        <v>5383.6</v>
      </c>
      <c r="E47" s="2"/>
      <c r="F47" s="7">
        <f t="shared" si="12"/>
        <v>8.4787133598149024E-3</v>
      </c>
      <c r="G47" s="2"/>
      <c r="H47" s="6">
        <v>4707.54</v>
      </c>
      <c r="I47" s="2"/>
      <c r="J47" s="7">
        <f t="shared" si="13"/>
        <v>6.261829286465727E-3</v>
      </c>
      <c r="K47" s="2"/>
      <c r="L47" s="6">
        <f t="shared" si="14"/>
        <v>676.0600000000004</v>
      </c>
      <c r="M47" s="2"/>
      <c r="N47" s="7">
        <f t="shared" si="15"/>
        <v>0.14361216261571869</v>
      </c>
      <c r="O47" s="11"/>
      <c r="P47" s="6">
        <v>58036.800000000003</v>
      </c>
      <c r="Q47" s="2"/>
      <c r="R47" s="7">
        <f t="shared" si="16"/>
        <v>1.2285130996489743E-2</v>
      </c>
      <c r="S47" s="2"/>
      <c r="T47" s="6">
        <v>26969.58</v>
      </c>
      <c r="U47" s="2"/>
      <c r="V47" s="7">
        <f t="shared" si="17"/>
        <v>5.5864263757503807E-3</v>
      </c>
      <c r="W47" s="2"/>
      <c r="X47" s="6">
        <f t="shared" si="18"/>
        <v>31067.22</v>
      </c>
      <c r="Y47" s="2"/>
      <c r="Z47" s="7">
        <f t="shared" si="19"/>
        <v>1.1519356252488915</v>
      </c>
    </row>
    <row r="48" spans="1:26" s="24" customFormat="1" hidden="1" outlineLevel="2" x14ac:dyDescent="0.25">
      <c r="A48" s="26"/>
      <c r="B48" s="11" t="str">
        <f>CONCATENATE("          ", "6156", " - ", "EMPLOYEE MEALS")</f>
        <v xml:space="preserve">          6156 - EMPLOYEE MEALS</v>
      </c>
      <c r="C48" s="11"/>
      <c r="D48" s="6">
        <v>3464.53</v>
      </c>
      <c r="E48" s="2"/>
      <c r="F48" s="7">
        <f t="shared" si="12"/>
        <v>5.4563408864847923E-3</v>
      </c>
      <c r="G48" s="2"/>
      <c r="H48" s="6">
        <v>2895.05</v>
      </c>
      <c r="I48" s="2"/>
      <c r="J48" s="7">
        <f t="shared" si="13"/>
        <v>3.8509091533545344E-3</v>
      </c>
      <c r="K48" s="2"/>
      <c r="L48" s="6">
        <f t="shared" si="14"/>
        <v>569.48</v>
      </c>
      <c r="M48" s="2"/>
      <c r="N48" s="7">
        <f t="shared" si="15"/>
        <v>0.19670817429750781</v>
      </c>
      <c r="O48" s="11"/>
      <c r="P48" s="6">
        <v>19439.969999999998</v>
      </c>
      <c r="Q48" s="2"/>
      <c r="R48" s="7">
        <f t="shared" si="16"/>
        <v>4.1150197463993652E-3</v>
      </c>
      <c r="S48" s="2"/>
      <c r="T48" s="6">
        <v>19551.43</v>
      </c>
      <c r="U48" s="2"/>
      <c r="V48" s="7">
        <f t="shared" si="17"/>
        <v>4.0498452046949657E-3</v>
      </c>
      <c r="W48" s="2"/>
      <c r="X48" s="6">
        <f t="shared" si="18"/>
        <v>-111.46000000000276</v>
      </c>
      <c r="Y48" s="2"/>
      <c r="Z48" s="7">
        <f t="shared" si="19"/>
        <v>-5.7008617783969135E-3</v>
      </c>
    </row>
    <row r="49" spans="1:26" s="27" customFormat="1" outlineLevel="1" collapsed="1" x14ac:dyDescent="0.25">
      <c r="A49" s="25"/>
      <c r="B49" s="13" t="str">
        <f>CONCATENATE("     ","*Payroll                                          ")</f>
        <v xml:space="preserve">     *Payroll                                          </v>
      </c>
      <c r="C49" s="13"/>
      <c r="D49" s="1">
        <f>SUM(OSRRefD22_1x_0)</f>
        <v>233110.55000000002</v>
      </c>
      <c r="E49" s="1"/>
      <c r="F49" s="5">
        <f t="shared" ref="F49:F56" si="20">IF(D$12=0,0,D49/D$12)</f>
        <v>0.36712934367315553</v>
      </c>
      <c r="G49" s="1"/>
      <c r="H49" s="1">
        <f>SUM(OSRRefH22_1x_0)</f>
        <v>221826.29000000004</v>
      </c>
      <c r="I49" s="1"/>
      <c r="J49" s="5">
        <f t="shared" ref="J49:J56" si="21">IF(H$12=0,0,H49/H$12)</f>
        <v>0.29506671408634655</v>
      </c>
      <c r="K49" s="1"/>
      <c r="L49" s="1">
        <f t="shared" ref="L49:L56" si="22">+D49-H49</f>
        <v>11284.25999999998</v>
      </c>
      <c r="M49" s="1"/>
      <c r="N49" s="5">
        <f t="shared" ref="N49:N56" si="23">IF(H49=0,0,L49/H49)</f>
        <v>5.0869804476286279E-2</v>
      </c>
      <c r="O49" s="13"/>
      <c r="P49" s="1">
        <f>SUM(OSRRefP22_1x_0)</f>
        <v>1609140.9699999997</v>
      </c>
      <c r="Q49" s="1"/>
      <c r="R49" s="5">
        <f t="shared" ref="R49:R56" si="24">IF(P$12=0,0,P49/P$12)</f>
        <v>0.34062022041650414</v>
      </c>
      <c r="S49" s="1"/>
      <c r="T49" s="1">
        <f>SUM(OSRRefT22_1x_0)</f>
        <v>1481386.7499999998</v>
      </c>
      <c r="U49" s="1"/>
      <c r="V49" s="5">
        <f t="shared" ref="V49:V56" si="25">IF(T$12=0,0,T49/T$12)</f>
        <v>0.30685157176667688</v>
      </c>
      <c r="W49" s="1"/>
      <c r="X49" s="1">
        <f t="shared" ref="X49:X56" si="26">+P49-T49</f>
        <v>127754.21999999997</v>
      </c>
      <c r="Y49" s="1"/>
      <c r="Z49" s="5">
        <f t="shared" ref="Z49:Z56" si="27">IF(T49=0,0,X49/T49)</f>
        <v>8.6239612984252756E-2</v>
      </c>
    </row>
    <row r="50" spans="1:26" s="24" customFormat="1" hidden="1" outlineLevel="2" x14ac:dyDescent="0.25">
      <c r="A50" s="26"/>
      <c r="B50" s="11" t="str">
        <f>CONCATENATE("          ", "6001", " - ", "ADMINISTRATIVE SALARIES")</f>
        <v xml:space="preserve">          6001 - ADMINISTRATIVE SALARIES</v>
      </c>
      <c r="C50" s="11"/>
      <c r="D50" s="6">
        <v>17492.32</v>
      </c>
      <c r="E50" s="2"/>
      <c r="F50" s="7">
        <f t="shared" si="20"/>
        <v>2.7548920290912663E-2</v>
      </c>
      <c r="G50" s="2"/>
      <c r="H50" s="6">
        <v>17011.02</v>
      </c>
      <c r="I50" s="2"/>
      <c r="J50" s="7">
        <f t="shared" si="21"/>
        <v>2.2627551381115024E-2</v>
      </c>
      <c r="K50" s="2"/>
      <c r="L50" s="6">
        <f t="shared" si="22"/>
        <v>481.29999999999927</v>
      </c>
      <c r="M50" s="2"/>
      <c r="N50" s="7">
        <f t="shared" si="23"/>
        <v>2.8293423909912473E-2</v>
      </c>
      <c r="O50" s="11"/>
      <c r="P50" s="6">
        <v>104234.41</v>
      </c>
      <c r="Q50" s="2"/>
      <c r="R50" s="7">
        <f t="shared" si="24"/>
        <v>2.2064162414051437E-2</v>
      </c>
      <c r="S50" s="2"/>
      <c r="T50" s="6">
        <v>98497.22</v>
      </c>
      <c r="U50" s="2"/>
      <c r="V50" s="7">
        <f t="shared" si="25"/>
        <v>2.0402522684672429E-2</v>
      </c>
      <c r="W50" s="2"/>
      <c r="X50" s="6">
        <f t="shared" si="26"/>
        <v>5737.1900000000023</v>
      </c>
      <c r="Y50" s="2"/>
      <c r="Z50" s="7">
        <f t="shared" si="27"/>
        <v>5.8247227688253557E-2</v>
      </c>
    </row>
    <row r="51" spans="1:26" s="24" customFormat="1" hidden="1" outlineLevel="2" x14ac:dyDescent="0.25">
      <c r="A51" s="26"/>
      <c r="B51" s="11" t="str">
        <f>CONCATENATE("          ", "6002", " - ", "STAFF SALARIES")</f>
        <v xml:space="preserve">          6002 - STAFF SALARIES</v>
      </c>
      <c r="C51" s="11"/>
      <c r="D51" s="6">
        <v>71737.91</v>
      </c>
      <c r="E51" s="2"/>
      <c r="F51" s="7">
        <f t="shared" si="20"/>
        <v>0.11298112339739191</v>
      </c>
      <c r="G51" s="2"/>
      <c r="H51" s="6">
        <v>70571.260000000009</v>
      </c>
      <c r="I51" s="2"/>
      <c r="J51" s="7">
        <f t="shared" si="21"/>
        <v>9.3871784977034162E-2</v>
      </c>
      <c r="K51" s="2"/>
      <c r="L51" s="6">
        <f t="shared" si="22"/>
        <v>1166.6499999999942</v>
      </c>
      <c r="M51" s="2"/>
      <c r="N51" s="7">
        <f t="shared" si="23"/>
        <v>1.6531517221032955E-2</v>
      </c>
      <c r="O51" s="11"/>
      <c r="P51" s="6">
        <v>458770.82</v>
      </c>
      <c r="Q51" s="2"/>
      <c r="R51" s="7">
        <f t="shared" si="24"/>
        <v>9.7111825963302881E-2</v>
      </c>
      <c r="S51" s="2"/>
      <c r="T51" s="6">
        <v>438265.95</v>
      </c>
      <c r="U51" s="2"/>
      <c r="V51" s="7">
        <f t="shared" si="25"/>
        <v>9.0781556949470377E-2</v>
      </c>
      <c r="W51" s="2"/>
      <c r="X51" s="6">
        <f t="shared" si="26"/>
        <v>20504.869999999995</v>
      </c>
      <c r="Y51" s="2"/>
      <c r="Z51" s="7">
        <f t="shared" si="27"/>
        <v>4.6786363394190206E-2</v>
      </c>
    </row>
    <row r="52" spans="1:26" s="24" customFormat="1" hidden="1" outlineLevel="2" x14ac:dyDescent="0.25">
      <c r="A52" s="26"/>
      <c r="B52" s="11" t="str">
        <f>CONCATENATE("          ", "6004", " - ", "STAFF HOURLY")</f>
        <v xml:space="preserve">          6004 - STAFF HOURLY</v>
      </c>
      <c r="C52" s="11"/>
      <c r="D52" s="6">
        <v>18447.240000000002</v>
      </c>
      <c r="E52" s="2"/>
      <c r="F52" s="7">
        <f t="shared" si="20"/>
        <v>2.9052838294024795E-2</v>
      </c>
      <c r="G52" s="2"/>
      <c r="H52" s="6">
        <v>12178.02</v>
      </c>
      <c r="I52" s="2"/>
      <c r="J52" s="7">
        <f t="shared" si="21"/>
        <v>1.6198838945004262E-2</v>
      </c>
      <c r="K52" s="2"/>
      <c r="L52" s="6">
        <f t="shared" si="22"/>
        <v>6269.2200000000012</v>
      </c>
      <c r="M52" s="2"/>
      <c r="N52" s="7">
        <f t="shared" si="23"/>
        <v>0.51479797208413203</v>
      </c>
      <c r="O52" s="11"/>
      <c r="P52" s="6">
        <v>122092.62999999999</v>
      </c>
      <c r="Q52" s="2"/>
      <c r="R52" s="7">
        <f t="shared" si="24"/>
        <v>2.5844360013921396E-2</v>
      </c>
      <c r="S52" s="2"/>
      <c r="T52" s="6">
        <v>83400.97</v>
      </c>
      <c r="U52" s="2"/>
      <c r="V52" s="7">
        <f t="shared" si="25"/>
        <v>1.7275514804871495E-2</v>
      </c>
      <c r="W52" s="2"/>
      <c r="X52" s="6">
        <f t="shared" si="26"/>
        <v>38691.659999999989</v>
      </c>
      <c r="Y52" s="2"/>
      <c r="Z52" s="7">
        <f t="shared" si="27"/>
        <v>0.46392338122686089</v>
      </c>
    </row>
    <row r="53" spans="1:26" s="24" customFormat="1" hidden="1" outlineLevel="2" x14ac:dyDescent="0.25">
      <c r="A53" s="26"/>
      <c r="B53" s="11" t="str">
        <f>CONCATENATE("          ", "6005", " - ", "TEMPORARY WAGES-HOURLY")</f>
        <v xml:space="preserve">          6005 - TEMPORARY WAGES-HOURLY</v>
      </c>
      <c r="C53" s="11"/>
      <c r="D53" s="6">
        <v>45964.56</v>
      </c>
      <c r="E53" s="2"/>
      <c r="F53" s="7">
        <f t="shared" si="20"/>
        <v>7.2390283258416982E-2</v>
      </c>
      <c r="G53" s="2"/>
      <c r="H53" s="6">
        <v>31662.26</v>
      </c>
      <c r="I53" s="2"/>
      <c r="J53" s="7">
        <f t="shared" si="21"/>
        <v>4.2116193796269887E-2</v>
      </c>
      <c r="K53" s="2"/>
      <c r="L53" s="6">
        <f t="shared" si="22"/>
        <v>14302.3</v>
      </c>
      <c r="M53" s="2"/>
      <c r="N53" s="7">
        <f t="shared" si="23"/>
        <v>0.45171443857766314</v>
      </c>
      <c r="O53" s="11"/>
      <c r="P53" s="6">
        <v>315142.83999999997</v>
      </c>
      <c r="Q53" s="2"/>
      <c r="R53" s="7">
        <f t="shared" si="24"/>
        <v>6.6708899732683527E-2</v>
      </c>
      <c r="S53" s="2"/>
      <c r="T53" s="6">
        <v>249183.00999999998</v>
      </c>
      <c r="U53" s="2"/>
      <c r="V53" s="7">
        <f t="shared" si="25"/>
        <v>5.1615284311170982E-2</v>
      </c>
      <c r="W53" s="2"/>
      <c r="X53" s="6">
        <f t="shared" si="26"/>
        <v>65959.829999999987</v>
      </c>
      <c r="Y53" s="2"/>
      <c r="Z53" s="7">
        <f t="shared" si="27"/>
        <v>0.26470436327099506</v>
      </c>
    </row>
    <row r="54" spans="1:26" s="24" customFormat="1" hidden="1" outlineLevel="2" x14ac:dyDescent="0.25">
      <c r="A54" s="26"/>
      <c r="B54" s="11" t="str">
        <f>CONCATENATE("          ", "6006", " - ", "TEMPORARY PART TIME")</f>
        <v xml:space="preserve">          6006 - TEMPORARY PART TIME</v>
      </c>
      <c r="C54" s="11"/>
      <c r="D54" s="6">
        <v>2120.88</v>
      </c>
      <c r="E54" s="2"/>
      <c r="F54" s="7">
        <f t="shared" si="20"/>
        <v>3.340206105684715E-3</v>
      </c>
      <c r="G54" s="2"/>
      <c r="H54" s="6">
        <v>4147.7299999999996</v>
      </c>
      <c r="I54" s="2"/>
      <c r="J54" s="7">
        <f t="shared" si="21"/>
        <v>5.5171867230767004E-3</v>
      </c>
      <c r="K54" s="2"/>
      <c r="L54" s="6">
        <f t="shared" si="22"/>
        <v>-2026.8499999999995</v>
      </c>
      <c r="M54" s="2"/>
      <c r="N54" s="7">
        <f t="shared" si="23"/>
        <v>-0.48866488416555554</v>
      </c>
      <c r="O54" s="11"/>
      <c r="P54" s="6">
        <v>20676.080000000002</v>
      </c>
      <c r="Q54" s="2"/>
      <c r="R54" s="7">
        <f t="shared" si="24"/>
        <v>4.3766774062991357E-3</v>
      </c>
      <c r="S54" s="2"/>
      <c r="T54" s="6">
        <v>26772.22</v>
      </c>
      <c r="U54" s="2"/>
      <c r="V54" s="7">
        <f t="shared" si="25"/>
        <v>5.5455456089932376E-3</v>
      </c>
      <c r="W54" s="2"/>
      <c r="X54" s="6">
        <f t="shared" si="26"/>
        <v>-6096.1399999999994</v>
      </c>
      <c r="Y54" s="2"/>
      <c r="Z54" s="7">
        <f t="shared" si="27"/>
        <v>-0.22770394087602744</v>
      </c>
    </row>
    <row r="55" spans="1:26" s="24" customFormat="1" hidden="1" outlineLevel="2" x14ac:dyDescent="0.25">
      <c r="A55" s="26"/>
      <c r="B55" s="11" t="str">
        <f>CONCATENATE("          ", "6007", " - ", "STUDENT HOURLY")</f>
        <v xml:space="preserve">          6007 - STUDENT HOURLY</v>
      </c>
      <c r="C55" s="11"/>
      <c r="D55" s="6">
        <v>72881.23</v>
      </c>
      <c r="E55" s="2"/>
      <c r="F55" s="7">
        <f t="shared" si="20"/>
        <v>0.11478175542030289</v>
      </c>
      <c r="G55" s="2"/>
      <c r="H55" s="6">
        <v>79869.37999999999</v>
      </c>
      <c r="I55" s="2"/>
      <c r="J55" s="7">
        <f t="shared" si="21"/>
        <v>0.10623986684677347</v>
      </c>
      <c r="K55" s="2"/>
      <c r="L55" s="6">
        <f t="shared" si="22"/>
        <v>-6988.1499999999942</v>
      </c>
      <c r="M55" s="2"/>
      <c r="N55" s="7">
        <f t="shared" si="23"/>
        <v>-8.7494732023711649E-2</v>
      </c>
      <c r="O55" s="11"/>
      <c r="P55" s="6">
        <v>557882.73</v>
      </c>
      <c r="Q55" s="2"/>
      <c r="R55" s="7">
        <f t="shared" si="24"/>
        <v>0.11809166630016331</v>
      </c>
      <c r="S55" s="2"/>
      <c r="T55" s="6">
        <v>535568.24</v>
      </c>
      <c r="U55" s="2"/>
      <c r="V55" s="7">
        <f t="shared" si="25"/>
        <v>0.11093656415673547</v>
      </c>
      <c r="W55" s="2"/>
      <c r="X55" s="6">
        <f t="shared" si="26"/>
        <v>22314.489999999991</v>
      </c>
      <c r="Y55" s="2"/>
      <c r="Z55" s="7">
        <f t="shared" si="27"/>
        <v>4.1665073343408097E-2</v>
      </c>
    </row>
    <row r="56" spans="1:26" s="24" customFormat="1" hidden="1" outlineLevel="2" x14ac:dyDescent="0.25">
      <c r="A56" s="26"/>
      <c r="B56" s="11" t="str">
        <f>CONCATENATE("          ", "6008", " - ", "STUDENT HOURLY-FICA EXEMPT")</f>
        <v xml:space="preserve">          6008 - STUDENT HOURLY-FICA EXEMPT</v>
      </c>
      <c r="C56" s="11"/>
      <c r="D56" s="6">
        <v>4466.41</v>
      </c>
      <c r="E56" s="2"/>
      <c r="F56" s="7">
        <f t="shared" si="20"/>
        <v>7.0342169064215171E-3</v>
      </c>
      <c r="G56" s="2"/>
      <c r="H56" s="6">
        <v>6386.62</v>
      </c>
      <c r="I56" s="2"/>
      <c r="J56" s="7">
        <f t="shared" si="21"/>
        <v>8.4952914170729806E-3</v>
      </c>
      <c r="K56" s="2"/>
      <c r="L56" s="6">
        <f t="shared" si="22"/>
        <v>-1920.21</v>
      </c>
      <c r="M56" s="2"/>
      <c r="N56" s="7">
        <f t="shared" si="23"/>
        <v>-0.30066138270321391</v>
      </c>
      <c r="O56" s="11"/>
      <c r="P56" s="6">
        <v>30341.459999999995</v>
      </c>
      <c r="Q56" s="2"/>
      <c r="R56" s="7">
        <f t="shared" si="24"/>
        <v>6.4226285860825129E-3</v>
      </c>
      <c r="S56" s="2"/>
      <c r="T56" s="6">
        <v>49699.14</v>
      </c>
      <c r="U56" s="2"/>
      <c r="V56" s="7">
        <f t="shared" si="25"/>
        <v>1.0294583250762924E-2</v>
      </c>
      <c r="W56" s="2"/>
      <c r="X56" s="6">
        <f t="shared" si="26"/>
        <v>-19357.680000000004</v>
      </c>
      <c r="Y56" s="2"/>
      <c r="Z56" s="7">
        <f t="shared" si="27"/>
        <v>-0.38949728305157805</v>
      </c>
    </row>
    <row r="57" spans="1:26" s="27" customFormat="1" outlineLevel="1" collapsed="1" x14ac:dyDescent="0.25">
      <c r="A57" s="25"/>
      <c r="B57" s="13" t="str">
        <f>CONCATENATE("     ","Advertising/Promo                                 ")</f>
        <v xml:space="preserve">     Advertising/Promo                                 </v>
      </c>
      <c r="C57" s="13"/>
      <c r="D57" s="1">
        <f>SUM(OSRRefD22_2x_0)</f>
        <v>3323.74</v>
      </c>
      <c r="E57" s="1"/>
      <c r="F57" s="5">
        <f t="shared" ref="F57:F66" si="28">IF(D$12=0,0,D57/D$12)</f>
        <v>5.2346085783771422E-3</v>
      </c>
      <c r="G57" s="1"/>
      <c r="H57" s="1">
        <f>SUM(OSRRefH22_2x_0)</f>
        <v>1137.05</v>
      </c>
      <c r="I57" s="1"/>
      <c r="J57" s="5">
        <f t="shared" ref="J57:J66" si="29">IF(H$12=0,0,H57/H$12)</f>
        <v>1.5124699928573851E-3</v>
      </c>
      <c r="K57" s="1"/>
      <c r="L57" s="1">
        <f t="shared" ref="L57:L66" si="30">+D57-H57</f>
        <v>2186.6899999999996</v>
      </c>
      <c r="M57" s="1"/>
      <c r="N57" s="5">
        <f t="shared" ref="N57:N66" si="31">IF(H57=0,0,L57/H57)</f>
        <v>1.9231256321182004</v>
      </c>
      <c r="O57" s="13"/>
      <c r="P57" s="1">
        <f>SUM(OSRRefP22_2x_0)</f>
        <v>22074.84</v>
      </c>
      <c r="Q57" s="1"/>
      <c r="R57" s="5">
        <f t="shared" ref="R57:R66" si="32">IF(P$12=0,0,P57/P$12)</f>
        <v>4.6727645412316257E-3</v>
      </c>
      <c r="S57" s="1"/>
      <c r="T57" s="1">
        <f>SUM(OSRRefT22_2x_0)</f>
        <v>14538.6</v>
      </c>
      <c r="U57" s="1"/>
      <c r="V57" s="5">
        <f t="shared" ref="V57:V66" si="33">IF(T$12=0,0,T57/T$12)</f>
        <v>3.0114973428019449E-3</v>
      </c>
      <c r="W57" s="1"/>
      <c r="X57" s="1">
        <f t="shared" ref="X57:X66" si="34">+P57-T57</f>
        <v>7536.24</v>
      </c>
      <c r="Y57" s="1"/>
      <c r="Z57" s="5">
        <f t="shared" ref="Z57:Z66" si="35">IF(T57=0,0,X57/T57)</f>
        <v>0.51836077751640453</v>
      </c>
    </row>
    <row r="58" spans="1:26" s="24" customFormat="1" hidden="1" outlineLevel="2" x14ac:dyDescent="0.25">
      <c r="A58" s="26"/>
      <c r="B58" s="11" t="str">
        <f>CONCATENATE("          ", "6362", " - ", "ADVERTISING EXPENSE")</f>
        <v xml:space="preserve">          6362 - ADVERTISING EXPENSE</v>
      </c>
      <c r="C58" s="11"/>
      <c r="D58" s="6">
        <v>3323.74</v>
      </c>
      <c r="E58" s="2"/>
      <c r="F58" s="7">
        <f t="shared" si="28"/>
        <v>5.2346085783771422E-3</v>
      </c>
      <c r="G58" s="2"/>
      <c r="H58" s="6">
        <v>1137.05</v>
      </c>
      <c r="I58" s="2"/>
      <c r="J58" s="7">
        <f t="shared" si="29"/>
        <v>1.5124699928573851E-3</v>
      </c>
      <c r="K58" s="2"/>
      <c r="L58" s="6">
        <f t="shared" si="30"/>
        <v>2186.6899999999996</v>
      </c>
      <c r="M58" s="2"/>
      <c r="N58" s="7">
        <f t="shared" si="31"/>
        <v>1.9231256321182004</v>
      </c>
      <c r="O58" s="11"/>
      <c r="P58" s="6">
        <v>22074.84</v>
      </c>
      <c r="Q58" s="2"/>
      <c r="R58" s="7">
        <f t="shared" si="32"/>
        <v>4.6727645412316257E-3</v>
      </c>
      <c r="S58" s="2"/>
      <c r="T58" s="6">
        <v>14538.6</v>
      </c>
      <c r="U58" s="2"/>
      <c r="V58" s="7">
        <f t="shared" si="33"/>
        <v>3.0114973428019449E-3</v>
      </c>
      <c r="W58" s="2"/>
      <c r="X58" s="6">
        <f t="shared" si="34"/>
        <v>7536.24</v>
      </c>
      <c r="Y58" s="2"/>
      <c r="Z58" s="7">
        <f t="shared" si="35"/>
        <v>0.51836077751640453</v>
      </c>
    </row>
    <row r="59" spans="1:26" s="27" customFormat="1" outlineLevel="1" collapsed="1" x14ac:dyDescent="0.25">
      <c r="A59" s="25"/>
      <c r="B59" s="13" t="str">
        <f>CONCATENATE("     ","Bad Debts/Over/Short                              ")</f>
        <v xml:space="preserve">     Bad Debts/Over/Short                              </v>
      </c>
      <c r="C59" s="13"/>
      <c r="D59" s="1">
        <f>SUM(OSRRefD22_3x_0)</f>
        <v>-98.61</v>
      </c>
      <c r="E59" s="1"/>
      <c r="F59" s="5">
        <f t="shared" si="28"/>
        <v>-1.553023858405802E-4</v>
      </c>
      <c r="G59" s="1"/>
      <c r="H59" s="1">
        <f>SUM(OSRRefH22_3x_0)</f>
        <v>-141.79</v>
      </c>
      <c r="I59" s="1"/>
      <c r="J59" s="5">
        <f t="shared" si="29"/>
        <v>-1.8860482853634284E-4</v>
      </c>
      <c r="K59" s="1"/>
      <c r="L59" s="1">
        <f t="shared" si="30"/>
        <v>43.179999999999993</v>
      </c>
      <c r="M59" s="1"/>
      <c r="N59" s="5">
        <f t="shared" si="31"/>
        <v>-0.30453487552013536</v>
      </c>
      <c r="O59" s="13"/>
      <c r="P59" s="1">
        <f>SUM(OSRRefP22_3x_0)</f>
        <v>-374.93</v>
      </c>
      <c r="Q59" s="1"/>
      <c r="R59" s="5">
        <f t="shared" si="32"/>
        <v>-7.9364543953386465E-5</v>
      </c>
      <c r="S59" s="1"/>
      <c r="T59" s="1">
        <f>SUM(OSRRefT22_3x_0)</f>
        <v>-1024.45</v>
      </c>
      <c r="U59" s="1"/>
      <c r="V59" s="5">
        <f t="shared" si="33"/>
        <v>-2.1220258159887834E-4</v>
      </c>
      <c r="W59" s="1"/>
      <c r="X59" s="1">
        <f t="shared" si="34"/>
        <v>649.52</v>
      </c>
      <c r="Y59" s="1"/>
      <c r="Z59" s="5">
        <f t="shared" si="35"/>
        <v>-0.63401825369710574</v>
      </c>
    </row>
    <row r="60" spans="1:26" s="24" customFormat="1" hidden="1" outlineLevel="2" x14ac:dyDescent="0.25">
      <c r="A60" s="26"/>
      <c r="B60" s="11" t="str">
        <f>CONCATENATE("          ", "6272", " - ", "CASH (OVER/SHORT)")</f>
        <v xml:space="preserve">          6272 - CASH (OVER/SHORT)</v>
      </c>
      <c r="C60" s="11"/>
      <c r="D60" s="6">
        <v>-98.61</v>
      </c>
      <c r="E60" s="2"/>
      <c r="F60" s="7">
        <f t="shared" si="28"/>
        <v>-1.553023858405802E-4</v>
      </c>
      <c r="G60" s="2"/>
      <c r="H60" s="6">
        <v>-141.79</v>
      </c>
      <c r="I60" s="2"/>
      <c r="J60" s="7">
        <f t="shared" si="29"/>
        <v>-1.8860482853634284E-4</v>
      </c>
      <c r="K60" s="2"/>
      <c r="L60" s="6">
        <f t="shared" si="30"/>
        <v>43.179999999999993</v>
      </c>
      <c r="M60" s="2"/>
      <c r="N60" s="7">
        <f t="shared" si="31"/>
        <v>-0.30453487552013536</v>
      </c>
      <c r="O60" s="11"/>
      <c r="P60" s="6">
        <v>-374.93</v>
      </c>
      <c r="Q60" s="2"/>
      <c r="R60" s="7">
        <f t="shared" si="32"/>
        <v>-7.9364543953386465E-5</v>
      </c>
      <c r="S60" s="2"/>
      <c r="T60" s="6">
        <v>-1024.45</v>
      </c>
      <c r="U60" s="2"/>
      <c r="V60" s="7">
        <f t="shared" si="33"/>
        <v>-2.1220258159887834E-4</v>
      </c>
      <c r="W60" s="2"/>
      <c r="X60" s="6">
        <f t="shared" si="34"/>
        <v>649.52</v>
      </c>
      <c r="Y60" s="2"/>
      <c r="Z60" s="7">
        <f t="shared" si="35"/>
        <v>-0.63401825369710574</v>
      </c>
    </row>
    <row r="61" spans="1:26" s="27" customFormat="1" outlineLevel="1" collapsed="1" x14ac:dyDescent="0.25">
      <c r="A61" s="25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32106.499999999996</v>
      </c>
      <c r="E61" s="1"/>
      <c r="F61" s="5">
        <f t="shared" si="28"/>
        <v>5.0565014207388577E-2</v>
      </c>
      <c r="G61" s="1"/>
      <c r="H61" s="1">
        <f>SUM(OSRRefH22_4x_0)</f>
        <v>36887.049999999996</v>
      </c>
      <c r="I61" s="1"/>
      <c r="J61" s="5">
        <f t="shared" si="29"/>
        <v>4.9066053603649802E-2</v>
      </c>
      <c r="K61" s="1"/>
      <c r="L61" s="1">
        <f t="shared" si="30"/>
        <v>-4780.5499999999993</v>
      </c>
      <c r="M61" s="1"/>
      <c r="N61" s="5">
        <f t="shared" si="31"/>
        <v>-0.12959968335770955</v>
      </c>
      <c r="O61" s="13"/>
      <c r="P61" s="1">
        <f>SUM(OSRRefP22_4x_0)</f>
        <v>160126.79999999999</v>
      </c>
      <c r="Q61" s="1"/>
      <c r="R61" s="5">
        <f t="shared" si="32"/>
        <v>3.3895368353332948E-2</v>
      </c>
      <c r="S61" s="1"/>
      <c r="T61" s="1">
        <f>SUM(OSRRefT22_4x_0)</f>
        <v>157363.60999999999</v>
      </c>
      <c r="U61" s="1"/>
      <c r="V61" s="5">
        <f t="shared" si="33"/>
        <v>3.2595992280461776E-2</v>
      </c>
      <c r="W61" s="1"/>
      <c r="X61" s="1">
        <f t="shared" si="34"/>
        <v>2763.1900000000023</v>
      </c>
      <c r="Y61" s="1"/>
      <c r="Z61" s="5">
        <f t="shared" si="35"/>
        <v>1.7559269261807113E-2</v>
      </c>
    </row>
    <row r="62" spans="1:26" s="24" customFormat="1" hidden="1" outlineLevel="2" x14ac:dyDescent="0.25">
      <c r="A62" s="26"/>
      <c r="B62" s="11" t="str">
        <f>CONCATENATE("          ", "6381", " - ", "BANK/CREDIT CARD FEES")</f>
        <v xml:space="preserve">          6381 - BANK/CREDIT CARD FEES</v>
      </c>
      <c r="C62" s="11"/>
      <c r="D62" s="6">
        <v>32106.499999999996</v>
      </c>
      <c r="E62" s="2"/>
      <c r="F62" s="7">
        <f t="shared" si="28"/>
        <v>5.0565014207388577E-2</v>
      </c>
      <c r="G62" s="2"/>
      <c r="H62" s="6">
        <v>36887.049999999996</v>
      </c>
      <c r="I62" s="2"/>
      <c r="J62" s="7">
        <f t="shared" si="29"/>
        <v>4.9066053603649802E-2</v>
      </c>
      <c r="K62" s="2"/>
      <c r="L62" s="6">
        <f t="shared" si="30"/>
        <v>-4780.5499999999993</v>
      </c>
      <c r="M62" s="2"/>
      <c r="N62" s="7">
        <f t="shared" si="31"/>
        <v>-0.12959968335770955</v>
      </c>
      <c r="O62" s="11"/>
      <c r="P62" s="6">
        <v>160126.79999999999</v>
      </c>
      <c r="Q62" s="2"/>
      <c r="R62" s="7">
        <f t="shared" si="32"/>
        <v>3.3895368353332948E-2</v>
      </c>
      <c r="S62" s="2"/>
      <c r="T62" s="6">
        <v>157363.60999999999</v>
      </c>
      <c r="U62" s="2"/>
      <c r="V62" s="7">
        <f t="shared" si="33"/>
        <v>3.2595992280461776E-2</v>
      </c>
      <c r="W62" s="2"/>
      <c r="X62" s="6">
        <f t="shared" si="34"/>
        <v>2763.1900000000023</v>
      </c>
      <c r="Y62" s="2"/>
      <c r="Z62" s="7">
        <f t="shared" si="35"/>
        <v>1.7559269261807113E-2</v>
      </c>
    </row>
    <row r="63" spans="1:26" s="27" customFormat="1" outlineLevel="1" collapsed="1" x14ac:dyDescent="0.25">
      <c r="A63" s="25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49292.520000000004</v>
      </c>
      <c r="E63" s="1"/>
      <c r="F63" s="5">
        <f t="shared" si="28"/>
        <v>7.7631537978851195E-2</v>
      </c>
      <c r="G63" s="1"/>
      <c r="H63" s="1">
        <f>SUM(OSRRefH22_5x_0)</f>
        <v>43808.67</v>
      </c>
      <c r="I63" s="1"/>
      <c r="J63" s="5">
        <f t="shared" si="29"/>
        <v>5.827298606217101E-2</v>
      </c>
      <c r="K63" s="1"/>
      <c r="L63" s="1">
        <f t="shared" si="30"/>
        <v>5483.8500000000058</v>
      </c>
      <c r="M63" s="1"/>
      <c r="N63" s="5">
        <f t="shared" si="31"/>
        <v>0.12517727655279209</v>
      </c>
      <c r="O63" s="13"/>
      <c r="P63" s="1">
        <f>SUM(OSRRefP22_5x_0)</f>
        <v>289165.17000000004</v>
      </c>
      <c r="Q63" s="1"/>
      <c r="R63" s="5">
        <f t="shared" si="32"/>
        <v>6.1209990782955408E-2</v>
      </c>
      <c r="S63" s="1"/>
      <c r="T63" s="1">
        <f>SUM(OSRRefT22_5x_0)</f>
        <v>281825.88</v>
      </c>
      <c r="U63" s="1"/>
      <c r="V63" s="5">
        <f t="shared" si="33"/>
        <v>5.8376864949363748E-2</v>
      </c>
      <c r="W63" s="1"/>
      <c r="X63" s="1">
        <f t="shared" si="34"/>
        <v>7339.2900000000373</v>
      </c>
      <c r="Y63" s="1"/>
      <c r="Z63" s="5">
        <f t="shared" si="35"/>
        <v>2.6041930570748283E-2</v>
      </c>
    </row>
    <row r="64" spans="1:26" s="24" customFormat="1" hidden="1" outlineLevel="2" x14ac:dyDescent="0.25">
      <c r="A64" s="26"/>
      <c r="B64" s="11" t="str">
        <f>CONCATENATE("          ", "6321", " - ", "BUILDING DEPRECIATION")</f>
        <v xml:space="preserve">          6321 - BUILDING DEPRECIATION</v>
      </c>
      <c r="C64" s="11"/>
      <c r="D64" s="6">
        <v>29123.47</v>
      </c>
      <c r="E64" s="2"/>
      <c r="F64" s="7">
        <f t="shared" si="28"/>
        <v>4.586699497978463E-2</v>
      </c>
      <c r="G64" s="2"/>
      <c r="H64" s="6">
        <v>26597.02</v>
      </c>
      <c r="I64" s="2"/>
      <c r="J64" s="7">
        <f t="shared" si="29"/>
        <v>3.5378562639662048E-2</v>
      </c>
      <c r="K64" s="2"/>
      <c r="L64" s="6">
        <f t="shared" si="30"/>
        <v>2526.4500000000007</v>
      </c>
      <c r="M64" s="2"/>
      <c r="N64" s="7">
        <f t="shared" si="31"/>
        <v>9.4989965041196375E-2</v>
      </c>
      <c r="O64" s="11"/>
      <c r="P64" s="6">
        <v>174740.82</v>
      </c>
      <c r="Q64" s="2"/>
      <c r="R64" s="7">
        <f t="shared" si="32"/>
        <v>3.6988839221563471E-2</v>
      </c>
      <c r="S64" s="2"/>
      <c r="T64" s="6">
        <v>178555.98</v>
      </c>
      <c r="U64" s="2"/>
      <c r="V64" s="7">
        <f t="shared" si="33"/>
        <v>3.6985738606977098E-2</v>
      </c>
      <c r="W64" s="2"/>
      <c r="X64" s="6">
        <f t="shared" si="34"/>
        <v>-3815.1600000000035</v>
      </c>
      <c r="Y64" s="2"/>
      <c r="Z64" s="7">
        <f t="shared" si="35"/>
        <v>-2.1366744479798454E-2</v>
      </c>
    </row>
    <row r="65" spans="1:26" s="24" customFormat="1" hidden="1" outlineLevel="2" x14ac:dyDescent="0.25">
      <c r="A65" s="26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19744.8</v>
      </c>
      <c r="E65" s="2"/>
      <c r="F65" s="7">
        <f t="shared" si="28"/>
        <v>3.1096385234206346E-2</v>
      </c>
      <c r="G65" s="2"/>
      <c r="H65" s="6">
        <v>16787.400000000001</v>
      </c>
      <c r="I65" s="2"/>
      <c r="J65" s="7">
        <f t="shared" si="29"/>
        <v>2.2330098727491376E-2</v>
      </c>
      <c r="K65" s="2"/>
      <c r="L65" s="6">
        <f t="shared" si="30"/>
        <v>2957.3999999999978</v>
      </c>
      <c r="M65" s="2"/>
      <c r="N65" s="7">
        <f t="shared" si="31"/>
        <v>0.17616784016583853</v>
      </c>
      <c r="O65" s="11"/>
      <c r="P65" s="6">
        <v>111878.85</v>
      </c>
      <c r="Q65" s="2"/>
      <c r="R65" s="7">
        <f t="shared" si="32"/>
        <v>2.3682324455976664E-2</v>
      </c>
      <c r="S65" s="2"/>
      <c r="T65" s="6">
        <v>100724.4</v>
      </c>
      <c r="U65" s="2"/>
      <c r="V65" s="7">
        <f t="shared" si="33"/>
        <v>2.0863856420516434E-2</v>
      </c>
      <c r="W65" s="2"/>
      <c r="X65" s="6">
        <f t="shared" si="34"/>
        <v>11154.450000000012</v>
      </c>
      <c r="Y65" s="2"/>
      <c r="Z65" s="7">
        <f t="shared" si="35"/>
        <v>0.1107422829026533</v>
      </c>
    </row>
    <row r="66" spans="1:26" s="24" customFormat="1" hidden="1" outlineLevel="2" x14ac:dyDescent="0.25">
      <c r="A66" s="26"/>
      <c r="B66" s="11" t="str">
        <f>CONCATENATE("          ", "6326", " - ", "VEHICLES DEPRECIATION EXPENSE")</f>
        <v xml:space="preserve">          6326 - VEHICLES DEPRECIATION EXPENSE</v>
      </c>
      <c r="C66" s="11"/>
      <c r="D66" s="6">
        <v>424.25</v>
      </c>
      <c r="E66" s="2"/>
      <c r="F66" s="7">
        <f t="shared" si="28"/>
        <v>6.6815776486021852E-4</v>
      </c>
      <c r="G66" s="2"/>
      <c r="H66" s="6">
        <v>424.25</v>
      </c>
      <c r="I66" s="2"/>
      <c r="J66" s="7">
        <f t="shared" si="29"/>
        <v>5.6432469501758553E-4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2545.5</v>
      </c>
      <c r="Q66" s="2"/>
      <c r="R66" s="7">
        <f t="shared" si="32"/>
        <v>5.3882710541526481E-4</v>
      </c>
      <c r="S66" s="2"/>
      <c r="T66" s="6">
        <v>2545.5</v>
      </c>
      <c r="U66" s="2"/>
      <c r="V66" s="7">
        <f t="shared" si="33"/>
        <v>5.2726992187021799E-4</v>
      </c>
      <c r="W66" s="2"/>
      <c r="X66" s="6">
        <f t="shared" si="34"/>
        <v>0</v>
      </c>
      <c r="Y66" s="2"/>
      <c r="Z66" s="7">
        <f t="shared" si="35"/>
        <v>0</v>
      </c>
    </row>
    <row r="67" spans="1:26" s="27" customFormat="1" outlineLevel="1" collapsed="1" x14ac:dyDescent="0.25">
      <c r="A67" s="25"/>
      <c r="B67" s="13" t="str">
        <f>CONCATENATE("     ","Discounts and Markdowns                           ")</f>
        <v xml:space="preserve">     Discounts and Markdowns                           </v>
      </c>
      <c r="C67" s="13"/>
      <c r="D67" s="1">
        <f>SUM(OSRRefD22_6x_0)</f>
        <v>16.62</v>
      </c>
      <c r="E67" s="1"/>
      <c r="F67" s="5">
        <f t="shared" ref="F67:F77" si="36">IF(D$12=0,0,D67/D$12)</f>
        <v>2.6175090281618935E-5</v>
      </c>
      <c r="G67" s="1"/>
      <c r="H67" s="1">
        <f>SUM(OSRRefH22_6x_0)</f>
        <v>10.119999999999999</v>
      </c>
      <c r="I67" s="1"/>
      <c r="J67" s="5">
        <f t="shared" ref="J67:J77" si="37">IF(H$12=0,0,H67/H$12)</f>
        <v>1.3461322129824314E-5</v>
      </c>
      <c r="K67" s="1"/>
      <c r="L67" s="1">
        <f t="shared" ref="L67:L77" si="38">+D67-H67</f>
        <v>6.5000000000000018</v>
      </c>
      <c r="M67" s="1"/>
      <c r="N67" s="5">
        <f t="shared" ref="N67:N77" si="39">IF(H67=0,0,L67/H67)</f>
        <v>0.64229249011857725</v>
      </c>
      <c r="O67" s="13"/>
      <c r="P67" s="1">
        <f>SUM(OSRRefP22_6x_0)</f>
        <v>76.37</v>
      </c>
      <c r="Q67" s="1"/>
      <c r="R67" s="5">
        <f t="shared" ref="R67:R77" si="40">IF(P$12=0,0,P67/P$12)</f>
        <v>1.6165871553943733E-5</v>
      </c>
      <c r="S67" s="1"/>
      <c r="T67" s="1">
        <f>SUM(OSRRefT22_6x_0)</f>
        <v>72.900000000000006</v>
      </c>
      <c r="U67" s="1"/>
      <c r="V67" s="5">
        <f t="shared" ref="V67:V77" si="41">IF(T$12=0,0,T67/T$12)</f>
        <v>1.5100364291627928E-5</v>
      </c>
      <c r="W67" s="1"/>
      <c r="X67" s="1">
        <f t="shared" ref="X67:X77" si="42">+P67-T67</f>
        <v>3.4699999999999989</v>
      </c>
      <c r="Y67" s="1"/>
      <c r="Z67" s="5">
        <f t="shared" ref="Z67:Z77" si="43">IF(T67=0,0,X67/T67)</f>
        <v>4.7599451303154988E-2</v>
      </c>
    </row>
    <row r="68" spans="1:26" s="24" customFormat="1" hidden="1" outlineLevel="2" x14ac:dyDescent="0.25">
      <c r="A68" s="26"/>
      <c r="B68" s="11" t="str">
        <f>CONCATENATE("          ", "6382", " - ", "DISCOUNTS/MARK DOWNS")</f>
        <v xml:space="preserve">          6382 - DISCOUNTS/MARK DOWNS</v>
      </c>
      <c r="C68" s="11"/>
      <c r="D68" s="6">
        <v>16.62</v>
      </c>
      <c r="E68" s="2"/>
      <c r="F68" s="7">
        <f t="shared" si="36"/>
        <v>2.6175090281618935E-5</v>
      </c>
      <c r="G68" s="2"/>
      <c r="H68" s="6">
        <v>10.119999999999999</v>
      </c>
      <c r="I68" s="2"/>
      <c r="J68" s="7">
        <f t="shared" si="37"/>
        <v>1.3461322129824314E-5</v>
      </c>
      <c r="K68" s="2"/>
      <c r="L68" s="6">
        <f t="shared" si="38"/>
        <v>6.5000000000000018</v>
      </c>
      <c r="M68" s="2"/>
      <c r="N68" s="7">
        <f t="shared" si="39"/>
        <v>0.64229249011857725</v>
      </c>
      <c r="O68" s="11"/>
      <c r="P68" s="6">
        <v>76.37</v>
      </c>
      <c r="Q68" s="2"/>
      <c r="R68" s="7">
        <f t="shared" si="40"/>
        <v>1.6165871553943733E-5</v>
      </c>
      <c r="S68" s="2"/>
      <c r="T68" s="6">
        <v>72.900000000000006</v>
      </c>
      <c r="U68" s="2"/>
      <c r="V68" s="7">
        <f t="shared" si="41"/>
        <v>1.5100364291627928E-5</v>
      </c>
      <c r="W68" s="2"/>
      <c r="X68" s="6">
        <f t="shared" si="42"/>
        <v>3.4699999999999989</v>
      </c>
      <c r="Y68" s="2"/>
      <c r="Z68" s="7">
        <f t="shared" si="43"/>
        <v>4.7599451303154988E-2</v>
      </c>
    </row>
    <row r="69" spans="1:26" s="27" customFormat="1" outlineLevel="1" collapsed="1" x14ac:dyDescent="0.25">
      <c r="A69" s="25"/>
      <c r="B69" s="13" t="str">
        <f>CONCATENATE("     ","Donations                                         ")</f>
        <v xml:space="preserve">     Donations                                         </v>
      </c>
      <c r="C69" s="13"/>
      <c r="D69" s="1">
        <f>SUM(OSRRefD22_7x_0)</f>
        <v>73</v>
      </c>
      <c r="E69" s="1"/>
      <c r="F69" s="5">
        <f t="shared" si="36"/>
        <v>1.1496880809616017E-4</v>
      </c>
      <c r="G69" s="1"/>
      <c r="H69" s="1">
        <f>SUM(OSRRefH22_7x_0)</f>
        <v>0</v>
      </c>
      <c r="I69" s="1"/>
      <c r="J69" s="5">
        <f t="shared" si="37"/>
        <v>0</v>
      </c>
      <c r="K69" s="1"/>
      <c r="L69" s="1">
        <f t="shared" si="38"/>
        <v>73</v>
      </c>
      <c r="M69" s="1"/>
      <c r="N69" s="5">
        <f t="shared" si="39"/>
        <v>0</v>
      </c>
      <c r="O69" s="13"/>
      <c r="P69" s="1">
        <f>SUM(OSRRefP22_7x_0)</f>
        <v>236.68</v>
      </c>
      <c r="Q69" s="1"/>
      <c r="R69" s="5">
        <f t="shared" si="40"/>
        <v>5.0100019371315998E-5</v>
      </c>
      <c r="S69" s="1"/>
      <c r="T69" s="1">
        <f>SUM(OSRRefT22_7x_0)</f>
        <v>750.24</v>
      </c>
      <c r="U69" s="1"/>
      <c r="V69" s="5">
        <f t="shared" si="41"/>
        <v>1.5540325522840791E-4</v>
      </c>
      <c r="W69" s="1"/>
      <c r="X69" s="1">
        <f t="shared" si="42"/>
        <v>-513.55999999999995</v>
      </c>
      <c r="Y69" s="1"/>
      <c r="Z69" s="5">
        <f t="shared" si="43"/>
        <v>-0.68452761782896132</v>
      </c>
    </row>
    <row r="70" spans="1:26" s="24" customFormat="1" hidden="1" outlineLevel="2" x14ac:dyDescent="0.25">
      <c r="A70" s="26"/>
      <c r="B70" s="11" t="str">
        <f>CONCATENATE("          ", "6399", " - ", "DONATION-ON CAMPUS")</f>
        <v xml:space="preserve">          6399 - DONATION-ON CAMPUS</v>
      </c>
      <c r="C70" s="11"/>
      <c r="D70" s="6">
        <v>73</v>
      </c>
      <c r="E70" s="2"/>
      <c r="F70" s="7">
        <f t="shared" si="36"/>
        <v>1.1496880809616017E-4</v>
      </c>
      <c r="G70" s="2"/>
      <c r="H70" s="6"/>
      <c r="I70" s="2"/>
      <c r="J70" s="7">
        <f t="shared" si="37"/>
        <v>0</v>
      </c>
      <c r="K70" s="2"/>
      <c r="L70" s="6">
        <f t="shared" si="38"/>
        <v>73</v>
      </c>
      <c r="M70" s="2"/>
      <c r="N70" s="7">
        <f t="shared" si="39"/>
        <v>0</v>
      </c>
      <c r="O70" s="11"/>
      <c r="P70" s="6">
        <v>236.68</v>
      </c>
      <c r="Q70" s="2"/>
      <c r="R70" s="7">
        <f t="shared" si="40"/>
        <v>5.0100019371315998E-5</v>
      </c>
      <c r="S70" s="2"/>
      <c r="T70" s="6">
        <v>750.24</v>
      </c>
      <c r="U70" s="2"/>
      <c r="V70" s="7">
        <f t="shared" si="41"/>
        <v>1.5540325522840791E-4</v>
      </c>
      <c r="W70" s="2"/>
      <c r="X70" s="6">
        <f t="shared" si="42"/>
        <v>-513.55999999999995</v>
      </c>
      <c r="Y70" s="2"/>
      <c r="Z70" s="7">
        <f t="shared" si="43"/>
        <v>-0.68452761782896132</v>
      </c>
    </row>
    <row r="71" spans="1:26" s="27" customFormat="1" outlineLevel="1" collapsed="1" x14ac:dyDescent="0.25">
      <c r="A71" s="25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SUM(OSRRefD22_8x_0)</f>
        <v>292.13</v>
      </c>
      <c r="E71" s="1"/>
      <c r="F71" s="5">
        <f t="shared" si="36"/>
        <v>4.6007997135796261E-4</v>
      </c>
      <c r="G71" s="1"/>
      <c r="H71" s="1">
        <f>SUM(OSRRefH22_8x_0)</f>
        <v>297.22000000000003</v>
      </c>
      <c r="I71" s="1"/>
      <c r="J71" s="5">
        <f t="shared" si="37"/>
        <v>3.9535317820418809E-4</v>
      </c>
      <c r="K71" s="1"/>
      <c r="L71" s="1">
        <f t="shared" si="38"/>
        <v>-5.0900000000000318</v>
      </c>
      <c r="M71" s="1"/>
      <c r="N71" s="5">
        <f t="shared" si="39"/>
        <v>-1.7125361684947282E-2</v>
      </c>
      <c r="O71" s="13"/>
      <c r="P71" s="1">
        <f>SUM(OSRRefP22_8x_0)</f>
        <v>1306.78</v>
      </c>
      <c r="Q71" s="1"/>
      <c r="R71" s="5">
        <f t="shared" si="40"/>
        <v>2.7661696515991345E-4</v>
      </c>
      <c r="S71" s="1"/>
      <c r="T71" s="1">
        <f>SUM(OSRRefT22_8x_0)</f>
        <v>1719.67</v>
      </c>
      <c r="U71" s="1"/>
      <c r="V71" s="5">
        <f t="shared" si="41"/>
        <v>3.5620910097920164E-4</v>
      </c>
      <c r="W71" s="1"/>
      <c r="X71" s="1">
        <f t="shared" si="42"/>
        <v>-412.8900000000001</v>
      </c>
      <c r="Y71" s="1"/>
      <c r="Z71" s="5">
        <f t="shared" si="43"/>
        <v>-0.24009839097036065</v>
      </c>
    </row>
    <row r="72" spans="1:26" s="24" customFormat="1" hidden="1" outlineLevel="2" x14ac:dyDescent="0.25">
      <c r="A72" s="26"/>
      <c r="B72" s="11" t="str">
        <f>CONCATENATE("          ", "6277", " - ", "EMPLOYEE APPRECIATION")</f>
        <v xml:space="preserve">          6277 - EMPLOYEE APPRECIATION</v>
      </c>
      <c r="C72" s="11"/>
      <c r="D72" s="6">
        <v>292.13</v>
      </c>
      <c r="E72" s="2"/>
      <c r="F72" s="7">
        <f t="shared" si="36"/>
        <v>4.6007997135796261E-4</v>
      </c>
      <c r="G72" s="2"/>
      <c r="H72" s="6">
        <v>297.22000000000003</v>
      </c>
      <c r="I72" s="2"/>
      <c r="J72" s="7">
        <f t="shared" si="37"/>
        <v>3.9535317820418809E-4</v>
      </c>
      <c r="K72" s="2"/>
      <c r="L72" s="6">
        <f t="shared" si="38"/>
        <v>-5.0900000000000318</v>
      </c>
      <c r="M72" s="2"/>
      <c r="N72" s="7">
        <f t="shared" si="39"/>
        <v>-1.7125361684947282E-2</v>
      </c>
      <c r="O72" s="11"/>
      <c r="P72" s="6">
        <v>1306.78</v>
      </c>
      <c r="Q72" s="2"/>
      <c r="R72" s="7">
        <f t="shared" si="40"/>
        <v>2.7661696515991345E-4</v>
      </c>
      <c r="S72" s="2"/>
      <c r="T72" s="6">
        <v>1719.67</v>
      </c>
      <c r="U72" s="2"/>
      <c r="V72" s="7">
        <f t="shared" si="41"/>
        <v>3.5620910097920164E-4</v>
      </c>
      <c r="W72" s="2"/>
      <c r="X72" s="6">
        <f t="shared" si="42"/>
        <v>-412.8900000000001</v>
      </c>
      <c r="Y72" s="2"/>
      <c r="Z72" s="7">
        <f t="shared" si="43"/>
        <v>-0.24009839097036065</v>
      </c>
    </row>
    <row r="73" spans="1:26" s="27" customFormat="1" outlineLevel="1" collapsed="1" x14ac:dyDescent="0.25">
      <c r="A73" s="25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SUM(OSRRefD22_9x_0)</f>
        <v>2816.55</v>
      </c>
      <c r="E73" s="1"/>
      <c r="F73" s="5">
        <f t="shared" si="36"/>
        <v>4.4358273485375337E-3</v>
      </c>
      <c r="G73" s="1"/>
      <c r="H73" s="1">
        <f>SUM(OSRRefH22_9x_0)</f>
        <v>1446.79</v>
      </c>
      <c r="I73" s="1"/>
      <c r="J73" s="5">
        <f t="shared" si="37"/>
        <v>1.9244769016016326E-3</v>
      </c>
      <c r="K73" s="1"/>
      <c r="L73" s="1">
        <f t="shared" si="38"/>
        <v>1369.7600000000002</v>
      </c>
      <c r="M73" s="1"/>
      <c r="N73" s="5">
        <f t="shared" si="39"/>
        <v>0.94675799528611637</v>
      </c>
      <c r="O73" s="13"/>
      <c r="P73" s="1">
        <f>SUM(OSRRefP22_9x_0)</f>
        <v>15563.98</v>
      </c>
      <c r="Q73" s="1"/>
      <c r="R73" s="5">
        <f t="shared" si="40"/>
        <v>3.2945567833985749E-3</v>
      </c>
      <c r="S73" s="1"/>
      <c r="T73" s="1">
        <f>SUM(OSRRefT22_9x_0)</f>
        <v>10283.24</v>
      </c>
      <c r="U73" s="1"/>
      <c r="V73" s="5">
        <f t="shared" si="41"/>
        <v>2.1300503442831273E-3</v>
      </c>
      <c r="W73" s="1"/>
      <c r="X73" s="1">
        <f t="shared" si="42"/>
        <v>5280.74</v>
      </c>
      <c r="Y73" s="1"/>
      <c r="Z73" s="5">
        <f t="shared" si="43"/>
        <v>0.51352880998595773</v>
      </c>
    </row>
    <row r="74" spans="1:26" s="24" customFormat="1" hidden="1" outlineLevel="2" x14ac:dyDescent="0.25">
      <c r="A74" s="26"/>
      <c r="B74" s="11" t="str">
        <f>CONCATENATE("          ", "6351", " - ", "EQUIPMENT RENTAL")</f>
        <v xml:space="preserve">          6351 - EQUIPMENT RENTAL</v>
      </c>
      <c r="C74" s="11"/>
      <c r="D74" s="6">
        <v>2816.55</v>
      </c>
      <c r="E74" s="2"/>
      <c r="F74" s="7">
        <f t="shared" si="36"/>
        <v>4.4358273485375337E-3</v>
      </c>
      <c r="G74" s="2"/>
      <c r="H74" s="6">
        <v>1446.79</v>
      </c>
      <c r="I74" s="2"/>
      <c r="J74" s="7">
        <f t="shared" si="37"/>
        <v>1.9244769016016326E-3</v>
      </c>
      <c r="K74" s="2"/>
      <c r="L74" s="6">
        <f t="shared" si="38"/>
        <v>1369.7600000000002</v>
      </c>
      <c r="M74" s="2"/>
      <c r="N74" s="7">
        <f t="shared" si="39"/>
        <v>0.94675799528611637</v>
      </c>
      <c r="O74" s="11"/>
      <c r="P74" s="6">
        <v>15563.98</v>
      </c>
      <c r="Q74" s="2"/>
      <c r="R74" s="7">
        <f t="shared" si="40"/>
        <v>3.2945567833985749E-3</v>
      </c>
      <c r="S74" s="2"/>
      <c r="T74" s="6">
        <v>10283.24</v>
      </c>
      <c r="U74" s="2"/>
      <c r="V74" s="7">
        <f t="shared" si="41"/>
        <v>2.1300503442831273E-3</v>
      </c>
      <c r="W74" s="2"/>
      <c r="X74" s="6">
        <f t="shared" si="42"/>
        <v>5280.74</v>
      </c>
      <c r="Y74" s="2"/>
      <c r="Z74" s="7">
        <f t="shared" si="43"/>
        <v>0.51352880998595773</v>
      </c>
    </row>
    <row r="75" spans="1:26" s="27" customFormat="1" outlineLevel="1" collapsed="1" x14ac:dyDescent="0.25">
      <c r="A75" s="25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SUM(OSRRefD22_10x_0)</f>
        <v>37.380000000000003</v>
      </c>
      <c r="E75" s="1"/>
      <c r="F75" s="5">
        <f t="shared" si="36"/>
        <v>5.8870329405951609E-5</v>
      </c>
      <c r="G75" s="1"/>
      <c r="H75" s="1">
        <f>SUM(OSRRefH22_10x_0)</f>
        <v>15.23</v>
      </c>
      <c r="I75" s="1"/>
      <c r="J75" s="5">
        <f t="shared" si="37"/>
        <v>2.0258491703283038E-5</v>
      </c>
      <c r="K75" s="1"/>
      <c r="L75" s="1">
        <f t="shared" si="38"/>
        <v>22.150000000000002</v>
      </c>
      <c r="M75" s="1"/>
      <c r="N75" s="5">
        <f t="shared" si="39"/>
        <v>1.4543663821405122</v>
      </c>
      <c r="O75" s="13"/>
      <c r="P75" s="1">
        <f>SUM(OSRRefP22_10x_0)</f>
        <v>225.99</v>
      </c>
      <c r="Q75" s="1"/>
      <c r="R75" s="5">
        <f t="shared" si="40"/>
        <v>4.7837178374698763E-5</v>
      </c>
      <c r="S75" s="1"/>
      <c r="T75" s="1">
        <f>SUM(OSRRefT22_10x_0)</f>
        <v>182.35</v>
      </c>
      <c r="U75" s="1"/>
      <c r="V75" s="5">
        <f t="shared" si="41"/>
        <v>3.7771624534682475E-5</v>
      </c>
      <c r="W75" s="1"/>
      <c r="X75" s="1">
        <f t="shared" si="42"/>
        <v>43.640000000000015</v>
      </c>
      <c r="Y75" s="1"/>
      <c r="Z75" s="5">
        <f t="shared" si="43"/>
        <v>0.23931998903208124</v>
      </c>
    </row>
    <row r="76" spans="1:26" s="24" customFormat="1" hidden="1" outlineLevel="2" x14ac:dyDescent="0.25">
      <c r="A76" s="26"/>
      <c r="B76" s="11" t="str">
        <f>CONCATENATE("          ", "6305", " - ", "FREIGHT OUT")</f>
        <v xml:space="preserve">          6305 - FREIGHT OUT</v>
      </c>
      <c r="C76" s="11"/>
      <c r="D76" s="6">
        <v>37.380000000000003</v>
      </c>
      <c r="E76" s="2"/>
      <c r="F76" s="7">
        <f t="shared" si="36"/>
        <v>5.8870329405951609E-5</v>
      </c>
      <c r="G76" s="2"/>
      <c r="H76" s="6">
        <v>15.23</v>
      </c>
      <c r="I76" s="2"/>
      <c r="J76" s="7">
        <f t="shared" si="37"/>
        <v>2.0258491703283038E-5</v>
      </c>
      <c r="K76" s="2"/>
      <c r="L76" s="6">
        <f t="shared" si="38"/>
        <v>22.150000000000002</v>
      </c>
      <c r="M76" s="2"/>
      <c r="N76" s="7">
        <f t="shared" si="39"/>
        <v>1.4543663821405122</v>
      </c>
      <c r="O76" s="11"/>
      <c r="P76" s="6">
        <v>225.99</v>
      </c>
      <c r="Q76" s="2"/>
      <c r="R76" s="7">
        <f t="shared" si="40"/>
        <v>4.7837178374698763E-5</v>
      </c>
      <c r="S76" s="2"/>
      <c r="T76" s="6">
        <v>173.34</v>
      </c>
      <c r="U76" s="2"/>
      <c r="V76" s="7">
        <f t="shared" si="41"/>
        <v>3.5905310648981964E-5</v>
      </c>
      <c r="W76" s="2"/>
      <c r="X76" s="6">
        <f t="shared" si="42"/>
        <v>52.650000000000006</v>
      </c>
      <c r="Y76" s="2"/>
      <c r="Z76" s="7">
        <f t="shared" si="43"/>
        <v>0.30373831775700938</v>
      </c>
    </row>
    <row r="77" spans="1:26" s="24" customFormat="1" hidden="1" outlineLevel="2" x14ac:dyDescent="0.25">
      <c r="A77" s="26"/>
      <c r="B77" s="11" t="str">
        <f>CONCATENATE("          ", "6307", " - ", "POSTAGE")</f>
        <v xml:space="preserve">          6307 - POSTAGE</v>
      </c>
      <c r="C77" s="11"/>
      <c r="D77" s="6"/>
      <c r="E77" s="2"/>
      <c r="F77" s="7">
        <f t="shared" si="36"/>
        <v>0</v>
      </c>
      <c r="G77" s="2"/>
      <c r="H77" s="6"/>
      <c r="I77" s="2"/>
      <c r="J77" s="7">
        <f t="shared" si="37"/>
        <v>0</v>
      </c>
      <c r="K77" s="2"/>
      <c r="L77" s="6">
        <f t="shared" si="38"/>
        <v>0</v>
      </c>
      <c r="M77" s="2"/>
      <c r="N77" s="7">
        <f t="shared" si="39"/>
        <v>0</v>
      </c>
      <c r="O77" s="11"/>
      <c r="P77" s="6"/>
      <c r="Q77" s="2"/>
      <c r="R77" s="7">
        <f t="shared" si="40"/>
        <v>0</v>
      </c>
      <c r="S77" s="2"/>
      <c r="T77" s="6">
        <v>9.01</v>
      </c>
      <c r="U77" s="2"/>
      <c r="V77" s="7">
        <f t="shared" si="41"/>
        <v>1.866313885700516E-6</v>
      </c>
      <c r="W77" s="2"/>
      <c r="X77" s="6">
        <f t="shared" si="42"/>
        <v>-9.01</v>
      </c>
      <c r="Y77" s="2"/>
      <c r="Z77" s="7">
        <f t="shared" si="43"/>
        <v>-1</v>
      </c>
    </row>
    <row r="78" spans="1:26" s="27" customFormat="1" outlineLevel="1" collapsed="1" x14ac:dyDescent="0.25">
      <c r="A78" s="25"/>
      <c r="B78" s="13" t="str">
        <f>CONCATENATE("     ","General                                           ")</f>
        <v xml:space="preserve">     General                                           </v>
      </c>
      <c r="C78" s="13"/>
      <c r="D78" s="1">
        <f>SUM(OSRRefD22_11x_0)</f>
        <v>5364.27</v>
      </c>
      <c r="E78" s="1"/>
      <c r="F78" s="5">
        <f t="shared" ref="F78:F80" si="44">IF(D$12=0,0,D78/D$12)</f>
        <v>8.4482702493971114E-3</v>
      </c>
      <c r="G78" s="1"/>
      <c r="H78" s="1">
        <f>SUM(OSRRefH22_11x_0)</f>
        <v>6325.84</v>
      </c>
      <c r="I78" s="1"/>
      <c r="J78" s="5">
        <f t="shared" ref="J78:J80" si="45">IF(H$12=0,0,H78/H$12)</f>
        <v>8.4144436740837807E-3</v>
      </c>
      <c r="K78" s="1"/>
      <c r="L78" s="1">
        <f t="shared" ref="L78:L80" si="46">+D78-H78</f>
        <v>-961.56999999999971</v>
      </c>
      <c r="M78" s="1"/>
      <c r="N78" s="5">
        <f t="shared" ref="N78:N80" si="47">IF(H78=0,0,L78/H78)</f>
        <v>-0.15200669002061382</v>
      </c>
      <c r="O78" s="13"/>
      <c r="P78" s="1">
        <f>SUM(OSRRefP22_11x_0)</f>
        <v>72404.649999999994</v>
      </c>
      <c r="Q78" s="1"/>
      <c r="R78" s="5">
        <f t="shared" ref="R78:R80" si="48">IF(P$12=0,0,P78/P$12)</f>
        <v>1.5326493018308917E-2</v>
      </c>
      <c r="S78" s="1"/>
      <c r="T78" s="1">
        <f>SUM(OSRRefT22_11x_0)</f>
        <v>40483.82</v>
      </c>
      <c r="U78" s="1"/>
      <c r="V78" s="5">
        <f t="shared" ref="V78:V80" si="49">IF(T$12=0,0,T78/T$12)</f>
        <v>8.3857397793784989E-3</v>
      </c>
      <c r="W78" s="1"/>
      <c r="X78" s="1">
        <f t="shared" ref="X78:X80" si="50">+P78-T78</f>
        <v>31920.829999999994</v>
      </c>
      <c r="Y78" s="1"/>
      <c r="Z78" s="5">
        <f t="shared" ref="Z78:Z80" si="51">IF(T78=0,0,X78/T78)</f>
        <v>0.78848364605909216</v>
      </c>
    </row>
    <row r="79" spans="1:26" s="24" customFormat="1" hidden="1" outlineLevel="2" x14ac:dyDescent="0.25">
      <c r="A79" s="26"/>
      <c r="B79" s="11" t="str">
        <f>CONCATENATE("          ", "6269", " - ", "ENTERTAINMENT")</f>
        <v xml:space="preserve">          6269 - ENTERTAINMENT</v>
      </c>
      <c r="C79" s="11"/>
      <c r="D79" s="6">
        <v>1250</v>
      </c>
      <c r="E79" s="2"/>
      <c r="F79" s="7">
        <f t="shared" si="44"/>
        <v>1.9686439742493179E-3</v>
      </c>
      <c r="G79" s="2"/>
      <c r="H79" s="6">
        <v>500</v>
      </c>
      <c r="I79" s="2"/>
      <c r="J79" s="7">
        <f t="shared" si="45"/>
        <v>6.6508508546562822E-4</v>
      </c>
      <c r="K79" s="2"/>
      <c r="L79" s="6">
        <f t="shared" si="46"/>
        <v>750</v>
      </c>
      <c r="M79" s="2"/>
      <c r="N79" s="7">
        <f t="shared" si="47"/>
        <v>1.5</v>
      </c>
      <c r="O79" s="11"/>
      <c r="P79" s="6">
        <v>7350</v>
      </c>
      <c r="Q79" s="2"/>
      <c r="R79" s="7">
        <f t="shared" si="48"/>
        <v>1.5558354841100751E-3</v>
      </c>
      <c r="S79" s="2"/>
      <c r="T79" s="6">
        <v>4860</v>
      </c>
      <c r="U79" s="2"/>
      <c r="V79" s="7">
        <f t="shared" si="49"/>
        <v>1.0066909527751951E-3</v>
      </c>
      <c r="W79" s="2"/>
      <c r="X79" s="6">
        <f t="shared" si="50"/>
        <v>2490</v>
      </c>
      <c r="Y79" s="2"/>
      <c r="Z79" s="7">
        <f t="shared" si="51"/>
        <v>0.51234567901234573</v>
      </c>
    </row>
    <row r="80" spans="1:26" s="24" customFormat="1" hidden="1" outlineLevel="2" x14ac:dyDescent="0.25">
      <c r="A80" s="26"/>
      <c r="B80" s="11" t="str">
        <f>CONCATENATE("          ", "6279", " - ", "GENERAL EXPENSE")</f>
        <v xml:space="preserve">          6279 - GENERAL EXPENSE</v>
      </c>
      <c r="C80" s="11"/>
      <c r="D80" s="6">
        <v>4114.2700000000004</v>
      </c>
      <c r="E80" s="2"/>
      <c r="F80" s="7">
        <f t="shared" si="44"/>
        <v>6.4796262751477939E-3</v>
      </c>
      <c r="G80" s="2"/>
      <c r="H80" s="6">
        <v>5825.84</v>
      </c>
      <c r="I80" s="2"/>
      <c r="J80" s="7">
        <f t="shared" si="45"/>
        <v>7.7493585886181512E-3</v>
      </c>
      <c r="K80" s="2"/>
      <c r="L80" s="6">
        <f t="shared" si="46"/>
        <v>-1711.5699999999997</v>
      </c>
      <c r="M80" s="2"/>
      <c r="N80" s="7">
        <f t="shared" si="47"/>
        <v>-0.29378939346085708</v>
      </c>
      <c r="O80" s="11"/>
      <c r="P80" s="6">
        <v>65054.65</v>
      </c>
      <c r="Q80" s="2"/>
      <c r="R80" s="7">
        <f t="shared" si="48"/>
        <v>1.3770657534198844E-2</v>
      </c>
      <c r="S80" s="2"/>
      <c r="T80" s="6">
        <v>35623.82</v>
      </c>
      <c r="U80" s="2"/>
      <c r="V80" s="7">
        <f t="shared" si="49"/>
        <v>7.3790488266033032E-3</v>
      </c>
      <c r="W80" s="2"/>
      <c r="X80" s="6">
        <f t="shared" si="50"/>
        <v>29430.83</v>
      </c>
      <c r="Y80" s="2"/>
      <c r="Z80" s="7">
        <f t="shared" si="51"/>
        <v>0.82615592600681231</v>
      </c>
    </row>
    <row r="81" spans="1:26" s="27" customFormat="1" outlineLevel="1" collapsed="1" x14ac:dyDescent="0.25">
      <c r="A81" s="25"/>
      <c r="B81" s="13" t="str">
        <f>CONCATENATE("     ","Insurance                                         ")</f>
        <v xml:space="preserve">     Insurance                                         </v>
      </c>
      <c r="C81" s="13"/>
      <c r="D81" s="1">
        <f>SUM(OSRRefD22_12x_0)</f>
        <v>4483.67</v>
      </c>
      <c r="E81" s="1"/>
      <c r="F81" s="5">
        <f t="shared" ref="F81:F92" si="52">IF(D$12=0,0,D81/D$12)</f>
        <v>7.0613999424179522E-3</v>
      </c>
      <c r="G81" s="1"/>
      <c r="H81" s="1">
        <f>SUM(OSRRefH22_12x_0)</f>
        <v>4222.62</v>
      </c>
      <c r="I81" s="1"/>
      <c r="J81" s="5">
        <f t="shared" ref="J81:J92" si="53">IF(H$12=0,0,H81/H$12)</f>
        <v>5.6168031671777422E-3</v>
      </c>
      <c r="K81" s="1"/>
      <c r="L81" s="1">
        <f t="shared" ref="L81:L92" si="54">+D81-H81</f>
        <v>261.05000000000018</v>
      </c>
      <c r="M81" s="1"/>
      <c r="N81" s="5">
        <f t="shared" ref="N81:N92" si="55">IF(H81=0,0,L81/H81)</f>
        <v>6.1821807313942573E-2</v>
      </c>
      <c r="O81" s="13"/>
      <c r="P81" s="1">
        <f>SUM(OSRRefP22_12x_0)</f>
        <v>26902.02</v>
      </c>
      <c r="Q81" s="1"/>
      <c r="R81" s="5">
        <f t="shared" ref="R81:R92" si="56">IF(P$12=0,0,P81/P$12)</f>
        <v>5.6945737837059756E-3</v>
      </c>
      <c r="S81" s="1"/>
      <c r="T81" s="1">
        <f>SUM(OSRRefT22_12x_0)</f>
        <v>29923.72</v>
      </c>
      <c r="U81" s="1"/>
      <c r="V81" s="5">
        <f t="shared" ref="V81:V92" si="57">IF(T$12=0,0,T81/T$12)</f>
        <v>6.1983411928761651E-3</v>
      </c>
      <c r="W81" s="1"/>
      <c r="X81" s="1">
        <f t="shared" ref="X81:X92" si="58">+P81-T81</f>
        <v>-3021.7000000000007</v>
      </c>
      <c r="Y81" s="1"/>
      <c r="Z81" s="5">
        <f t="shared" ref="Z81:Z92" si="59">IF(T81=0,0,X81/T81)</f>
        <v>-0.10098009204737915</v>
      </c>
    </row>
    <row r="82" spans="1:26" s="24" customFormat="1" hidden="1" outlineLevel="2" x14ac:dyDescent="0.25">
      <c r="A82" s="26"/>
      <c r="B82" s="11" t="str">
        <f>CONCATENATE("          ", "6314", " - ", "LIABILITY INSURANCE")</f>
        <v xml:space="preserve">          6314 - LIABILITY INSURANCE</v>
      </c>
      <c r="C82" s="11"/>
      <c r="D82" s="6">
        <v>4483.67</v>
      </c>
      <c r="E82" s="2"/>
      <c r="F82" s="7">
        <f t="shared" si="52"/>
        <v>7.0613999424179522E-3</v>
      </c>
      <c r="G82" s="2"/>
      <c r="H82" s="6">
        <v>4222.62</v>
      </c>
      <c r="I82" s="2"/>
      <c r="J82" s="7">
        <f t="shared" si="53"/>
        <v>5.6168031671777422E-3</v>
      </c>
      <c r="K82" s="2"/>
      <c r="L82" s="6">
        <f t="shared" si="54"/>
        <v>261.05000000000018</v>
      </c>
      <c r="M82" s="2"/>
      <c r="N82" s="7">
        <f t="shared" si="55"/>
        <v>6.1821807313942573E-2</v>
      </c>
      <c r="O82" s="11"/>
      <c r="P82" s="6">
        <v>26902.02</v>
      </c>
      <c r="Q82" s="2"/>
      <c r="R82" s="7">
        <f t="shared" si="56"/>
        <v>5.6945737837059756E-3</v>
      </c>
      <c r="S82" s="2"/>
      <c r="T82" s="6">
        <v>29923.72</v>
      </c>
      <c r="U82" s="2"/>
      <c r="V82" s="7">
        <f t="shared" si="57"/>
        <v>6.1983411928761651E-3</v>
      </c>
      <c r="W82" s="2"/>
      <c r="X82" s="6">
        <f t="shared" si="58"/>
        <v>-3021.7000000000007</v>
      </c>
      <c r="Y82" s="2"/>
      <c r="Z82" s="7">
        <f t="shared" si="59"/>
        <v>-0.10098009204737915</v>
      </c>
    </row>
    <row r="83" spans="1:26" s="27" customFormat="1" outlineLevel="1" collapsed="1" x14ac:dyDescent="0.25">
      <c r="A83" s="25"/>
      <c r="B83" s="13" t="str">
        <f>CONCATENATE("     ","Interest                                          ")</f>
        <v xml:space="preserve">     Interest                                          </v>
      </c>
      <c r="C83" s="13"/>
      <c r="D83" s="1">
        <f>SUM(OSRRefD22_13x_0)</f>
        <v>11929</v>
      </c>
      <c r="E83" s="1"/>
      <c r="F83" s="5">
        <f t="shared" si="52"/>
        <v>1.878716317505609E-2</v>
      </c>
      <c r="G83" s="1"/>
      <c r="H83" s="1">
        <f>SUM(OSRRefH22_13x_0)</f>
        <v>12229</v>
      </c>
      <c r="I83" s="1"/>
      <c r="J83" s="5">
        <f t="shared" si="53"/>
        <v>1.6266651020318337E-2</v>
      </c>
      <c r="K83" s="1"/>
      <c r="L83" s="1">
        <f t="shared" si="54"/>
        <v>-300</v>
      </c>
      <c r="M83" s="1"/>
      <c r="N83" s="5">
        <f t="shared" si="55"/>
        <v>-2.4531850519257502E-2</v>
      </c>
      <c r="O83" s="13"/>
      <c r="P83" s="1">
        <f>SUM(OSRRefP22_13x_0)</f>
        <v>70975</v>
      </c>
      <c r="Q83" s="1"/>
      <c r="R83" s="5">
        <f t="shared" si="56"/>
        <v>1.5023867140777221E-2</v>
      </c>
      <c r="S83" s="1"/>
      <c r="T83" s="1">
        <f>SUM(OSRRefT22_13x_0)</f>
        <v>72759</v>
      </c>
      <c r="U83" s="1"/>
      <c r="V83" s="5">
        <f t="shared" si="57"/>
        <v>1.5071157825714079E-2</v>
      </c>
      <c r="W83" s="1"/>
      <c r="X83" s="1">
        <f t="shared" si="58"/>
        <v>-1784</v>
      </c>
      <c r="Y83" s="1"/>
      <c r="Z83" s="5">
        <f t="shared" si="59"/>
        <v>-2.4519303453868251E-2</v>
      </c>
    </row>
    <row r="84" spans="1:26" s="24" customFormat="1" hidden="1" outlineLevel="2" x14ac:dyDescent="0.25">
      <c r="A84" s="26"/>
      <c r="B84" s="11" t="str">
        <f>CONCATENATE("          ", "6401", " - ", "INTEREST EXPENSE")</f>
        <v xml:space="preserve">          6401 - INTEREST EXPENSE</v>
      </c>
      <c r="C84" s="11"/>
      <c r="D84" s="6">
        <v>11929</v>
      </c>
      <c r="E84" s="2"/>
      <c r="F84" s="7">
        <f t="shared" si="52"/>
        <v>1.878716317505609E-2</v>
      </c>
      <c r="G84" s="2"/>
      <c r="H84" s="6">
        <v>12229</v>
      </c>
      <c r="I84" s="2"/>
      <c r="J84" s="7">
        <f t="shared" si="53"/>
        <v>1.6266651020318337E-2</v>
      </c>
      <c r="K84" s="2"/>
      <c r="L84" s="6">
        <f t="shared" si="54"/>
        <v>-300</v>
      </c>
      <c r="M84" s="2"/>
      <c r="N84" s="7">
        <f t="shared" si="55"/>
        <v>-2.4531850519257502E-2</v>
      </c>
      <c r="O84" s="11"/>
      <c r="P84" s="6">
        <v>70975</v>
      </c>
      <c r="Q84" s="2"/>
      <c r="R84" s="7">
        <f t="shared" si="56"/>
        <v>1.5023867140777221E-2</v>
      </c>
      <c r="S84" s="2"/>
      <c r="T84" s="6">
        <v>72759</v>
      </c>
      <c r="U84" s="2"/>
      <c r="V84" s="7">
        <f t="shared" si="57"/>
        <v>1.5071157825714079E-2</v>
      </c>
      <c r="W84" s="2"/>
      <c r="X84" s="6">
        <f t="shared" si="58"/>
        <v>-1784</v>
      </c>
      <c r="Y84" s="2"/>
      <c r="Z84" s="7">
        <f t="shared" si="59"/>
        <v>-2.4519303453868251E-2</v>
      </c>
    </row>
    <row r="85" spans="1:26" s="27" customFormat="1" outlineLevel="1" collapsed="1" x14ac:dyDescent="0.25">
      <c r="A85" s="25"/>
      <c r="B85" s="13" t="str">
        <f>CONCATENATE("     ","Professional Services                             ")</f>
        <v xml:space="preserve">     Professional Services                             </v>
      </c>
      <c r="C85" s="13"/>
      <c r="D85" s="1">
        <f>SUM(OSRRefD22_14x_0)</f>
        <v>0</v>
      </c>
      <c r="E85" s="1"/>
      <c r="F85" s="5">
        <f t="shared" si="52"/>
        <v>0</v>
      </c>
      <c r="G85" s="1"/>
      <c r="H85" s="1">
        <f>SUM(OSRRefH22_14x_0)</f>
        <v>0</v>
      </c>
      <c r="I85" s="1"/>
      <c r="J85" s="5">
        <f t="shared" si="53"/>
        <v>0</v>
      </c>
      <c r="K85" s="1"/>
      <c r="L85" s="1">
        <f t="shared" si="54"/>
        <v>0</v>
      </c>
      <c r="M85" s="1"/>
      <c r="N85" s="5">
        <f t="shared" si="55"/>
        <v>0</v>
      </c>
      <c r="O85" s="13"/>
      <c r="P85" s="1">
        <f>SUM(OSRRefP22_14x_0)</f>
        <v>125</v>
      </c>
      <c r="Q85" s="1"/>
      <c r="R85" s="5">
        <f t="shared" si="56"/>
        <v>2.6459787144729167E-5</v>
      </c>
      <c r="S85" s="1"/>
      <c r="T85" s="1">
        <f>SUM(OSRRefT22_14x_0)</f>
        <v>0</v>
      </c>
      <c r="U85" s="1"/>
      <c r="V85" s="5">
        <f t="shared" si="57"/>
        <v>0</v>
      </c>
      <c r="W85" s="1"/>
      <c r="X85" s="1">
        <f t="shared" si="58"/>
        <v>125</v>
      </c>
      <c r="Y85" s="1"/>
      <c r="Z85" s="5">
        <f t="shared" si="59"/>
        <v>0</v>
      </c>
    </row>
    <row r="86" spans="1:26" s="24" customFormat="1" hidden="1" outlineLevel="2" x14ac:dyDescent="0.25">
      <c r="A86" s="26"/>
      <c r="B86" s="11" t="str">
        <f>CONCATENATE("          ", "6336", " - ", "PROFESSIONAL SERVICES")</f>
        <v xml:space="preserve">          6336 - PROFESSIONAL SERVICES</v>
      </c>
      <c r="C86" s="11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1"/>
      <c r="P86" s="6">
        <v>125</v>
      </c>
      <c r="Q86" s="2"/>
      <c r="R86" s="7">
        <f t="shared" si="56"/>
        <v>2.6459787144729167E-5</v>
      </c>
      <c r="S86" s="2"/>
      <c r="T86" s="6"/>
      <c r="U86" s="2"/>
      <c r="V86" s="7">
        <f t="shared" si="57"/>
        <v>0</v>
      </c>
      <c r="W86" s="2"/>
      <c r="X86" s="6">
        <f t="shared" si="58"/>
        <v>125</v>
      </c>
      <c r="Y86" s="2"/>
      <c r="Z86" s="7">
        <f t="shared" si="59"/>
        <v>0</v>
      </c>
    </row>
    <row r="87" spans="1:26" s="27" customFormat="1" outlineLevel="1" collapsed="1" x14ac:dyDescent="0.25">
      <c r="A87" s="25"/>
      <c r="B87" s="13" t="str">
        <f>CONCATENATE("     ","Rent                                              ")</f>
        <v xml:space="preserve">     Rent                                              </v>
      </c>
      <c r="C87" s="13"/>
      <c r="D87" s="1">
        <f>SUM(OSRRefD22_15x_0)</f>
        <v>3000</v>
      </c>
      <c r="E87" s="1"/>
      <c r="F87" s="5">
        <f t="shared" si="52"/>
        <v>4.7247455381983633E-3</v>
      </c>
      <c r="G87" s="1"/>
      <c r="H87" s="1">
        <f>SUM(OSRRefH22_15x_0)</f>
        <v>3000</v>
      </c>
      <c r="I87" s="1"/>
      <c r="J87" s="5">
        <f t="shared" si="53"/>
        <v>3.9905105127937693E-3</v>
      </c>
      <c r="K87" s="1"/>
      <c r="L87" s="1">
        <f t="shared" si="54"/>
        <v>0</v>
      </c>
      <c r="M87" s="1"/>
      <c r="N87" s="5">
        <f t="shared" si="55"/>
        <v>0</v>
      </c>
      <c r="O87" s="13"/>
      <c r="P87" s="1">
        <f>SUM(OSRRefP22_15x_0)</f>
        <v>18000</v>
      </c>
      <c r="Q87" s="1"/>
      <c r="R87" s="5">
        <f t="shared" si="56"/>
        <v>3.8102093488410001E-3</v>
      </c>
      <c r="S87" s="1"/>
      <c r="T87" s="1">
        <f>SUM(OSRRefT22_15x_0)</f>
        <v>18000</v>
      </c>
      <c r="U87" s="1"/>
      <c r="V87" s="5">
        <f t="shared" si="57"/>
        <v>3.7284850102785004E-3</v>
      </c>
      <c r="W87" s="1"/>
      <c r="X87" s="1">
        <f t="shared" si="58"/>
        <v>0</v>
      </c>
      <c r="Y87" s="1"/>
      <c r="Z87" s="5">
        <f t="shared" si="59"/>
        <v>0</v>
      </c>
    </row>
    <row r="88" spans="1:26" s="24" customFormat="1" hidden="1" outlineLevel="2" x14ac:dyDescent="0.25">
      <c r="A88" s="26"/>
      <c r="B88" s="11" t="str">
        <f>CONCATENATE("          ", "6273", " - ", "RENT")</f>
        <v xml:space="preserve">          6273 - RENT</v>
      </c>
      <c r="C88" s="11"/>
      <c r="D88" s="6">
        <v>3000</v>
      </c>
      <c r="E88" s="2"/>
      <c r="F88" s="7">
        <f t="shared" si="52"/>
        <v>4.7247455381983633E-3</v>
      </c>
      <c r="G88" s="2"/>
      <c r="H88" s="6">
        <v>3000</v>
      </c>
      <c r="I88" s="2"/>
      <c r="J88" s="7">
        <f t="shared" si="53"/>
        <v>3.9905105127937693E-3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>
        <v>18000</v>
      </c>
      <c r="Q88" s="2"/>
      <c r="R88" s="7">
        <f t="shared" si="56"/>
        <v>3.8102093488410001E-3</v>
      </c>
      <c r="S88" s="2"/>
      <c r="T88" s="6">
        <v>18000</v>
      </c>
      <c r="U88" s="2"/>
      <c r="V88" s="7">
        <f t="shared" si="57"/>
        <v>3.7284850102785004E-3</v>
      </c>
      <c r="W88" s="2"/>
      <c r="X88" s="6">
        <f t="shared" si="58"/>
        <v>0</v>
      </c>
      <c r="Y88" s="2"/>
      <c r="Z88" s="7">
        <f t="shared" si="59"/>
        <v>0</v>
      </c>
    </row>
    <row r="89" spans="1:26" s="27" customFormat="1" outlineLevel="1" collapsed="1" x14ac:dyDescent="0.25">
      <c r="A89" s="25"/>
      <c r="B89" s="13" t="str">
        <f>CONCATENATE("     ","Repair and Maintenance                            ")</f>
        <v xml:space="preserve">     Repair and Maintenance                            </v>
      </c>
      <c r="C89" s="13"/>
      <c r="D89" s="1">
        <f>SUM(OSRRefD22_16x_0)</f>
        <v>28951.740000000005</v>
      </c>
      <c r="E89" s="1"/>
      <c r="F89" s="5">
        <f t="shared" si="52"/>
        <v>4.5596534796026371E-2</v>
      </c>
      <c r="G89" s="1"/>
      <c r="H89" s="1">
        <f>SUM(OSRRefH22_16x_0)</f>
        <v>26161.03</v>
      </c>
      <c r="I89" s="1"/>
      <c r="J89" s="5">
        <f t="shared" si="53"/>
        <v>3.4798621746837725E-2</v>
      </c>
      <c r="K89" s="1"/>
      <c r="L89" s="1">
        <f t="shared" si="54"/>
        <v>2790.7100000000064</v>
      </c>
      <c r="M89" s="1"/>
      <c r="N89" s="5">
        <f t="shared" si="55"/>
        <v>0.1066743167222394</v>
      </c>
      <c r="O89" s="13"/>
      <c r="P89" s="1">
        <f>SUM(OSRRefP22_16x_0)</f>
        <v>158836.99</v>
      </c>
      <c r="Q89" s="1"/>
      <c r="R89" s="5">
        <f t="shared" si="56"/>
        <v>3.36223435688758E-2</v>
      </c>
      <c r="S89" s="1"/>
      <c r="T89" s="1">
        <f>SUM(OSRRefT22_16x_0)</f>
        <v>170347.46000000002</v>
      </c>
      <c r="U89" s="1"/>
      <c r="V89" s="5">
        <f t="shared" si="57"/>
        <v>3.5285441730500917E-2</v>
      </c>
      <c r="W89" s="1"/>
      <c r="X89" s="1">
        <f t="shared" si="58"/>
        <v>-11510.47000000003</v>
      </c>
      <c r="Y89" s="1"/>
      <c r="Z89" s="5">
        <f t="shared" si="59"/>
        <v>-6.757054082285717E-2</v>
      </c>
    </row>
    <row r="90" spans="1:26" s="24" customFormat="1" hidden="1" outlineLevel="2" x14ac:dyDescent="0.25">
      <c r="A90" s="26"/>
      <c r="B90" s="11" t="str">
        <f>CONCATENATE("          ", "6371", " - ", "COMPUTER SOFTWARE MAINTENANCE")</f>
        <v xml:space="preserve">          6371 - COMPUTER SOFTWARE MAINTENANCE</v>
      </c>
      <c r="C90" s="11"/>
      <c r="D90" s="6"/>
      <c r="E90" s="2"/>
      <c r="F90" s="7">
        <f t="shared" si="52"/>
        <v>0</v>
      </c>
      <c r="G90" s="2"/>
      <c r="H90" s="6">
        <v>2837.26</v>
      </c>
      <c r="I90" s="2"/>
      <c r="J90" s="7">
        <f t="shared" si="53"/>
        <v>3.7740386191764171E-3</v>
      </c>
      <c r="K90" s="2"/>
      <c r="L90" s="6">
        <f t="shared" si="54"/>
        <v>-2837.26</v>
      </c>
      <c r="M90" s="2"/>
      <c r="N90" s="7">
        <f t="shared" si="55"/>
        <v>-1</v>
      </c>
      <c r="O90" s="11"/>
      <c r="P90" s="6">
        <v>12244.62</v>
      </c>
      <c r="Q90" s="2"/>
      <c r="R90" s="7">
        <f t="shared" si="56"/>
        <v>2.5919203109447497E-3</v>
      </c>
      <c r="S90" s="2"/>
      <c r="T90" s="6">
        <v>16634.64</v>
      </c>
      <c r="U90" s="2"/>
      <c r="V90" s="7">
        <f t="shared" si="57"/>
        <v>3.4456669939655084E-3</v>
      </c>
      <c r="W90" s="2"/>
      <c r="X90" s="6">
        <f t="shared" si="58"/>
        <v>-4390.0199999999986</v>
      </c>
      <c r="Y90" s="2"/>
      <c r="Z90" s="7">
        <f t="shared" si="59"/>
        <v>-0.26390832623970212</v>
      </c>
    </row>
    <row r="91" spans="1:26" s="24" customFormat="1" hidden="1" outlineLevel="2" x14ac:dyDescent="0.25">
      <c r="A91" s="26"/>
      <c r="B91" s="11" t="str">
        <f>CONCATENATE("          ", "6373", " - ", "MAINTENANCE CONTRACTS")</f>
        <v xml:space="preserve">          6373 - MAINTENANCE CONTRACTS</v>
      </c>
      <c r="C91" s="11"/>
      <c r="D91" s="6">
        <v>17552.390000000003</v>
      </c>
      <c r="E91" s="2"/>
      <c r="F91" s="7">
        <f t="shared" si="52"/>
        <v>2.7643525445739194E-2</v>
      </c>
      <c r="G91" s="2"/>
      <c r="H91" s="6">
        <v>8016.15</v>
      </c>
      <c r="I91" s="2"/>
      <c r="J91" s="7">
        <f t="shared" si="53"/>
        <v>1.0662843615710592E-2</v>
      </c>
      <c r="K91" s="2"/>
      <c r="L91" s="6">
        <f t="shared" si="54"/>
        <v>9536.2400000000034</v>
      </c>
      <c r="M91" s="2"/>
      <c r="N91" s="7">
        <f t="shared" si="55"/>
        <v>1.1896284375916124</v>
      </c>
      <c r="O91" s="11"/>
      <c r="P91" s="6">
        <v>58904.24</v>
      </c>
      <c r="Q91" s="2"/>
      <c r="R91" s="7">
        <f t="shared" si="56"/>
        <v>1.2468749218576334E-2</v>
      </c>
      <c r="S91" s="2"/>
      <c r="T91" s="6">
        <v>69800.84</v>
      </c>
      <c r="U91" s="2"/>
      <c r="V91" s="7">
        <f t="shared" si="57"/>
        <v>1.4458410313602664E-2</v>
      </c>
      <c r="W91" s="2"/>
      <c r="X91" s="6">
        <f t="shared" si="58"/>
        <v>-10896.599999999999</v>
      </c>
      <c r="Y91" s="2"/>
      <c r="Z91" s="7">
        <f t="shared" si="59"/>
        <v>-0.1561098691648983</v>
      </c>
    </row>
    <row r="92" spans="1:26" s="24" customFormat="1" hidden="1" outlineLevel="2" x14ac:dyDescent="0.25">
      <c r="A92" s="26"/>
      <c r="B92" s="11" t="str">
        <f>CONCATENATE("          ", "6375", " - ", "OUTSIDE REPAIRS &amp; MAINTENANCE")</f>
        <v xml:space="preserve">          6375 - OUTSIDE REPAIRS &amp; MAINTENANCE</v>
      </c>
      <c r="C92" s="11"/>
      <c r="D92" s="6">
        <v>11399.35</v>
      </c>
      <c r="E92" s="2"/>
      <c r="F92" s="7">
        <f t="shared" si="52"/>
        <v>1.795300935028717E-2</v>
      </c>
      <c r="G92" s="2"/>
      <c r="H92" s="6">
        <v>15307.62</v>
      </c>
      <c r="I92" s="2"/>
      <c r="J92" s="7">
        <f t="shared" si="53"/>
        <v>2.0361739511950722E-2</v>
      </c>
      <c r="K92" s="2"/>
      <c r="L92" s="6">
        <f t="shared" si="54"/>
        <v>-3908.2700000000004</v>
      </c>
      <c r="M92" s="2"/>
      <c r="N92" s="7">
        <f t="shared" si="55"/>
        <v>-0.25531532661511064</v>
      </c>
      <c r="O92" s="11"/>
      <c r="P92" s="6">
        <v>87688.13</v>
      </c>
      <c r="Q92" s="2"/>
      <c r="R92" s="7">
        <f t="shared" si="56"/>
        <v>1.8561674039354721E-2</v>
      </c>
      <c r="S92" s="2"/>
      <c r="T92" s="6">
        <v>83911.98000000001</v>
      </c>
      <c r="U92" s="2"/>
      <c r="V92" s="7">
        <f t="shared" si="57"/>
        <v>1.7381364422932744E-2</v>
      </c>
      <c r="W92" s="2"/>
      <c r="X92" s="6">
        <f t="shared" si="58"/>
        <v>3776.1499999999942</v>
      </c>
      <c r="Y92" s="2"/>
      <c r="Z92" s="7">
        <f t="shared" si="59"/>
        <v>4.500132162296723E-2</v>
      </c>
    </row>
    <row r="93" spans="1:26" s="27" customFormat="1" outlineLevel="1" collapsed="1" x14ac:dyDescent="0.25">
      <c r="A93" s="25"/>
      <c r="B93" s="13" t="str">
        <f>CONCATENATE("     ","Royalty &amp; Commissions                             ")</f>
        <v xml:space="preserve">     Royalty &amp; Commissions                             </v>
      </c>
      <c r="C93" s="13"/>
      <c r="D93" s="1">
        <f>SUM(OSRRefD22_17x_0)</f>
        <v>28613.919999999998</v>
      </c>
      <c r="E93" s="1"/>
      <c r="F93" s="5">
        <f t="shared" ref="F93:F95" si="60">IF(D$12=0,0,D93/D$12)</f>
        <v>4.5064496950121637E-2</v>
      </c>
      <c r="G93" s="1"/>
      <c r="H93" s="1">
        <f>SUM(OSRRefH22_17x_0)</f>
        <v>37989.699999999997</v>
      </c>
      <c r="I93" s="1"/>
      <c r="J93" s="5">
        <f t="shared" ref="J93:J95" si="61">IF(H$12=0,0,H93/H$12)</f>
        <v>5.0532765742627155E-2</v>
      </c>
      <c r="K93" s="1"/>
      <c r="L93" s="1">
        <f t="shared" ref="L93:L95" si="62">+D93-H93</f>
        <v>-9375.7799999999988</v>
      </c>
      <c r="M93" s="1"/>
      <c r="N93" s="5">
        <f t="shared" ref="N93:N95" si="63">IF(H93=0,0,L93/H93)</f>
        <v>-0.24679794786481599</v>
      </c>
      <c r="O93" s="13"/>
      <c r="P93" s="1">
        <f>SUM(OSRRefP22_17x_0)</f>
        <v>149006.96999999997</v>
      </c>
      <c r="Q93" s="1"/>
      <c r="R93" s="5">
        <f t="shared" ref="R93:R95" si="64">IF(P$12=0,0,P93/P$12)</f>
        <v>3.1541541674248351E-2</v>
      </c>
      <c r="S93" s="1"/>
      <c r="T93" s="1">
        <f>SUM(OSRRefT22_17x_0)</f>
        <v>159606.07</v>
      </c>
      <c r="U93" s="1"/>
      <c r="V93" s="5">
        <f t="shared" ref="V93:V95" si="65">IF(T$12=0,0,T93/T$12)</f>
        <v>3.3060491085803397E-2</v>
      </c>
      <c r="W93" s="1"/>
      <c r="X93" s="1">
        <f t="shared" ref="X93:X95" si="66">+P93-T93</f>
        <v>-10599.100000000035</v>
      </c>
      <c r="Y93" s="1"/>
      <c r="Z93" s="5">
        <f t="shared" ref="Z93:Z95" si="67">IF(T93=0,0,X93/T93)</f>
        <v>-6.6407875339578468E-2</v>
      </c>
    </row>
    <row r="94" spans="1:26" s="24" customFormat="1" hidden="1" outlineLevel="2" x14ac:dyDescent="0.25">
      <c r="A94" s="26"/>
      <c r="B94" s="11" t="str">
        <f>CONCATENATE("          ", "6254", " - ", "ROYALTY &amp; COMMISSIONS")</f>
        <v xml:space="preserve">          6254 - ROYALTY &amp; COMMISSIONS</v>
      </c>
      <c r="C94" s="11"/>
      <c r="D94" s="6">
        <v>17701.68</v>
      </c>
      <c r="E94" s="2"/>
      <c r="F94" s="7">
        <f t="shared" si="60"/>
        <v>2.7878644532871734E-2</v>
      </c>
      <c r="G94" s="2"/>
      <c r="H94" s="6">
        <v>25600.1</v>
      </c>
      <c r="I94" s="2"/>
      <c r="J94" s="7">
        <f t="shared" si="61"/>
        <v>3.4052489392857259E-2</v>
      </c>
      <c r="K94" s="2"/>
      <c r="L94" s="6">
        <f t="shared" si="62"/>
        <v>-7898.4199999999983</v>
      </c>
      <c r="M94" s="2"/>
      <c r="N94" s="7">
        <f t="shared" si="63"/>
        <v>-0.3085308260514607</v>
      </c>
      <c r="O94" s="11"/>
      <c r="P94" s="6">
        <v>76361.849999999991</v>
      </c>
      <c r="Q94" s="2"/>
      <c r="R94" s="7">
        <f t="shared" si="64"/>
        <v>1.6164146375821895E-2</v>
      </c>
      <c r="S94" s="2"/>
      <c r="T94" s="6">
        <v>86996.47</v>
      </c>
      <c r="U94" s="2"/>
      <c r="V94" s="7">
        <f t="shared" si="65"/>
        <v>1.8020279685674625E-2</v>
      </c>
      <c r="W94" s="2"/>
      <c r="X94" s="6">
        <f t="shared" si="66"/>
        <v>-10634.62000000001</v>
      </c>
      <c r="Y94" s="2"/>
      <c r="Z94" s="7">
        <f t="shared" si="67"/>
        <v>-0.12224197142711664</v>
      </c>
    </row>
    <row r="95" spans="1:26" s="24" customFormat="1" hidden="1" outlineLevel="2" x14ac:dyDescent="0.25">
      <c r="A95" s="26"/>
      <c r="B95" s="11" t="str">
        <f>CONCATENATE("          ", "6259", " - ", "ROYALTY &amp; COMMISSIONS")</f>
        <v xml:space="preserve">          6259 - ROYALTY &amp; COMMISSIONS</v>
      </c>
      <c r="C95" s="11"/>
      <c r="D95" s="6">
        <v>10912.24</v>
      </c>
      <c r="E95" s="2"/>
      <c r="F95" s="7">
        <f t="shared" si="60"/>
        <v>1.7185852417249903E-2</v>
      </c>
      <c r="G95" s="2"/>
      <c r="H95" s="6">
        <v>12389.6</v>
      </c>
      <c r="I95" s="2"/>
      <c r="J95" s="7">
        <f t="shared" si="61"/>
        <v>1.6480276349769896E-2</v>
      </c>
      <c r="K95" s="2"/>
      <c r="L95" s="6">
        <f t="shared" si="62"/>
        <v>-1477.3600000000006</v>
      </c>
      <c r="M95" s="2"/>
      <c r="N95" s="7">
        <f t="shared" si="63"/>
        <v>-0.11924194485697687</v>
      </c>
      <c r="O95" s="11"/>
      <c r="P95" s="6">
        <v>72645.119999999995</v>
      </c>
      <c r="Q95" s="2"/>
      <c r="R95" s="7">
        <f t="shared" si="64"/>
        <v>1.5377395298426461E-2</v>
      </c>
      <c r="S95" s="2"/>
      <c r="T95" s="6">
        <v>72609.600000000006</v>
      </c>
      <c r="U95" s="2"/>
      <c r="V95" s="7">
        <f t="shared" si="65"/>
        <v>1.5040211400128768E-2</v>
      </c>
      <c r="W95" s="2"/>
      <c r="X95" s="6">
        <f t="shared" si="66"/>
        <v>35.519999999989523</v>
      </c>
      <c r="Y95" s="2"/>
      <c r="Z95" s="7">
        <f t="shared" si="67"/>
        <v>4.8919151186605522E-4</v>
      </c>
    </row>
    <row r="96" spans="1:26" s="27" customFormat="1" outlineLevel="1" collapsed="1" x14ac:dyDescent="0.25">
      <c r="A96" s="25"/>
      <c r="B96" s="13" t="str">
        <f>CONCATENATE("     ","Services                                          ")</f>
        <v xml:space="preserve">     Services                                          </v>
      </c>
      <c r="C96" s="13"/>
      <c r="D96" s="1">
        <f>SUM(OSRRefD22_18x_0)</f>
        <v>31074.21</v>
      </c>
      <c r="E96" s="1"/>
      <c r="F96" s="5">
        <f t="shared" ref="F96:F101" si="68">IF(D$12=0,0,D96/D$12)</f>
        <v>4.8939245016846315E-2</v>
      </c>
      <c r="G96" s="1"/>
      <c r="H96" s="1">
        <f>SUM(OSRRefH22_18x_0)</f>
        <v>16769.899999999998</v>
      </c>
      <c r="I96" s="1"/>
      <c r="J96" s="5">
        <f t="shared" ref="J96:J101" si="69">IF(H$12=0,0,H96/H$12)</f>
        <v>2.2306820749500075E-2</v>
      </c>
      <c r="K96" s="1"/>
      <c r="L96" s="1">
        <f t="shared" ref="L96:L101" si="70">+D96-H96</f>
        <v>14304.310000000001</v>
      </c>
      <c r="M96" s="1"/>
      <c r="N96" s="5">
        <f t="shared" ref="N96:N101" si="71">IF(H96=0,0,L96/H96)</f>
        <v>0.85297527117037086</v>
      </c>
      <c r="O96" s="13"/>
      <c r="P96" s="1">
        <f>SUM(OSRRefP22_18x_0)</f>
        <v>142624.26</v>
      </c>
      <c r="Q96" s="1"/>
      <c r="R96" s="5">
        <f t="shared" ref="R96:R101" si="72">IF(P$12=0,0,P96/P$12)</f>
        <v>3.0190460490196087E-2</v>
      </c>
      <c r="S96" s="1"/>
      <c r="T96" s="1">
        <f>SUM(OSRRefT22_18x_0)</f>
        <v>142969.22</v>
      </c>
      <c r="U96" s="1"/>
      <c r="V96" s="5">
        <f t="shared" ref="V96:V101" si="73">IF(T$12=0,0,T96/T$12)</f>
        <v>2.9614366316733847E-2</v>
      </c>
      <c r="W96" s="1"/>
      <c r="X96" s="1">
        <f t="shared" ref="X96:X101" si="74">+P96-T96</f>
        <v>-344.95999999999185</v>
      </c>
      <c r="Y96" s="1"/>
      <c r="Z96" s="5">
        <f t="shared" ref="Z96:Z101" si="75">IF(T96=0,0,X96/T96)</f>
        <v>-2.4128270406734531E-3</v>
      </c>
    </row>
    <row r="97" spans="1:26" s="24" customFormat="1" hidden="1" outlineLevel="2" x14ac:dyDescent="0.25">
      <c r="A97" s="26"/>
      <c r="B97" s="11" t="str">
        <f>CONCATENATE("          ", "6282", " - ", "JANITORIAL/EXTERMINATOR EXPENS")</f>
        <v xml:space="preserve">          6282 - JANITORIAL/EXTERMINATOR EXPENS</v>
      </c>
      <c r="C97" s="11"/>
      <c r="D97" s="6">
        <v>3827.63</v>
      </c>
      <c r="E97" s="2"/>
      <c r="F97" s="7">
        <f t="shared" si="68"/>
        <v>6.0281925881247337E-3</v>
      </c>
      <c r="G97" s="2"/>
      <c r="H97" s="6">
        <v>38.5</v>
      </c>
      <c r="I97" s="2"/>
      <c r="J97" s="7">
        <f t="shared" si="69"/>
        <v>5.1211551580853374E-5</v>
      </c>
      <c r="K97" s="2"/>
      <c r="L97" s="6">
        <f t="shared" si="70"/>
        <v>3789.13</v>
      </c>
      <c r="M97" s="2"/>
      <c r="N97" s="7">
        <f t="shared" si="71"/>
        <v>98.418961038961044</v>
      </c>
      <c r="O97" s="11"/>
      <c r="P97" s="6">
        <v>13094.62</v>
      </c>
      <c r="Q97" s="2"/>
      <c r="R97" s="7">
        <f t="shared" si="72"/>
        <v>2.7718468635289078E-3</v>
      </c>
      <c r="S97" s="2"/>
      <c r="T97" s="6">
        <v>9358.3799999999992</v>
      </c>
      <c r="U97" s="2"/>
      <c r="V97" s="7">
        <f t="shared" si="73"/>
        <v>1.938476641693895E-3</v>
      </c>
      <c r="W97" s="2"/>
      <c r="X97" s="6">
        <f t="shared" si="74"/>
        <v>3736.2400000000016</v>
      </c>
      <c r="Y97" s="2"/>
      <c r="Z97" s="7">
        <f t="shared" si="75"/>
        <v>0.39924003940853031</v>
      </c>
    </row>
    <row r="98" spans="1:26" s="24" customFormat="1" hidden="1" outlineLevel="2" x14ac:dyDescent="0.25">
      <c r="A98" s="26"/>
      <c r="B98" s="11" t="str">
        <f>CONCATENATE("          ", "6283", " - ", "PLANT SERVICE")</f>
        <v xml:space="preserve">          6283 - PLANT SERVICE</v>
      </c>
      <c r="C98" s="11"/>
      <c r="D98" s="6"/>
      <c r="E98" s="2"/>
      <c r="F98" s="7">
        <f t="shared" si="68"/>
        <v>0</v>
      </c>
      <c r="G98" s="2"/>
      <c r="H98" s="6">
        <v>176</v>
      </c>
      <c r="I98" s="2"/>
      <c r="J98" s="7">
        <f t="shared" si="69"/>
        <v>2.3410995008390115E-4</v>
      </c>
      <c r="K98" s="2"/>
      <c r="L98" s="6">
        <f t="shared" si="70"/>
        <v>-176</v>
      </c>
      <c r="M98" s="2"/>
      <c r="N98" s="7">
        <f t="shared" si="71"/>
        <v>-1</v>
      </c>
      <c r="O98" s="11"/>
      <c r="P98" s="6">
        <v>799.12</v>
      </c>
      <c r="Q98" s="2"/>
      <c r="R98" s="7">
        <f t="shared" si="72"/>
        <v>1.6915636082476777E-4</v>
      </c>
      <c r="S98" s="2"/>
      <c r="T98" s="6">
        <v>1056</v>
      </c>
      <c r="U98" s="2"/>
      <c r="V98" s="7">
        <f t="shared" si="73"/>
        <v>2.1873778726967202E-4</v>
      </c>
      <c r="W98" s="2"/>
      <c r="X98" s="6">
        <f t="shared" si="74"/>
        <v>-256.88</v>
      </c>
      <c r="Y98" s="2"/>
      <c r="Z98" s="7">
        <f t="shared" si="75"/>
        <v>-0.24325757575757576</v>
      </c>
    </row>
    <row r="99" spans="1:26" s="24" customFormat="1" hidden="1" outlineLevel="2" x14ac:dyDescent="0.25">
      <c r="A99" s="26"/>
      <c r="B99" s="11" t="str">
        <f>CONCATENATE("          ", "6284", " - ", "TRASH REMOVAL EXPENSE")</f>
        <v xml:space="preserve">          6284 - TRASH REMOVAL EXPENSE</v>
      </c>
      <c r="C99" s="11"/>
      <c r="D99" s="6">
        <v>10458</v>
      </c>
      <c r="E99" s="2"/>
      <c r="F99" s="7">
        <f t="shared" si="68"/>
        <v>1.6470462946159493E-2</v>
      </c>
      <c r="G99" s="2"/>
      <c r="H99" s="6">
        <v>4436</v>
      </c>
      <c r="I99" s="2"/>
      <c r="J99" s="7">
        <f t="shared" si="69"/>
        <v>5.9006348782510536E-3</v>
      </c>
      <c r="K99" s="2"/>
      <c r="L99" s="6">
        <f t="shared" si="70"/>
        <v>6022</v>
      </c>
      <c r="M99" s="2"/>
      <c r="N99" s="7">
        <f t="shared" si="71"/>
        <v>1.3575293056807936</v>
      </c>
      <c r="O99" s="11"/>
      <c r="P99" s="6">
        <v>24626</v>
      </c>
      <c r="Q99" s="2"/>
      <c r="R99" s="7">
        <f t="shared" si="72"/>
        <v>5.2127897458088043E-3</v>
      </c>
      <c r="S99" s="2"/>
      <c r="T99" s="6">
        <v>36693</v>
      </c>
      <c r="U99" s="2"/>
      <c r="V99" s="7">
        <f t="shared" si="73"/>
        <v>7.6005166934527239E-3</v>
      </c>
      <c r="W99" s="2"/>
      <c r="X99" s="6">
        <f t="shared" si="74"/>
        <v>-12067</v>
      </c>
      <c r="Y99" s="2"/>
      <c r="Z99" s="7">
        <f t="shared" si="75"/>
        <v>-0.32886381598670045</v>
      </c>
    </row>
    <row r="100" spans="1:26" s="24" customFormat="1" hidden="1" outlineLevel="2" x14ac:dyDescent="0.25">
      <c r="A100" s="26"/>
      <c r="B100" s="11" t="str">
        <f>CONCATENATE("          ", "6285", " - ", "JANITORIAL SERVICES")</f>
        <v xml:space="preserve">          6285 - JANITORIAL SERVICES</v>
      </c>
      <c r="C100" s="11"/>
      <c r="D100" s="6">
        <v>13444.69</v>
      </c>
      <c r="E100" s="2"/>
      <c r="F100" s="7">
        <f t="shared" si="68"/>
        <v>2.1174246363320052E-2</v>
      </c>
      <c r="G100" s="2"/>
      <c r="H100" s="6">
        <v>9192.7199999999993</v>
      </c>
      <c r="I100" s="2"/>
      <c r="J100" s="7">
        <f t="shared" si="69"/>
        <v>1.222788193372318E-2</v>
      </c>
      <c r="K100" s="2"/>
      <c r="L100" s="6">
        <f t="shared" si="70"/>
        <v>4251.9700000000012</v>
      </c>
      <c r="M100" s="2"/>
      <c r="N100" s="7">
        <f t="shared" si="71"/>
        <v>0.46253665944355987</v>
      </c>
      <c r="O100" s="11"/>
      <c r="P100" s="6">
        <v>80298.14</v>
      </c>
      <c r="Q100" s="2"/>
      <c r="R100" s="7">
        <f t="shared" si="72"/>
        <v>1.6997373540141303E-2</v>
      </c>
      <c r="S100" s="2"/>
      <c r="T100" s="6">
        <v>72205.52</v>
      </c>
      <c r="U100" s="2"/>
      <c r="V100" s="7">
        <f t="shared" si="73"/>
        <v>1.4956511054409139E-2</v>
      </c>
      <c r="W100" s="2"/>
      <c r="X100" s="6">
        <f t="shared" si="74"/>
        <v>8092.6199999999953</v>
      </c>
      <c r="Y100" s="2"/>
      <c r="Z100" s="7">
        <f t="shared" si="75"/>
        <v>0.1120775807722179</v>
      </c>
    </row>
    <row r="101" spans="1:26" s="24" customFormat="1" hidden="1" outlineLevel="2" x14ac:dyDescent="0.25">
      <c r="A101" s="26"/>
      <c r="B101" s="11" t="str">
        <f>CONCATENATE("          ", "6286", " - ", "LAUNDRY EXPENSE")</f>
        <v xml:space="preserve">          6286 - LAUNDRY EXPENSE</v>
      </c>
      <c r="C101" s="11"/>
      <c r="D101" s="6">
        <v>3343.89</v>
      </c>
      <c r="E101" s="2"/>
      <c r="F101" s="7">
        <f t="shared" si="68"/>
        <v>5.2663431192420413E-3</v>
      </c>
      <c r="G101" s="2"/>
      <c r="H101" s="6">
        <v>2926.68</v>
      </c>
      <c r="I101" s="2"/>
      <c r="J101" s="7">
        <f t="shared" si="69"/>
        <v>3.8929824358610895E-3</v>
      </c>
      <c r="K101" s="2"/>
      <c r="L101" s="6">
        <f t="shared" si="70"/>
        <v>417.21000000000004</v>
      </c>
      <c r="M101" s="2"/>
      <c r="N101" s="7">
        <f t="shared" si="71"/>
        <v>0.14255402025503303</v>
      </c>
      <c r="O101" s="11"/>
      <c r="P101" s="6">
        <v>23806.38</v>
      </c>
      <c r="Q101" s="2"/>
      <c r="R101" s="7">
        <f t="shared" si="72"/>
        <v>5.0392939798923012E-3</v>
      </c>
      <c r="S101" s="2"/>
      <c r="T101" s="6">
        <v>23656.32</v>
      </c>
      <c r="U101" s="2"/>
      <c r="V101" s="7">
        <f t="shared" si="73"/>
        <v>4.9001241399084169E-3</v>
      </c>
      <c r="W101" s="2"/>
      <c r="X101" s="6">
        <f t="shared" si="74"/>
        <v>150.06000000000131</v>
      </c>
      <c r="Y101" s="2"/>
      <c r="Z101" s="7">
        <f t="shared" si="75"/>
        <v>6.3433365798231216E-3</v>
      </c>
    </row>
    <row r="102" spans="1:26" s="27" customFormat="1" outlineLevel="1" collapsed="1" x14ac:dyDescent="0.25">
      <c r="A102" s="25"/>
      <c r="B102" s="13" t="str">
        <f>CONCATENATE("     ","Subscriptions &amp; Dues                              ")</f>
        <v xml:space="preserve">     Subscriptions &amp; Dues                              </v>
      </c>
      <c r="C102" s="13"/>
      <c r="D102" s="1">
        <f>SUM(OSRRefD22_19x_0)</f>
        <v>4476.22</v>
      </c>
      <c r="E102" s="1"/>
      <c r="F102" s="5">
        <f t="shared" ref="F102:F104" si="76">IF(D$12=0,0,D102/D$12)</f>
        <v>7.0496668243314265E-3</v>
      </c>
      <c r="G102" s="1"/>
      <c r="H102" s="1">
        <f>SUM(OSRRefH22_19x_0)</f>
        <v>498.78</v>
      </c>
      <c r="I102" s="1"/>
      <c r="J102" s="5">
        <f t="shared" ref="J102:J104" si="77">IF(H$12=0,0,H102/H$12)</f>
        <v>6.6346227785709212E-4</v>
      </c>
      <c r="K102" s="1"/>
      <c r="L102" s="1">
        <f t="shared" ref="L102:L104" si="78">+D102-H102</f>
        <v>3977.4400000000005</v>
      </c>
      <c r="M102" s="1"/>
      <c r="N102" s="5">
        <f t="shared" ref="N102:N104" si="79">IF(H102=0,0,L102/H102)</f>
        <v>7.9743373832150466</v>
      </c>
      <c r="O102" s="13"/>
      <c r="P102" s="1">
        <f>SUM(OSRRefP22_19x_0)</f>
        <v>7333</v>
      </c>
      <c r="Q102" s="1"/>
      <c r="R102" s="5">
        <f t="shared" ref="R102:R104" si="80">IF(P$12=0,0,P102/P$12)</f>
        <v>1.552236953058392E-3</v>
      </c>
      <c r="S102" s="1"/>
      <c r="T102" s="1">
        <f>SUM(OSRRefT22_19x_0)</f>
        <v>2429.5700000000002</v>
      </c>
      <c r="U102" s="1"/>
      <c r="V102" s="5">
        <f t="shared" ref="V102:V104" si="81">IF(T$12=0,0,T102/T$12)</f>
        <v>5.0325640702346321E-4</v>
      </c>
      <c r="W102" s="1"/>
      <c r="X102" s="1">
        <f t="shared" ref="X102:X104" si="82">+P102-T102</f>
        <v>4903.43</v>
      </c>
      <c r="Y102" s="1"/>
      <c r="Z102" s="5">
        <f t="shared" ref="Z102:Z104" si="83">IF(T102=0,0,X102/T102)</f>
        <v>2.0182295632560496</v>
      </c>
    </row>
    <row r="103" spans="1:26" s="24" customFormat="1" hidden="1" outlineLevel="2" x14ac:dyDescent="0.25">
      <c r="A103" s="26"/>
      <c r="B103" s="11" t="str">
        <f>CONCATENATE("          ", "6258", " - ", "MEMBERSHIP DUES")</f>
        <v xml:space="preserve">          6258 - MEMBERSHIP DUES</v>
      </c>
      <c r="C103" s="11"/>
      <c r="D103" s="6">
        <v>3730</v>
      </c>
      <c r="E103" s="2"/>
      <c r="F103" s="7">
        <f t="shared" si="76"/>
        <v>5.8744336191599647E-3</v>
      </c>
      <c r="G103" s="2"/>
      <c r="H103" s="6">
        <v>50</v>
      </c>
      <c r="I103" s="2"/>
      <c r="J103" s="7">
        <f t="shared" si="77"/>
        <v>6.6508508546562819E-5</v>
      </c>
      <c r="K103" s="2"/>
      <c r="L103" s="6">
        <f t="shared" si="78"/>
        <v>3680</v>
      </c>
      <c r="M103" s="2"/>
      <c r="N103" s="7">
        <f t="shared" si="79"/>
        <v>73.599999999999994</v>
      </c>
      <c r="O103" s="11"/>
      <c r="P103" s="6">
        <v>3730</v>
      </c>
      <c r="Q103" s="2"/>
      <c r="R103" s="7">
        <f t="shared" si="80"/>
        <v>7.8956004839871843E-4</v>
      </c>
      <c r="S103" s="2"/>
      <c r="T103" s="6">
        <v>126.8</v>
      </c>
      <c r="U103" s="2"/>
      <c r="V103" s="7">
        <f t="shared" si="81"/>
        <v>2.626510551685077E-5</v>
      </c>
      <c r="W103" s="2"/>
      <c r="X103" s="6">
        <f t="shared" si="82"/>
        <v>3603.2</v>
      </c>
      <c r="Y103" s="2"/>
      <c r="Z103" s="7">
        <f t="shared" si="83"/>
        <v>28.41640378548896</v>
      </c>
    </row>
    <row r="104" spans="1:26" s="24" customFormat="1" hidden="1" outlineLevel="2" x14ac:dyDescent="0.25">
      <c r="A104" s="26"/>
      <c r="B104" s="11" t="str">
        <f>CONCATENATE("          ", "6275", " - ", "SUBSCRIPTIONS")</f>
        <v xml:space="preserve">          6275 - SUBSCRIPTIONS</v>
      </c>
      <c r="C104" s="11"/>
      <c r="D104" s="6">
        <v>746.22</v>
      </c>
      <c r="E104" s="2"/>
      <c r="F104" s="7">
        <f t="shared" si="76"/>
        <v>1.1752332051714609E-3</v>
      </c>
      <c r="G104" s="2"/>
      <c r="H104" s="6">
        <v>448.78</v>
      </c>
      <c r="I104" s="2"/>
      <c r="J104" s="7">
        <f t="shared" si="77"/>
        <v>5.9695376931052924E-4</v>
      </c>
      <c r="K104" s="2"/>
      <c r="L104" s="6">
        <f t="shared" si="78"/>
        <v>297.44000000000005</v>
      </c>
      <c r="M104" s="2"/>
      <c r="N104" s="7">
        <f t="shared" si="79"/>
        <v>0.66277463345068865</v>
      </c>
      <c r="O104" s="11"/>
      <c r="P104" s="6">
        <v>3603</v>
      </c>
      <c r="Q104" s="2"/>
      <c r="R104" s="7">
        <f t="shared" si="80"/>
        <v>7.6267690465967356E-4</v>
      </c>
      <c r="S104" s="2"/>
      <c r="T104" s="6">
        <v>2302.77</v>
      </c>
      <c r="U104" s="2"/>
      <c r="V104" s="7">
        <f t="shared" si="81"/>
        <v>4.7699130150661239E-4</v>
      </c>
      <c r="W104" s="2"/>
      <c r="X104" s="6">
        <f t="shared" si="82"/>
        <v>1300.23</v>
      </c>
      <c r="Y104" s="2"/>
      <c r="Z104" s="7">
        <f t="shared" si="83"/>
        <v>0.56463737151343818</v>
      </c>
    </row>
    <row r="105" spans="1:26" s="27" customFormat="1" outlineLevel="1" collapsed="1" x14ac:dyDescent="0.25">
      <c r="A105" s="25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SUM(OSRRefD22_20x_0)</f>
        <v>15451.4</v>
      </c>
      <c r="E105" s="1"/>
      <c r="F105" s="5">
        <f t="shared" ref="F105:F113" si="84">IF(D$12=0,0,D105/D$12)</f>
        <v>2.4334644402972731E-2</v>
      </c>
      <c r="G105" s="1"/>
      <c r="H105" s="1">
        <f>SUM(OSRRefH22_20x_0)</f>
        <v>15555.38</v>
      </c>
      <c r="I105" s="1"/>
      <c r="J105" s="5">
        <f t="shared" ref="J105:J113" si="85">IF(H$12=0,0,H105/H$12)</f>
        <v>2.0691302473500647E-2</v>
      </c>
      <c r="K105" s="1"/>
      <c r="L105" s="1">
        <f t="shared" ref="L105:L113" si="86">+D105-H105</f>
        <v>-103.97999999999956</v>
      </c>
      <c r="M105" s="1"/>
      <c r="N105" s="5">
        <f t="shared" ref="N105:N113" si="87">IF(H105=0,0,L105/H105)</f>
        <v>-6.6845040108309516E-3</v>
      </c>
      <c r="O105" s="13"/>
      <c r="P105" s="1">
        <f>SUM(OSRRefP22_20x_0)</f>
        <v>154285.19</v>
      </c>
      <c r="Q105" s="1"/>
      <c r="R105" s="5">
        <f t="shared" ref="R105:R113" si="88">IF(P$12=0,0,P105/P$12)</f>
        <v>3.265882629587278E-2</v>
      </c>
      <c r="S105" s="1"/>
      <c r="T105" s="1">
        <f>SUM(OSRRefT22_20x_0)</f>
        <v>136962.44</v>
      </c>
      <c r="U105" s="1"/>
      <c r="V105" s="5">
        <f t="shared" ref="V105:V113" si="89">IF(T$12=0,0,T105/T$12)</f>
        <v>2.8370133583953808E-2</v>
      </c>
      <c r="W105" s="1"/>
      <c r="X105" s="1">
        <f t="shared" ref="X105:X113" si="90">+P105-T105</f>
        <v>17322.75</v>
      </c>
      <c r="Y105" s="1"/>
      <c r="Z105" s="5">
        <f t="shared" ref="Z105:Z113" si="91">IF(T105=0,0,X105/T105)</f>
        <v>0.1264781059683224</v>
      </c>
    </row>
    <row r="106" spans="1:26" s="24" customFormat="1" hidden="1" outlineLevel="2" x14ac:dyDescent="0.25">
      <c r="A106" s="26"/>
      <c r="B106" s="11" t="str">
        <f>CONCATENATE("          ", "6234", " - ", "EXPENDABLE SUPPLIES &amp; EQUIPMEN")</f>
        <v xml:space="preserve">          6234 - EXPENDABLE SUPPLIES &amp; EQUIPMEN</v>
      </c>
      <c r="C106" s="11"/>
      <c r="D106" s="6"/>
      <c r="E106" s="2"/>
      <c r="F106" s="7">
        <f t="shared" si="84"/>
        <v>0</v>
      </c>
      <c r="G106" s="2"/>
      <c r="H106" s="6">
        <v>128.07</v>
      </c>
      <c r="I106" s="2"/>
      <c r="J106" s="7">
        <f t="shared" si="85"/>
        <v>1.70354893791166E-4</v>
      </c>
      <c r="K106" s="2"/>
      <c r="L106" s="6">
        <f t="shared" si="86"/>
        <v>-128.07</v>
      </c>
      <c r="M106" s="2"/>
      <c r="N106" s="7">
        <f t="shared" si="87"/>
        <v>-1</v>
      </c>
      <c r="O106" s="11"/>
      <c r="P106" s="6">
        <v>13295.18</v>
      </c>
      <c r="Q106" s="2"/>
      <c r="R106" s="7">
        <f t="shared" si="88"/>
        <v>2.8143010628068829E-3</v>
      </c>
      <c r="S106" s="2"/>
      <c r="T106" s="6">
        <v>7915.61</v>
      </c>
      <c r="U106" s="2"/>
      <c r="V106" s="7">
        <f t="shared" si="89"/>
        <v>1.6396240684561445E-3</v>
      </c>
      <c r="W106" s="2"/>
      <c r="X106" s="6">
        <f t="shared" si="90"/>
        <v>5379.5700000000006</v>
      </c>
      <c r="Y106" s="2"/>
      <c r="Z106" s="7">
        <f t="shared" si="91"/>
        <v>0.67961534234253596</v>
      </c>
    </row>
    <row r="107" spans="1:26" s="24" customFormat="1" hidden="1" outlineLevel="2" x14ac:dyDescent="0.25">
      <c r="A107" s="26"/>
      <c r="B107" s="11" t="str">
        <f>CONCATENATE("          ", "6237", " - ", "JANITORIAL SUPPLIES")</f>
        <v xml:space="preserve">          6237 - JANITORIAL SUPPLIES</v>
      </c>
      <c r="C107" s="11"/>
      <c r="D107" s="6">
        <v>5789.29</v>
      </c>
      <c r="E107" s="2"/>
      <c r="F107" s="7">
        <f t="shared" si="84"/>
        <v>9.1176406989454672E-3</v>
      </c>
      <c r="G107" s="2"/>
      <c r="H107" s="6">
        <v>5395.75</v>
      </c>
      <c r="I107" s="2"/>
      <c r="J107" s="7">
        <f t="shared" si="85"/>
        <v>7.1772656998023276E-3</v>
      </c>
      <c r="K107" s="2"/>
      <c r="L107" s="6">
        <f t="shared" si="86"/>
        <v>393.53999999999996</v>
      </c>
      <c r="M107" s="2"/>
      <c r="N107" s="7">
        <f t="shared" si="87"/>
        <v>7.2935180466107571E-2</v>
      </c>
      <c r="O107" s="11"/>
      <c r="P107" s="6">
        <v>32997.910000000003</v>
      </c>
      <c r="Q107" s="2"/>
      <c r="R107" s="7">
        <f t="shared" si="88"/>
        <v>6.9849413985674409E-3</v>
      </c>
      <c r="S107" s="2"/>
      <c r="T107" s="6">
        <v>31672.969999999998</v>
      </c>
      <c r="U107" s="2"/>
      <c r="V107" s="7">
        <f t="shared" si="89"/>
        <v>6.5606774375555907E-3</v>
      </c>
      <c r="W107" s="2"/>
      <c r="X107" s="6">
        <f t="shared" si="90"/>
        <v>1324.940000000006</v>
      </c>
      <c r="Y107" s="2"/>
      <c r="Z107" s="7">
        <f t="shared" si="91"/>
        <v>4.1831883779765718E-2</v>
      </c>
    </row>
    <row r="108" spans="1:26" s="24" customFormat="1" hidden="1" outlineLevel="2" x14ac:dyDescent="0.25">
      <c r="A108" s="26"/>
      <c r="B108" s="11" t="str">
        <f>CONCATENATE("          ", "6239", " - ", "KITCHEN SUPPLIES")</f>
        <v xml:space="preserve">          6239 - KITCHEN SUPPLIES</v>
      </c>
      <c r="C108" s="11"/>
      <c r="D108" s="6">
        <v>2898.44</v>
      </c>
      <c r="E108" s="2"/>
      <c r="F108" s="7">
        <f t="shared" si="84"/>
        <v>4.5647971525785546E-3</v>
      </c>
      <c r="G108" s="2"/>
      <c r="H108" s="6">
        <v>2957.62</v>
      </c>
      <c r="I108" s="2"/>
      <c r="J108" s="7">
        <f t="shared" si="85"/>
        <v>3.9341379009497027E-3</v>
      </c>
      <c r="K108" s="2"/>
      <c r="L108" s="6">
        <f t="shared" si="86"/>
        <v>-59.179999999999836</v>
      </c>
      <c r="M108" s="2"/>
      <c r="N108" s="7">
        <f t="shared" si="87"/>
        <v>-2.0009331827618097E-2</v>
      </c>
      <c r="O108" s="11"/>
      <c r="P108" s="6">
        <v>33433.839999999997</v>
      </c>
      <c r="Q108" s="2"/>
      <c r="R108" s="7">
        <f t="shared" si="88"/>
        <v>7.0772183186474545E-3</v>
      </c>
      <c r="S108" s="2"/>
      <c r="T108" s="6">
        <v>18900.64</v>
      </c>
      <c r="U108" s="2"/>
      <c r="V108" s="7">
        <f t="shared" si="89"/>
        <v>3.9150418291483465E-3</v>
      </c>
      <c r="W108" s="2"/>
      <c r="X108" s="6">
        <f t="shared" si="90"/>
        <v>14533.199999999997</v>
      </c>
      <c r="Y108" s="2"/>
      <c r="Z108" s="7">
        <f t="shared" si="91"/>
        <v>0.76892634323493791</v>
      </c>
    </row>
    <row r="109" spans="1:26" s="24" customFormat="1" hidden="1" outlineLevel="2" x14ac:dyDescent="0.25">
      <c r="A109" s="26"/>
      <c r="B109" s="11" t="str">
        <f>CONCATENATE("          ", "6241", " - ", "OFFICE EXPENSE")</f>
        <v xml:space="preserve">          6241 - OFFICE EXPENSE</v>
      </c>
      <c r="C109" s="11"/>
      <c r="D109" s="6">
        <v>1593.7</v>
      </c>
      <c r="E109" s="2"/>
      <c r="F109" s="7">
        <f t="shared" si="84"/>
        <v>2.5099423214089106E-3</v>
      </c>
      <c r="G109" s="2"/>
      <c r="H109" s="6">
        <v>3238.74</v>
      </c>
      <c r="I109" s="2"/>
      <c r="J109" s="7">
        <f t="shared" si="85"/>
        <v>4.3080753394018978E-3</v>
      </c>
      <c r="K109" s="2"/>
      <c r="L109" s="6">
        <f t="shared" si="86"/>
        <v>-1645.0399999999997</v>
      </c>
      <c r="M109" s="2"/>
      <c r="N109" s="7">
        <f t="shared" si="87"/>
        <v>-0.50792592180909857</v>
      </c>
      <c r="O109" s="11"/>
      <c r="P109" s="6">
        <v>16409.28</v>
      </c>
      <c r="Q109" s="2"/>
      <c r="R109" s="7">
        <f t="shared" si="88"/>
        <v>3.4734884479860912E-3</v>
      </c>
      <c r="S109" s="2"/>
      <c r="T109" s="6">
        <v>17210.150000000001</v>
      </c>
      <c r="U109" s="2"/>
      <c r="V109" s="7">
        <f t="shared" si="89"/>
        <v>3.5648770166469192E-3</v>
      </c>
      <c r="W109" s="2"/>
      <c r="X109" s="6">
        <f t="shared" si="90"/>
        <v>-800.87000000000262</v>
      </c>
      <c r="Y109" s="2"/>
      <c r="Z109" s="7">
        <f t="shared" si="91"/>
        <v>-4.6534748389758518E-2</v>
      </c>
    </row>
    <row r="110" spans="1:26" s="24" customFormat="1" hidden="1" outlineLevel="2" x14ac:dyDescent="0.25">
      <c r="A110" s="26"/>
      <c r="B110" s="11" t="str">
        <f>CONCATENATE("          ", "6243", " - ", "PAPER SUPPLIES")</f>
        <v xml:space="preserve">          6243 - PAPER SUPPLIES</v>
      </c>
      <c r="C110" s="11"/>
      <c r="D110" s="6">
        <v>2616.14</v>
      </c>
      <c r="E110" s="2"/>
      <c r="F110" s="7">
        <f t="shared" si="84"/>
        <v>4.1201985974340886E-3</v>
      </c>
      <c r="G110" s="2"/>
      <c r="H110" s="6">
        <v>2650.07</v>
      </c>
      <c r="I110" s="2"/>
      <c r="J110" s="7">
        <f t="shared" si="85"/>
        <v>3.5250440648797953E-3</v>
      </c>
      <c r="K110" s="2"/>
      <c r="L110" s="6">
        <f t="shared" si="86"/>
        <v>-33.930000000000291</v>
      </c>
      <c r="M110" s="2"/>
      <c r="N110" s="7">
        <f t="shared" si="87"/>
        <v>-1.280343538095231E-2</v>
      </c>
      <c r="O110" s="11"/>
      <c r="P110" s="6">
        <v>22198.85</v>
      </c>
      <c r="Q110" s="2"/>
      <c r="R110" s="7">
        <f t="shared" si="88"/>
        <v>4.6990147668621689E-3</v>
      </c>
      <c r="S110" s="2"/>
      <c r="T110" s="6">
        <v>31281.449999999997</v>
      </c>
      <c r="U110" s="2"/>
      <c r="V110" s="7">
        <f t="shared" si="89"/>
        <v>6.4795787458209108E-3</v>
      </c>
      <c r="W110" s="2"/>
      <c r="X110" s="6">
        <f t="shared" si="90"/>
        <v>-9082.5999999999985</v>
      </c>
      <c r="Y110" s="2"/>
      <c r="Z110" s="7">
        <f t="shared" si="91"/>
        <v>-0.29035099076289622</v>
      </c>
    </row>
    <row r="111" spans="1:26" s="24" customFormat="1" hidden="1" outlineLevel="2" x14ac:dyDescent="0.25">
      <c r="A111" s="26"/>
      <c r="B111" s="11" t="str">
        <f>CONCATENATE("          ", "6245", " - ", "PRINTING")</f>
        <v xml:space="preserve">          6245 - PRINTING</v>
      </c>
      <c r="C111" s="11"/>
      <c r="D111" s="6"/>
      <c r="E111" s="2"/>
      <c r="F111" s="7">
        <f t="shared" si="84"/>
        <v>0</v>
      </c>
      <c r="G111" s="2"/>
      <c r="H111" s="6"/>
      <c r="I111" s="2"/>
      <c r="J111" s="7">
        <f t="shared" si="85"/>
        <v>0</v>
      </c>
      <c r="K111" s="2"/>
      <c r="L111" s="6">
        <f t="shared" si="86"/>
        <v>0</v>
      </c>
      <c r="M111" s="2"/>
      <c r="N111" s="7">
        <f t="shared" si="87"/>
        <v>0</v>
      </c>
      <c r="O111" s="11"/>
      <c r="P111" s="6">
        <v>352.64</v>
      </c>
      <c r="Q111" s="2"/>
      <c r="R111" s="7">
        <f t="shared" si="88"/>
        <v>7.4646234709738342E-5</v>
      </c>
      <c r="S111" s="2"/>
      <c r="T111" s="6">
        <v>51.82</v>
      </c>
      <c r="U111" s="2"/>
      <c r="V111" s="7">
        <f t="shared" si="89"/>
        <v>1.073389406847955E-5</v>
      </c>
      <c r="W111" s="2"/>
      <c r="X111" s="6">
        <f t="shared" si="90"/>
        <v>300.82</v>
      </c>
      <c r="Y111" s="2"/>
      <c r="Z111" s="7">
        <f t="shared" si="91"/>
        <v>5.8050945580856812</v>
      </c>
    </row>
    <row r="112" spans="1:26" s="24" customFormat="1" hidden="1" outlineLevel="2" x14ac:dyDescent="0.25">
      <c r="A112" s="26"/>
      <c r="B112" s="11" t="str">
        <f>CONCATENATE("          ", "6247", " - ", "STORE SUPPLIES")</f>
        <v xml:space="preserve">          6247 - STORE SUPPLIES</v>
      </c>
      <c r="C112" s="11"/>
      <c r="D112" s="6">
        <v>2553.83</v>
      </c>
      <c r="E112" s="2"/>
      <c r="F112" s="7">
        <f t="shared" si="84"/>
        <v>4.0220656326057083E-3</v>
      </c>
      <c r="G112" s="2"/>
      <c r="H112" s="6">
        <v>185.61</v>
      </c>
      <c r="I112" s="2"/>
      <c r="J112" s="7">
        <f t="shared" si="85"/>
        <v>2.4689288542655051E-4</v>
      </c>
      <c r="K112" s="2"/>
      <c r="L112" s="6">
        <f t="shared" si="86"/>
        <v>2368.2199999999998</v>
      </c>
      <c r="M112" s="2"/>
      <c r="N112" s="7">
        <f t="shared" si="87"/>
        <v>12.759118581972952</v>
      </c>
      <c r="O112" s="11"/>
      <c r="P112" s="6">
        <v>31863.74</v>
      </c>
      <c r="Q112" s="2"/>
      <c r="R112" s="7">
        <f t="shared" si="88"/>
        <v>6.7448622242799409E-3</v>
      </c>
      <c r="S112" s="2"/>
      <c r="T112" s="6">
        <v>20797.190000000002</v>
      </c>
      <c r="U112" s="2"/>
      <c r="V112" s="7">
        <f t="shared" si="89"/>
        <v>4.3078895094952191E-3</v>
      </c>
      <c r="W112" s="2"/>
      <c r="X112" s="6">
        <f t="shared" si="90"/>
        <v>11066.55</v>
      </c>
      <c r="Y112" s="2"/>
      <c r="Z112" s="7">
        <f t="shared" si="91"/>
        <v>0.53211756011268818</v>
      </c>
    </row>
    <row r="113" spans="1:26" s="24" customFormat="1" hidden="1" outlineLevel="2" x14ac:dyDescent="0.25">
      <c r="A113" s="26"/>
      <c r="B113" s="11" t="str">
        <f>CONCATENATE("          ", "6248", " - ", "UNIFORMS")</f>
        <v xml:space="preserve">          6248 - UNIFORMS</v>
      </c>
      <c r="C113" s="11"/>
      <c r="D113" s="6"/>
      <c r="E113" s="2"/>
      <c r="F113" s="7">
        <f t="shared" si="84"/>
        <v>0</v>
      </c>
      <c r="G113" s="2"/>
      <c r="H113" s="6">
        <v>999.52</v>
      </c>
      <c r="I113" s="2"/>
      <c r="J113" s="7">
        <f t="shared" si="85"/>
        <v>1.3295316892492095E-3</v>
      </c>
      <c r="K113" s="2"/>
      <c r="L113" s="6">
        <f t="shared" si="86"/>
        <v>-999.52</v>
      </c>
      <c r="M113" s="2"/>
      <c r="N113" s="7">
        <f t="shared" si="87"/>
        <v>-1</v>
      </c>
      <c r="O113" s="11"/>
      <c r="P113" s="6">
        <v>3733.75</v>
      </c>
      <c r="Q113" s="2"/>
      <c r="R113" s="7">
        <f t="shared" si="88"/>
        <v>7.9035384201306023E-4</v>
      </c>
      <c r="S113" s="2"/>
      <c r="T113" s="6">
        <v>9132.61</v>
      </c>
      <c r="U113" s="2"/>
      <c r="V113" s="7">
        <f t="shared" si="89"/>
        <v>1.8917110827621967E-3</v>
      </c>
      <c r="W113" s="2"/>
      <c r="X113" s="6">
        <f t="shared" si="90"/>
        <v>-5398.8600000000006</v>
      </c>
      <c r="Y113" s="2"/>
      <c r="Z113" s="7">
        <f t="shared" si="91"/>
        <v>-0.59116287676797763</v>
      </c>
    </row>
    <row r="114" spans="1:26" s="27" customFormat="1" outlineLevel="1" collapsed="1" x14ac:dyDescent="0.25">
      <c r="A114" s="25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SUM(OSRRefD22_21x_0)</f>
        <v>2261.65</v>
      </c>
      <c r="E114" s="1"/>
      <c r="F114" s="5">
        <f t="shared" ref="F114:F121" si="92">IF(D$12=0,0,D114/D$12)</f>
        <v>3.561906915488776E-3</v>
      </c>
      <c r="G114" s="1"/>
      <c r="H114" s="1">
        <f>SUM(OSRRefH22_21x_0)</f>
        <v>2238.12</v>
      </c>
      <c r="I114" s="1"/>
      <c r="J114" s="5">
        <f t="shared" ref="J114:J121" si="93">IF(H$12=0,0,H114/H$12)</f>
        <v>2.9770804629646636E-3</v>
      </c>
      <c r="K114" s="1"/>
      <c r="L114" s="1">
        <f t="shared" ref="L114:L121" si="94">+D114-H114</f>
        <v>23.5300000000002</v>
      </c>
      <c r="M114" s="1"/>
      <c r="N114" s="5">
        <f t="shared" ref="N114:N121" si="95">IF(H114=0,0,L114/H114)</f>
        <v>1.0513287938090988E-2</v>
      </c>
      <c r="O114" s="13"/>
      <c r="P114" s="1">
        <f>SUM(OSRRefP22_21x_0)</f>
        <v>12544.78</v>
      </c>
      <c r="Q114" s="1"/>
      <c r="R114" s="5">
        <f t="shared" ref="R114:R121" si="96">IF(P$12=0,0,P114/P$12)</f>
        <v>2.6554576686196448E-3</v>
      </c>
      <c r="S114" s="1"/>
      <c r="T114" s="1">
        <f>SUM(OSRRefT22_21x_0)</f>
        <v>13686.42</v>
      </c>
      <c r="U114" s="1"/>
      <c r="V114" s="5">
        <f t="shared" ref="V114:V121" si="97">IF(T$12=0,0,T114/T$12)</f>
        <v>2.8349784341319931E-3</v>
      </c>
      <c r="W114" s="1"/>
      <c r="X114" s="1">
        <f t="shared" ref="X114:X121" si="98">+P114-T114</f>
        <v>-1141.6399999999994</v>
      </c>
      <c r="Y114" s="1"/>
      <c r="Z114" s="5">
        <f t="shared" ref="Z114:Z121" si="99">IF(T114=0,0,X114/T114)</f>
        <v>-8.341407029741886E-2</v>
      </c>
    </row>
    <row r="115" spans="1:26" s="24" customFormat="1" hidden="1" outlineLevel="2" x14ac:dyDescent="0.25">
      <c r="A115" s="26"/>
      <c r="B115" s="11" t="str">
        <f>CONCATENATE("          ", "6309", " - ", "TELEPHONE")</f>
        <v xml:space="preserve">          6309 - TELEPHONE</v>
      </c>
      <c r="C115" s="11"/>
      <c r="D115" s="6">
        <v>2261.65</v>
      </c>
      <c r="E115" s="2"/>
      <c r="F115" s="7">
        <f t="shared" si="92"/>
        <v>3.561906915488776E-3</v>
      </c>
      <c r="G115" s="2"/>
      <c r="H115" s="6">
        <v>2238.12</v>
      </c>
      <c r="I115" s="2"/>
      <c r="J115" s="7">
        <f t="shared" si="93"/>
        <v>2.9770804629646636E-3</v>
      </c>
      <c r="K115" s="2"/>
      <c r="L115" s="6">
        <f t="shared" si="94"/>
        <v>23.5300000000002</v>
      </c>
      <c r="M115" s="2"/>
      <c r="N115" s="7">
        <f t="shared" si="95"/>
        <v>1.0513287938090988E-2</v>
      </c>
      <c r="O115" s="11"/>
      <c r="P115" s="6">
        <v>12544.78</v>
      </c>
      <c r="Q115" s="2"/>
      <c r="R115" s="7">
        <f t="shared" si="96"/>
        <v>2.6554576686196448E-3</v>
      </c>
      <c r="S115" s="2"/>
      <c r="T115" s="6">
        <v>13686.42</v>
      </c>
      <c r="U115" s="2"/>
      <c r="V115" s="7">
        <f t="shared" si="97"/>
        <v>2.8349784341319931E-3</v>
      </c>
      <c r="W115" s="2"/>
      <c r="X115" s="6">
        <f t="shared" si="98"/>
        <v>-1141.6399999999994</v>
      </c>
      <c r="Y115" s="2"/>
      <c r="Z115" s="7">
        <f t="shared" si="99"/>
        <v>-8.341407029741886E-2</v>
      </c>
    </row>
    <row r="116" spans="1:26" s="27" customFormat="1" outlineLevel="1" collapsed="1" x14ac:dyDescent="0.25">
      <c r="A116" s="25"/>
      <c r="B116" s="13" t="str">
        <f>CONCATENATE("     ","Training                                          ")</f>
        <v xml:space="preserve">     Training                                          </v>
      </c>
      <c r="C116" s="13"/>
      <c r="D116" s="1">
        <f>SUM(OSRRefD22_22x_0)</f>
        <v>159</v>
      </c>
      <c r="E116" s="1"/>
      <c r="F116" s="5">
        <f t="shared" si="92"/>
        <v>2.5041151352451325E-4</v>
      </c>
      <c r="G116" s="1"/>
      <c r="H116" s="1">
        <f>SUM(OSRRefH22_22x_0)</f>
        <v>321.5</v>
      </c>
      <c r="I116" s="1"/>
      <c r="J116" s="5">
        <f t="shared" si="93"/>
        <v>4.2764970995439898E-4</v>
      </c>
      <c r="K116" s="1"/>
      <c r="L116" s="1">
        <f t="shared" si="94"/>
        <v>-162.5</v>
      </c>
      <c r="M116" s="1"/>
      <c r="N116" s="5">
        <f t="shared" si="95"/>
        <v>-0.50544323483670295</v>
      </c>
      <c r="O116" s="13"/>
      <c r="P116" s="1">
        <f>SUM(OSRRefP22_22x_0)</f>
        <v>1907.5</v>
      </c>
      <c r="Q116" s="1"/>
      <c r="R116" s="5">
        <f t="shared" si="96"/>
        <v>4.037763518285671E-4</v>
      </c>
      <c r="S116" s="1"/>
      <c r="T116" s="1">
        <f>SUM(OSRRefT22_22x_0)</f>
        <v>1350.8</v>
      </c>
      <c r="U116" s="1"/>
      <c r="V116" s="5">
        <f t="shared" si="97"/>
        <v>2.798020862157888E-4</v>
      </c>
      <c r="W116" s="1"/>
      <c r="X116" s="1">
        <f t="shared" si="98"/>
        <v>556.70000000000005</v>
      </c>
      <c r="Y116" s="1"/>
      <c r="Z116" s="5">
        <f t="shared" si="99"/>
        <v>0.41212614746816706</v>
      </c>
    </row>
    <row r="117" spans="1:26" s="24" customFormat="1" hidden="1" outlineLevel="2" x14ac:dyDescent="0.25">
      <c r="A117" s="26"/>
      <c r="B117" s="11" t="str">
        <f>CONCATENATE("          ", "6376", " - ", "TRAINING")</f>
        <v xml:space="preserve">          6376 - TRAINING</v>
      </c>
      <c r="C117" s="11"/>
      <c r="D117" s="6">
        <v>159</v>
      </c>
      <c r="E117" s="2"/>
      <c r="F117" s="7">
        <f t="shared" si="92"/>
        <v>2.5041151352451325E-4</v>
      </c>
      <c r="G117" s="2"/>
      <c r="H117" s="6">
        <v>321.5</v>
      </c>
      <c r="I117" s="2"/>
      <c r="J117" s="7">
        <f t="shared" si="93"/>
        <v>4.2764970995439898E-4</v>
      </c>
      <c r="K117" s="2"/>
      <c r="L117" s="6">
        <f t="shared" si="94"/>
        <v>-162.5</v>
      </c>
      <c r="M117" s="2"/>
      <c r="N117" s="7">
        <f t="shared" si="95"/>
        <v>-0.50544323483670295</v>
      </c>
      <c r="O117" s="11"/>
      <c r="P117" s="6">
        <v>1907.5</v>
      </c>
      <c r="Q117" s="2"/>
      <c r="R117" s="7">
        <f t="shared" si="96"/>
        <v>4.037763518285671E-4</v>
      </c>
      <c r="S117" s="2"/>
      <c r="T117" s="6">
        <v>1350.8</v>
      </c>
      <c r="U117" s="2"/>
      <c r="V117" s="7">
        <f t="shared" si="97"/>
        <v>2.798020862157888E-4</v>
      </c>
      <c r="W117" s="2"/>
      <c r="X117" s="6">
        <f t="shared" si="98"/>
        <v>556.70000000000005</v>
      </c>
      <c r="Y117" s="2"/>
      <c r="Z117" s="7">
        <f t="shared" si="99"/>
        <v>0.41212614746816706</v>
      </c>
    </row>
    <row r="118" spans="1:26" s="27" customFormat="1" outlineLevel="1" collapsed="1" x14ac:dyDescent="0.25">
      <c r="A118" s="25"/>
      <c r="B118" s="13" t="str">
        <f>CONCATENATE("     ","Travel                                            ")</f>
        <v xml:space="preserve">     Travel                                            </v>
      </c>
      <c r="C118" s="13"/>
      <c r="D118" s="1">
        <f>SUM(OSRRefD22_23x_0)</f>
        <v>1540.91</v>
      </c>
      <c r="E118" s="1"/>
      <c r="F118" s="5">
        <f t="shared" si="92"/>
        <v>2.4268025490884132E-3</v>
      </c>
      <c r="G118" s="1"/>
      <c r="H118" s="1">
        <f>SUM(OSRRefH22_23x_0)</f>
        <v>733.51</v>
      </c>
      <c r="I118" s="1"/>
      <c r="J118" s="5">
        <f t="shared" si="93"/>
        <v>9.7569312207978598E-4</v>
      </c>
      <c r="K118" s="1"/>
      <c r="L118" s="1">
        <f t="shared" si="94"/>
        <v>807.40000000000009</v>
      </c>
      <c r="M118" s="1"/>
      <c r="N118" s="5">
        <f t="shared" si="95"/>
        <v>1.1007348229744653</v>
      </c>
      <c r="O118" s="13"/>
      <c r="P118" s="1">
        <f>SUM(OSRRefP22_23x_0)</f>
        <v>2943.8199999999997</v>
      </c>
      <c r="Q118" s="1"/>
      <c r="R118" s="5">
        <f t="shared" si="96"/>
        <v>6.231428047391729E-4</v>
      </c>
      <c r="S118" s="1"/>
      <c r="T118" s="1">
        <f>SUM(OSRRefT22_23x_0)</f>
        <v>3214.54</v>
      </c>
      <c r="U118" s="1"/>
      <c r="V118" s="5">
        <f t="shared" si="97"/>
        <v>6.6585356694114734E-4</v>
      </c>
      <c r="W118" s="1"/>
      <c r="X118" s="1">
        <f t="shared" si="98"/>
        <v>-270.72000000000025</v>
      </c>
      <c r="Y118" s="1"/>
      <c r="Z118" s="5">
        <f t="shared" si="99"/>
        <v>-8.4217337472857784E-2</v>
      </c>
    </row>
    <row r="119" spans="1:26" s="24" customFormat="1" hidden="1" outlineLevel="2" x14ac:dyDescent="0.25">
      <c r="A119" s="26"/>
      <c r="B119" s="11" t="str">
        <f>CONCATENATE("          ", "6292", " - ", "TRAVEL/CONFERENCE")</f>
        <v xml:space="preserve">          6292 - TRAVEL/CONFERENCE</v>
      </c>
      <c r="C119" s="11"/>
      <c r="D119" s="6">
        <v>1426.23</v>
      </c>
      <c r="E119" s="2"/>
      <c r="F119" s="7">
        <f t="shared" si="92"/>
        <v>2.246191276314884E-3</v>
      </c>
      <c r="G119" s="2"/>
      <c r="H119" s="6">
        <v>547.22</v>
      </c>
      <c r="I119" s="2"/>
      <c r="J119" s="7">
        <f t="shared" si="93"/>
        <v>7.2789572093700226E-4</v>
      </c>
      <c r="K119" s="2"/>
      <c r="L119" s="6">
        <f t="shared" si="94"/>
        <v>879.01</v>
      </c>
      <c r="M119" s="2"/>
      <c r="N119" s="7">
        <f t="shared" si="95"/>
        <v>1.6063192134790394</v>
      </c>
      <c r="O119" s="11"/>
      <c r="P119" s="6">
        <v>2125.6</v>
      </c>
      <c r="Q119" s="2"/>
      <c r="R119" s="7">
        <f t="shared" si="96"/>
        <v>4.4994338843869057E-4</v>
      </c>
      <c r="S119" s="2"/>
      <c r="T119" s="6">
        <v>1284.8599999999999</v>
      </c>
      <c r="U119" s="2"/>
      <c r="V119" s="7">
        <f t="shared" si="97"/>
        <v>2.661434027948019E-4</v>
      </c>
      <c r="W119" s="2"/>
      <c r="X119" s="6">
        <f t="shared" si="98"/>
        <v>840.74</v>
      </c>
      <c r="Y119" s="2"/>
      <c r="Z119" s="7">
        <f t="shared" si="99"/>
        <v>0.65434366390112553</v>
      </c>
    </row>
    <row r="120" spans="1:26" s="24" customFormat="1" hidden="1" outlineLevel="2" x14ac:dyDescent="0.25">
      <c r="A120" s="26"/>
      <c r="B120" s="11" t="str">
        <f>CONCATENATE("          ", "6294", " - ", "TRAVEL OPERATIONAL")</f>
        <v xml:space="preserve">          6294 - TRAVEL OPERATIONAL</v>
      </c>
      <c r="C120" s="11"/>
      <c r="D120" s="6"/>
      <c r="E120" s="2"/>
      <c r="F120" s="7">
        <f t="shared" si="92"/>
        <v>0</v>
      </c>
      <c r="G120" s="2"/>
      <c r="H120" s="6"/>
      <c r="I120" s="2"/>
      <c r="J120" s="7">
        <f t="shared" si="93"/>
        <v>0</v>
      </c>
      <c r="K120" s="2"/>
      <c r="L120" s="6">
        <f t="shared" si="94"/>
        <v>0</v>
      </c>
      <c r="M120" s="2"/>
      <c r="N120" s="7">
        <f t="shared" si="95"/>
        <v>0</v>
      </c>
      <c r="O120" s="11"/>
      <c r="P120" s="6">
        <v>45.49</v>
      </c>
      <c r="Q120" s="2"/>
      <c r="R120" s="7">
        <f t="shared" si="96"/>
        <v>9.6292457377098393E-6</v>
      </c>
      <c r="S120" s="2"/>
      <c r="T120" s="6">
        <v>1258.9000000000001</v>
      </c>
      <c r="U120" s="2"/>
      <c r="V120" s="7">
        <f t="shared" si="97"/>
        <v>2.6076609885775581E-4</v>
      </c>
      <c r="W120" s="2"/>
      <c r="X120" s="6">
        <f t="shared" si="98"/>
        <v>-1213.4100000000001</v>
      </c>
      <c r="Y120" s="2"/>
      <c r="Z120" s="7">
        <f t="shared" si="99"/>
        <v>-0.96386527921201048</v>
      </c>
    </row>
    <row r="121" spans="1:26" s="24" customFormat="1" hidden="1" outlineLevel="2" x14ac:dyDescent="0.25">
      <c r="A121" s="26"/>
      <c r="B121" s="11" t="str">
        <f>CONCATENATE("          ", "6298", " - ", "VEHICLE MILEAGE")</f>
        <v xml:space="preserve">          6298 - VEHICLE MILEAGE</v>
      </c>
      <c r="C121" s="11"/>
      <c r="D121" s="6">
        <v>114.68</v>
      </c>
      <c r="E121" s="2"/>
      <c r="F121" s="7">
        <f t="shared" si="92"/>
        <v>1.8061127277352944E-4</v>
      </c>
      <c r="G121" s="2"/>
      <c r="H121" s="6">
        <v>186.29</v>
      </c>
      <c r="I121" s="2"/>
      <c r="J121" s="7">
        <f t="shared" si="93"/>
        <v>2.4779740114278377E-4</v>
      </c>
      <c r="K121" s="2"/>
      <c r="L121" s="6">
        <f t="shared" si="94"/>
        <v>-71.609999999999985</v>
      </c>
      <c r="M121" s="2"/>
      <c r="N121" s="7">
        <f t="shared" si="95"/>
        <v>-0.38440066562885816</v>
      </c>
      <c r="O121" s="11"/>
      <c r="P121" s="6">
        <v>772.73</v>
      </c>
      <c r="Q121" s="2"/>
      <c r="R121" s="7">
        <f t="shared" si="96"/>
        <v>1.6357017056277257E-4</v>
      </c>
      <c r="S121" s="2"/>
      <c r="T121" s="6">
        <v>670.78</v>
      </c>
      <c r="U121" s="2"/>
      <c r="V121" s="7">
        <f t="shared" si="97"/>
        <v>1.3894406528858959E-4</v>
      </c>
      <c r="W121" s="2"/>
      <c r="X121" s="6">
        <f t="shared" si="98"/>
        <v>101.95000000000005</v>
      </c>
      <c r="Y121" s="2"/>
      <c r="Z121" s="7">
        <f t="shared" si="99"/>
        <v>0.15198723873699282</v>
      </c>
    </row>
    <row r="122" spans="1:26" s="27" customFormat="1" outlineLevel="1" collapsed="1" x14ac:dyDescent="0.25">
      <c r="A122" s="25"/>
      <c r="B122" s="13" t="str">
        <f>CONCATENATE("     ","Utilities                                         ")</f>
        <v xml:space="preserve">     Utilities                                         </v>
      </c>
      <c r="C122" s="13"/>
      <c r="D122" s="1">
        <f>SUM(OSRRefD22_24x_0)</f>
        <v>40959</v>
      </c>
      <c r="E122" s="1"/>
      <c r="F122" s="5">
        <f t="shared" ref="F122:F123" si="100">IF(D$12=0,0,D122/D$12)</f>
        <v>6.4506950833022256E-2</v>
      </c>
      <c r="G122" s="1"/>
      <c r="H122" s="1">
        <f>SUM(OSRRefH22_24x_0)</f>
        <v>14780</v>
      </c>
      <c r="I122" s="1"/>
      <c r="J122" s="5">
        <f t="shared" ref="J122:J123" si="101">IF(H$12=0,0,H122/H$12)</f>
        <v>1.9659915126363971E-2</v>
      </c>
      <c r="K122" s="1"/>
      <c r="L122" s="1">
        <f t="shared" ref="L122:L123" si="102">+D122-H122</f>
        <v>26179</v>
      </c>
      <c r="M122" s="1"/>
      <c r="N122" s="5">
        <f t="shared" ref="N122:N123" si="103">IF(H122=0,0,L122/H122)</f>
        <v>1.7712449255751015</v>
      </c>
      <c r="O122" s="13"/>
      <c r="P122" s="1">
        <f>SUM(OSRRefP22_24x_0)</f>
        <v>102337.12</v>
      </c>
      <c r="Q122" s="1"/>
      <c r="R122" s="5">
        <f t="shared" ref="R122:R123" si="104">IF(P$12=0,0,P122/P$12)</f>
        <v>2.166254729763685E-2</v>
      </c>
      <c r="S122" s="1"/>
      <c r="T122" s="1">
        <f>SUM(OSRRefT22_24x_0)</f>
        <v>62458.109999999993</v>
      </c>
      <c r="U122" s="1"/>
      <c r="V122" s="5">
        <f t="shared" ref="V122:V123" si="105">IF(T$12=0,0,T122/T$12)</f>
        <v>1.2937451494740317E-2</v>
      </c>
      <c r="W122" s="1"/>
      <c r="X122" s="1">
        <f t="shared" ref="X122:X123" si="106">+P122-T122</f>
        <v>39879.01</v>
      </c>
      <c r="Y122" s="1"/>
      <c r="Z122" s="5">
        <f t="shared" ref="Z122:Z123" si="107">IF(T122=0,0,X122/T122)</f>
        <v>0.63849210294707937</v>
      </c>
    </row>
    <row r="123" spans="1:26" s="24" customFormat="1" hidden="1" outlineLevel="2" x14ac:dyDescent="0.25">
      <c r="A123" s="26"/>
      <c r="B123" s="11" t="str">
        <f>CONCATENATE("          ", "6274", " - ", "UTILITIES")</f>
        <v xml:space="preserve">          6274 - UTILITIES</v>
      </c>
      <c r="C123" s="11"/>
      <c r="D123" s="6">
        <v>40959</v>
      </c>
      <c r="E123" s="2"/>
      <c r="F123" s="7">
        <f t="shared" si="100"/>
        <v>6.4506950833022256E-2</v>
      </c>
      <c r="G123" s="2"/>
      <c r="H123" s="6">
        <v>14780</v>
      </c>
      <c r="I123" s="2"/>
      <c r="J123" s="7">
        <f t="shared" si="101"/>
        <v>1.9659915126363971E-2</v>
      </c>
      <c r="K123" s="2"/>
      <c r="L123" s="6">
        <f t="shared" si="102"/>
        <v>26179</v>
      </c>
      <c r="M123" s="2"/>
      <c r="N123" s="7">
        <f t="shared" si="103"/>
        <v>1.7712449255751015</v>
      </c>
      <c r="O123" s="11"/>
      <c r="P123" s="6">
        <v>102337.12</v>
      </c>
      <c r="Q123" s="2"/>
      <c r="R123" s="7">
        <f t="shared" si="104"/>
        <v>2.166254729763685E-2</v>
      </c>
      <c r="S123" s="2"/>
      <c r="T123" s="6">
        <v>62458.109999999993</v>
      </c>
      <c r="U123" s="2"/>
      <c r="V123" s="7">
        <f t="shared" si="105"/>
        <v>1.2937451494740317E-2</v>
      </c>
      <c r="W123" s="2"/>
      <c r="X123" s="6">
        <f t="shared" si="106"/>
        <v>39879.01</v>
      </c>
      <c r="Y123" s="2"/>
      <c r="Z123" s="7">
        <f t="shared" si="107"/>
        <v>0.63849210294707937</v>
      </c>
    </row>
    <row r="124" spans="1:26" s="61" customFormat="1" x14ac:dyDescent="0.25">
      <c r="A124" s="37"/>
      <c r="B124" s="37"/>
      <c r="C124" s="37"/>
      <c r="D124" s="1"/>
      <c r="E124" s="1"/>
      <c r="F124" s="5"/>
      <c r="G124" s="1"/>
      <c r="H124" s="1"/>
      <c r="I124" s="1"/>
      <c r="J124" s="5"/>
      <c r="K124" s="1"/>
      <c r="L124" s="1"/>
      <c r="M124" s="1"/>
      <c r="N124" s="5"/>
      <c r="O124" s="37"/>
      <c r="P124" s="1"/>
      <c r="Q124" s="1"/>
      <c r="R124" s="5"/>
      <c r="S124" s="1"/>
      <c r="T124" s="1"/>
      <c r="U124" s="1"/>
      <c r="V124" s="5"/>
      <c r="W124" s="1"/>
      <c r="X124" s="1"/>
      <c r="Y124" s="1"/>
      <c r="Z124" s="5"/>
    </row>
    <row r="125" spans="1:26" s="23" customFormat="1" collapsed="1" x14ac:dyDescent="0.25">
      <c r="A125" s="10"/>
      <c r="B125" s="28" t="s">
        <v>0</v>
      </c>
      <c r="C125" s="10"/>
      <c r="D125" s="4">
        <f>SUM(OSRRefD25x_0)</f>
        <v>21370.27</v>
      </c>
      <c r="E125" s="4"/>
      <c r="F125" s="12">
        <f t="shared" ref="F125:F128" si="108">IF(D$12=0,0,D125/D$12)</f>
        <v>3.3656362610864778E-2</v>
      </c>
      <c r="G125" s="4"/>
      <c r="H125" s="4">
        <f>SUM(OSRRefH25x_0)</f>
        <v>31985.91</v>
      </c>
      <c r="I125" s="4"/>
      <c r="J125" s="12">
        <f t="shared" ref="J125:J128" si="109">IF(H$12=0,0,H125/H$12)</f>
        <v>4.2546703372091786E-2</v>
      </c>
      <c r="K125" s="4"/>
      <c r="L125" s="4">
        <f t="shared" ref="L125:L128" si="110">+D125-H125</f>
        <v>-10615.64</v>
      </c>
      <c r="M125" s="4"/>
      <c r="N125" s="12">
        <f t="shared" ref="N125:N128" si="111">IF(H125=0,0,L125/H125)</f>
        <v>-0.33188488306257347</v>
      </c>
      <c r="O125" s="10"/>
      <c r="P125" s="4">
        <f>SUM(OSRRefP25x_0)</f>
        <v>514437.52999999997</v>
      </c>
      <c r="Q125" s="4"/>
      <c r="R125" s="12">
        <f t="shared" ref="R125:R128" si="112">IF(P$12=0,0,P125/P$12)</f>
        <v>0.1088952603444818</v>
      </c>
      <c r="S125" s="4"/>
      <c r="T125" s="4">
        <f>SUM(OSRRefT25x_0)</f>
        <v>458217.86</v>
      </c>
      <c r="U125" s="4"/>
      <c r="V125" s="12">
        <f t="shared" ref="V125:V128" si="113">IF(T$12=0,0,T125/T$12)</f>
        <v>9.4914356802882918E-2</v>
      </c>
      <c r="W125" s="4"/>
      <c r="X125" s="4">
        <f t="shared" ref="X125:X128" si="114">+P125-T125</f>
        <v>56219.669999999984</v>
      </c>
      <c r="Y125" s="4"/>
      <c r="Z125" s="12">
        <f t="shared" ref="Z125:Z128" si="115">IF(T125=0,0,X125/T125)</f>
        <v>0.12269200942975027</v>
      </c>
    </row>
    <row r="126" spans="1:26" s="24" customFormat="1" hidden="1" outlineLevel="1" x14ac:dyDescent="0.25">
      <c r="A126" s="44"/>
      <c r="B126" s="11" t="str">
        <f>CONCATENATE("          ", "9150", " - ", "MISC. INCOME")</f>
        <v xml:space="preserve">          9150 - MISC. INCOME</v>
      </c>
      <c r="C126" s="11"/>
      <c r="D126" s="2">
        <f>--17328.33</f>
        <v>17328.330000000002</v>
      </c>
      <c r="E126" s="2"/>
      <c r="F126" s="19">
        <f t="shared" si="108"/>
        <v>2.729064995064295E-2</v>
      </c>
      <c r="G126" s="2"/>
      <c r="H126" s="2">
        <f>--31985.91</f>
        <v>31985.91</v>
      </c>
      <c r="I126" s="2"/>
      <c r="J126" s="19">
        <f t="shared" si="109"/>
        <v>4.2546703372091786E-2</v>
      </c>
      <c r="K126" s="2"/>
      <c r="L126" s="2">
        <f t="shared" si="110"/>
        <v>-14657.579999999998</v>
      </c>
      <c r="M126" s="2"/>
      <c r="N126" s="19">
        <f t="shared" si="111"/>
        <v>-0.45825114870891581</v>
      </c>
      <c r="O126" s="11"/>
      <c r="P126" s="2">
        <f>--182971.27</f>
        <v>182971.27</v>
      </c>
      <c r="Q126" s="2"/>
      <c r="R126" s="19">
        <f t="shared" si="112"/>
        <v>3.8731046862406159E-2</v>
      </c>
      <c r="S126" s="2"/>
      <c r="T126" s="2">
        <f>--179901.19</f>
        <v>179901.19</v>
      </c>
      <c r="U126" s="2"/>
      <c r="V126" s="19">
        <f t="shared" si="113"/>
        <v>3.726438279145914E-2</v>
      </c>
      <c r="W126" s="2"/>
      <c r="X126" s="2">
        <f t="shared" si="114"/>
        <v>3070.0799999999872</v>
      </c>
      <c r="Y126" s="2"/>
      <c r="Z126" s="19">
        <f t="shared" si="115"/>
        <v>1.70653679389224E-2</v>
      </c>
    </row>
    <row r="127" spans="1:26" s="24" customFormat="1" hidden="1" outlineLevel="1" x14ac:dyDescent="0.25">
      <c r="A127" s="44"/>
      <c r="B127" s="11" t="str">
        <f>CONCATENATE("          ", "9160", " - ", "MISC. INCOME")</f>
        <v xml:space="preserve">          9160 - MISC. INCOME</v>
      </c>
      <c r="C127" s="11"/>
      <c r="D127" s="2">
        <f>0</f>
        <v>0</v>
      </c>
      <c r="E127" s="2"/>
      <c r="F127" s="19">
        <f t="shared" si="108"/>
        <v>0</v>
      </c>
      <c r="G127" s="2"/>
      <c r="H127" s="2">
        <f t="shared" ref="H127:H128" si="116">0</f>
        <v>0</v>
      </c>
      <c r="I127" s="2"/>
      <c r="J127" s="19">
        <f t="shared" si="109"/>
        <v>0</v>
      </c>
      <c r="K127" s="2"/>
      <c r="L127" s="2">
        <f t="shared" si="110"/>
        <v>0</v>
      </c>
      <c r="M127" s="2"/>
      <c r="N127" s="19">
        <f t="shared" si="111"/>
        <v>0</v>
      </c>
      <c r="O127" s="11"/>
      <c r="P127" s="2">
        <f>--104050.2</f>
        <v>104050.2</v>
      </c>
      <c r="Q127" s="2"/>
      <c r="R127" s="19">
        <f t="shared" si="112"/>
        <v>2.2025169154931992E-2</v>
      </c>
      <c r="S127" s="2"/>
      <c r="T127" s="2">
        <f>--60385.67</f>
        <v>60385.67</v>
      </c>
      <c r="U127" s="2"/>
      <c r="V127" s="19">
        <f t="shared" si="113"/>
        <v>1.2508170301701342E-2</v>
      </c>
      <c r="W127" s="2"/>
      <c r="X127" s="2">
        <f t="shared" si="114"/>
        <v>43664.53</v>
      </c>
      <c r="Y127" s="2"/>
      <c r="Z127" s="19">
        <f t="shared" si="115"/>
        <v>0.72309423742421008</v>
      </c>
    </row>
    <row r="128" spans="1:26" s="24" customFormat="1" hidden="1" outlineLevel="1" x14ac:dyDescent="0.25">
      <c r="A128" s="44"/>
      <c r="B128" s="11" t="str">
        <f>CONCATENATE("          ", "9165", " - ", "OTHER INCOME")</f>
        <v xml:space="preserve">          9165 - OTHER INCOME</v>
      </c>
      <c r="C128" s="11"/>
      <c r="D128" s="2">
        <f>--4041.94</f>
        <v>4041.94</v>
      </c>
      <c r="E128" s="2"/>
      <c r="F128" s="19">
        <f t="shared" si="108"/>
        <v>6.3657126602218311E-3</v>
      </c>
      <c r="G128" s="2"/>
      <c r="H128" s="2">
        <f t="shared" si="116"/>
        <v>0</v>
      </c>
      <c r="I128" s="2"/>
      <c r="J128" s="19">
        <f t="shared" si="109"/>
        <v>0</v>
      </c>
      <c r="K128" s="2"/>
      <c r="L128" s="2">
        <f t="shared" si="110"/>
        <v>4041.94</v>
      </c>
      <c r="M128" s="2"/>
      <c r="N128" s="19">
        <f t="shared" si="111"/>
        <v>0</v>
      </c>
      <c r="O128" s="11"/>
      <c r="P128" s="2">
        <f>--227416.06</f>
        <v>227416.06</v>
      </c>
      <c r="Q128" s="2"/>
      <c r="R128" s="19">
        <f t="shared" si="112"/>
        <v>4.8139044327143658E-2</v>
      </c>
      <c r="S128" s="2"/>
      <c r="T128" s="2">
        <f>--217931</f>
        <v>217931</v>
      </c>
      <c r="U128" s="2"/>
      <c r="V128" s="19">
        <f t="shared" si="113"/>
        <v>4.5141803709722442E-2</v>
      </c>
      <c r="W128" s="2"/>
      <c r="X128" s="2">
        <f t="shared" si="114"/>
        <v>9485.0599999999977</v>
      </c>
      <c r="Y128" s="2"/>
      <c r="Z128" s="19">
        <f t="shared" si="115"/>
        <v>4.3523225241016643E-2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9" t="s">
        <v>3</v>
      </c>
      <c r="C130" s="29"/>
      <c r="D130" s="20">
        <f>+D36-D38+D125</f>
        <v>-157158.44999999987</v>
      </c>
      <c r="E130" s="14"/>
      <c r="F130" s="21">
        <f>IF(D$12=0,0,D130/D$12)</f>
        <v>-0.24751122847588997</v>
      </c>
      <c r="G130" s="14"/>
      <c r="H130" s="20">
        <f>+H36-H38+H125</f>
        <v>183.24000000007436</v>
      </c>
      <c r="I130" s="14"/>
      <c r="J130" s="21">
        <f>IF(H$12=0,0,H130/H$12)</f>
        <v>2.4374038212154236E-4</v>
      </c>
      <c r="K130" s="15"/>
      <c r="L130" s="20">
        <f>+D130-H130</f>
        <v>-157341.68999999994</v>
      </c>
      <c r="M130" s="15"/>
      <c r="N130" s="21">
        <f>IF(H130=0,0,L130/H130)</f>
        <v>-858.66453831006379</v>
      </c>
      <c r="O130" s="28"/>
      <c r="P130" s="20">
        <f>+P36-P38+P125</f>
        <v>-60511.679999999993</v>
      </c>
      <c r="Q130" s="14"/>
      <c r="R130" s="21">
        <f>IF(P$12=0,0,P130/P$12)</f>
        <v>-1.2809009380559719E-2</v>
      </c>
      <c r="S130" s="14"/>
      <c r="T130" s="20">
        <f>+T36-T38+T125</f>
        <v>301169.18000000168</v>
      </c>
      <c r="U130" s="14"/>
      <c r="V130" s="21">
        <f>IF(T$12=0,0,T130/T$12)</f>
        <v>6.2383598510437441E-2</v>
      </c>
      <c r="W130" s="15"/>
      <c r="X130" s="20">
        <f>+P130-T130</f>
        <v>-361680.86000000167</v>
      </c>
      <c r="Y130" s="15"/>
      <c r="Z130" s="21">
        <f>IF(T130=0,0,X130/T130)</f>
        <v>-1.2009225512384756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1"/>
      <c r="B132" s="10" t="s">
        <v>13</v>
      </c>
      <c r="C132" s="10"/>
      <c r="D132" s="4">
        <v>77226.450000000012</v>
      </c>
      <c r="E132" s="4"/>
      <c r="F132" s="12">
        <f>IF(D$12=0,0,D132/D$12)</f>
        <v>0.12162510835613301</v>
      </c>
      <c r="G132" s="4"/>
      <c r="H132" s="4">
        <v>92104.24</v>
      </c>
      <c r="I132" s="4"/>
      <c r="J132" s="12">
        <f>IF(H$12=0,0,H132/H$12)</f>
        <v>0.12251431266429348</v>
      </c>
      <c r="K132" s="4"/>
      <c r="L132" s="4">
        <f>+D132-H132</f>
        <v>-14877.789999999994</v>
      </c>
      <c r="M132" s="4"/>
      <c r="N132" s="12">
        <f>IF(H132=0,0,L132/H132)</f>
        <v>-0.16153208581928469</v>
      </c>
      <c r="O132" s="10"/>
      <c r="P132" s="4">
        <v>510244.57</v>
      </c>
      <c r="Q132" s="4"/>
      <c r="R132" s="12">
        <f>IF(P$12=0,0,P132/P$12)</f>
        <v>0.1080077017116309</v>
      </c>
      <c r="S132" s="4"/>
      <c r="T132" s="4">
        <v>520981.72</v>
      </c>
      <c r="U132" s="4"/>
      <c r="V132" s="12">
        <f>IF(T$12=0,0,T132/T$12)</f>
        <v>0.10791514075828393</v>
      </c>
      <c r="W132" s="4"/>
      <c r="X132" s="4">
        <f>+P132-T132</f>
        <v>-10737.149999999965</v>
      </c>
      <c r="Y132" s="4"/>
      <c r="Z132" s="12">
        <f>IF(T132=0,0,X132/T132)</f>
        <v>-2.0609456316432687E-2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4</v>
      </c>
      <c r="C134" s="29"/>
      <c r="D134" s="32">
        <f>+D130-D132</f>
        <v>-234384.89999999988</v>
      </c>
      <c r="E134" s="14"/>
      <c r="F134" s="30">
        <f>IF(D$12=0,0,D134/D$12)</f>
        <v>-0.36913633683202296</v>
      </c>
      <c r="G134" s="14"/>
      <c r="H134" s="32">
        <f>+H130-H132</f>
        <v>-91920.999999999927</v>
      </c>
      <c r="I134" s="14"/>
      <c r="J134" s="30">
        <f>IF(H$12=0,0,H134/H$12)</f>
        <v>-0.12227057228217193</v>
      </c>
      <c r="K134" s="15"/>
      <c r="L134" s="32">
        <f>D134-H134</f>
        <v>-142463.89999999997</v>
      </c>
      <c r="M134" s="15"/>
      <c r="N134" s="30">
        <f>IF(H134=0,0,L134/H134)</f>
        <v>1.5498515029209874</v>
      </c>
      <c r="O134" s="28"/>
      <c r="P134" s="32">
        <f>+P130-P132</f>
        <v>-570756.25</v>
      </c>
      <c r="Q134" s="14"/>
      <c r="R134" s="30">
        <f>IF(P$12=0,0,P134/P$12)</f>
        <v>-0.12081671109219062</v>
      </c>
      <c r="S134" s="14"/>
      <c r="T134" s="32">
        <f>+T130-T132</f>
        <v>-219812.53999999829</v>
      </c>
      <c r="U134" s="14"/>
      <c r="V134" s="30">
        <f>IF(T$12=0,0,T134/T$12)</f>
        <v>-4.5531542247846495E-2</v>
      </c>
      <c r="W134" s="15"/>
      <c r="X134" s="32">
        <f>P134-T134</f>
        <v>-350943.71000000171</v>
      </c>
      <c r="Y134" s="15"/>
      <c r="Z134" s="30">
        <f>IF(T134=0,0,X134/T134)</f>
        <v>1.5965590953091413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9" t="s">
        <v>5</v>
      </c>
      <c r="C137" s="29"/>
      <c r="D137" s="36">
        <f>SUM(D134:D136)</f>
        <v>-234384.89999999988</v>
      </c>
      <c r="E137" s="14"/>
      <c r="F137" s="31">
        <f>IF(D$12=0,0,D137/D$12)</f>
        <v>-0.36913633683202296</v>
      </c>
      <c r="G137" s="14"/>
      <c r="H137" s="36">
        <f>SUM(H134:H136)</f>
        <v>-91920.999999999927</v>
      </c>
      <c r="I137" s="14"/>
      <c r="J137" s="31">
        <f>IF(H$12=0,0,H137/H$12)</f>
        <v>-0.12227057228217193</v>
      </c>
      <c r="K137" s="15"/>
      <c r="L137" s="36">
        <f>+D137-H137</f>
        <v>-142463.89999999997</v>
      </c>
      <c r="M137" s="15"/>
      <c r="N137" s="31">
        <f>IF(H137=0,0,L137/H137)</f>
        <v>1.5498515029209874</v>
      </c>
      <c r="O137" s="28"/>
      <c r="P137" s="36">
        <f>SUM(P134:P136)</f>
        <v>-570756.25</v>
      </c>
      <c r="Q137" s="14"/>
      <c r="R137" s="31">
        <f>IF(P$12=0,0,P137/P$12)</f>
        <v>-0.12081671109219062</v>
      </c>
      <c r="S137" s="14"/>
      <c r="T137" s="36">
        <f>SUM(T134:T136)</f>
        <v>-219812.53999999829</v>
      </c>
      <c r="U137" s="14"/>
      <c r="V137" s="31">
        <f>IF(T$12=0,0,T137/T$12)</f>
        <v>-4.5531542247846495E-2</v>
      </c>
      <c r="W137" s="15"/>
      <c r="X137" s="36">
        <f>+P137-T137</f>
        <v>-350943.71000000171</v>
      </c>
      <c r="Y137" s="15"/>
      <c r="Z137" s="31">
        <f>IF(T137=0,0,X137/T137)</f>
        <v>1.5965590953091413</v>
      </c>
    </row>
    <row r="138" spans="1:26" ht="15.75" thickTop="1" x14ac:dyDescent="0.25">
      <c r="A138" s="9"/>
      <c r="C138" s="9"/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62">
        <v>43847.453334224534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A140" s="9"/>
      <c r="B140" s="56" t="s">
        <v>313</v>
      </c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A141" s="9"/>
      <c r="B141" s="54"/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  <row r="142" spans="1:26" x14ac:dyDescent="0.25"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426987.52999999997</v>
      </c>
      <c r="E12" s="4"/>
      <c r="F12" s="12"/>
      <c r="G12" s="4"/>
      <c r="H12" s="4">
        <f>SUM(OSRRefH13x_0)</f>
        <v>518831.56</v>
      </c>
      <c r="I12" s="4"/>
      <c r="J12" s="12"/>
      <c r="K12" s="4"/>
      <c r="L12" s="4">
        <f t="shared" ref="L12:L23" si="0">+D12-H12</f>
        <v>-91844.030000000028</v>
      </c>
      <c r="M12" s="4"/>
      <c r="N12" s="12">
        <f t="shared" ref="N12:N23" si="1">IF(H12=0,0,L12/H12)</f>
        <v>-0.17702090057898565</v>
      </c>
      <c r="O12" s="10"/>
      <c r="P12" s="4">
        <f>SUM(OSRRefP13x_0)</f>
        <v>3097357.05</v>
      </c>
      <c r="Q12" s="4"/>
      <c r="R12" s="12"/>
      <c r="S12" s="4"/>
      <c r="T12" s="4">
        <f>SUM(OSRRefT13x_0)</f>
        <v>3273176.9499999997</v>
      </c>
      <c r="U12" s="4"/>
      <c r="V12" s="12"/>
      <c r="W12" s="4"/>
      <c r="X12" s="4">
        <f t="shared" ref="X12:X23" si="2">+P12-T12</f>
        <v>-175819.89999999991</v>
      </c>
      <c r="Y12" s="4"/>
      <c r="Z12" s="12">
        <f t="shared" ref="Z12:Z23" si="3">IF(T12=0,0,X12/T12)</f>
        <v>-5.3715366656238953E-2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--40718.26</f>
        <v>40718.26</v>
      </c>
      <c r="E13" s="2"/>
      <c r="F13" s="19"/>
      <c r="G13" s="2"/>
      <c r="H13" s="2">
        <f>--50145.64</f>
        <v>50145.64</v>
      </c>
      <c r="I13" s="2"/>
      <c r="J13" s="19"/>
      <c r="K13" s="2"/>
      <c r="L13" s="2">
        <f t="shared" si="0"/>
        <v>-9427.3799999999974</v>
      </c>
      <c r="M13" s="2"/>
      <c r="N13" s="19">
        <f t="shared" si="1"/>
        <v>-0.18799999361858774</v>
      </c>
      <c r="O13" s="11"/>
      <c r="P13" s="2">
        <f>--323725.59</f>
        <v>323725.59000000003</v>
      </c>
      <c r="Q13" s="2"/>
      <c r="R13" s="19"/>
      <c r="S13" s="2"/>
      <c r="T13" s="2">
        <f>--342805.19</f>
        <v>342805.19</v>
      </c>
      <c r="U13" s="2"/>
      <c r="V13" s="19"/>
      <c r="W13" s="2"/>
      <c r="X13" s="2">
        <f t="shared" si="2"/>
        <v>-19079.599999999977</v>
      </c>
      <c r="Y13" s="2"/>
      <c r="Z13" s="19">
        <f t="shared" si="3"/>
        <v>-5.5657267032625662E-2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--82451.12</f>
        <v>82451.12</v>
      </c>
      <c r="E14" s="2"/>
      <c r="F14" s="19"/>
      <c r="G14" s="2"/>
      <c r="H14" s="2">
        <f>--105122.28</f>
        <v>105122.28</v>
      </c>
      <c r="I14" s="2"/>
      <c r="J14" s="19"/>
      <c r="K14" s="2"/>
      <c r="L14" s="2">
        <f t="shared" si="0"/>
        <v>-22671.160000000003</v>
      </c>
      <c r="M14" s="2"/>
      <c r="N14" s="19">
        <f t="shared" si="1"/>
        <v>-0.21566465263120249</v>
      </c>
      <c r="O14" s="11"/>
      <c r="P14" s="2">
        <f>--536296.65</f>
        <v>536296.65</v>
      </c>
      <c r="Q14" s="2"/>
      <c r="R14" s="19"/>
      <c r="S14" s="2"/>
      <c r="T14" s="2">
        <f>--673989.69</f>
        <v>673989.69</v>
      </c>
      <c r="U14" s="2"/>
      <c r="V14" s="19"/>
      <c r="W14" s="2"/>
      <c r="X14" s="2">
        <f t="shared" si="2"/>
        <v>-137693.03999999992</v>
      </c>
      <c r="Y14" s="2"/>
      <c r="Z14" s="19">
        <f t="shared" si="3"/>
        <v>-0.20429546926748973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--15916.58</f>
        <v>15916.58</v>
      </c>
      <c r="E15" s="2"/>
      <c r="F15" s="19"/>
      <c r="G15" s="2"/>
      <c r="H15" s="2">
        <f>--25210.01</f>
        <v>25210.01</v>
      </c>
      <c r="I15" s="2"/>
      <c r="J15" s="19"/>
      <c r="K15" s="2"/>
      <c r="L15" s="2">
        <f t="shared" si="0"/>
        <v>-9293.4299999999985</v>
      </c>
      <c r="M15" s="2"/>
      <c r="N15" s="19">
        <f t="shared" si="1"/>
        <v>-0.36864047257418775</v>
      </c>
      <c r="O15" s="11"/>
      <c r="P15" s="2">
        <f>--86431.87</f>
        <v>86431.87</v>
      </c>
      <c r="Q15" s="2"/>
      <c r="R15" s="19"/>
      <c r="S15" s="2"/>
      <c r="T15" s="2">
        <f>--82050.96</f>
        <v>82050.960000000006</v>
      </c>
      <c r="U15" s="2"/>
      <c r="V15" s="19"/>
      <c r="W15" s="2"/>
      <c r="X15" s="2">
        <f t="shared" si="2"/>
        <v>4380.9099999999889</v>
      </c>
      <c r="Y15" s="2"/>
      <c r="Z15" s="19">
        <f t="shared" si="3"/>
        <v>5.3392550190759357E-2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--36745.98</f>
        <v>36745.980000000003</v>
      </c>
      <c r="E16" s="2"/>
      <c r="F16" s="19"/>
      <c r="G16" s="2"/>
      <c r="H16" s="2">
        <f>--48684.59</f>
        <v>48684.59</v>
      </c>
      <c r="I16" s="2"/>
      <c r="J16" s="19"/>
      <c r="K16" s="2"/>
      <c r="L16" s="2">
        <f t="shared" si="0"/>
        <v>-11938.609999999993</v>
      </c>
      <c r="M16" s="2"/>
      <c r="N16" s="19">
        <f t="shared" si="1"/>
        <v>-0.2452235912842235</v>
      </c>
      <c r="O16" s="11"/>
      <c r="P16" s="2">
        <f>--271853.95</f>
        <v>271853.95</v>
      </c>
      <c r="Q16" s="2"/>
      <c r="R16" s="19"/>
      <c r="S16" s="2"/>
      <c r="T16" s="2">
        <f>--316320.95</f>
        <v>316320.95</v>
      </c>
      <c r="U16" s="2"/>
      <c r="V16" s="19"/>
      <c r="W16" s="2"/>
      <c r="X16" s="2">
        <f t="shared" si="2"/>
        <v>-44467</v>
      </c>
      <c r="Y16" s="2"/>
      <c r="Z16" s="19">
        <f t="shared" si="3"/>
        <v>-0.14057557679945004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--9096.8</f>
        <v>9096.7999999999993</v>
      </c>
      <c r="E18" s="2"/>
      <c r="F18" s="19"/>
      <c r="G18" s="2"/>
      <c r="H18" s="2">
        <f>--12611.6</f>
        <v>12611.6</v>
      </c>
      <c r="I18" s="2"/>
      <c r="J18" s="19"/>
      <c r="K18" s="2"/>
      <c r="L18" s="2">
        <f t="shared" si="0"/>
        <v>-3514.8000000000011</v>
      </c>
      <c r="M18" s="2"/>
      <c r="N18" s="19">
        <f t="shared" si="1"/>
        <v>-0.27869580386311021</v>
      </c>
      <c r="O18" s="11"/>
      <c r="P18" s="2">
        <f>--87899.21</f>
        <v>87899.21</v>
      </c>
      <c r="Q18" s="2"/>
      <c r="R18" s="19"/>
      <c r="S18" s="2"/>
      <c r="T18" s="2">
        <f>--121610.75</f>
        <v>121610.75</v>
      </c>
      <c r="U18" s="2"/>
      <c r="V18" s="19"/>
      <c r="W18" s="2"/>
      <c r="X18" s="2">
        <f t="shared" si="2"/>
        <v>-33711.539999999994</v>
      </c>
      <c r="Y18" s="2"/>
      <c r="Z18" s="19">
        <f t="shared" si="3"/>
        <v>-0.27720855269784944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--128781.5</f>
        <v>128781.5</v>
      </c>
      <c r="E19" s="2"/>
      <c r="F19" s="19"/>
      <c r="G19" s="2"/>
      <c r="H19" s="2">
        <f>--152492.95</f>
        <v>152492.95000000001</v>
      </c>
      <c r="I19" s="2"/>
      <c r="J19" s="19"/>
      <c r="K19" s="2"/>
      <c r="L19" s="2">
        <f t="shared" si="0"/>
        <v>-23711.450000000012</v>
      </c>
      <c r="M19" s="2"/>
      <c r="N19" s="19">
        <f t="shared" si="1"/>
        <v>-0.15549210635639227</v>
      </c>
      <c r="O19" s="11"/>
      <c r="P19" s="2">
        <f>--953178.59</f>
        <v>953178.59</v>
      </c>
      <c r="Q19" s="2"/>
      <c r="R19" s="19"/>
      <c r="S19" s="2"/>
      <c r="T19" s="2">
        <f>--923370.31</f>
        <v>923370.31</v>
      </c>
      <c r="U19" s="2"/>
      <c r="V19" s="19"/>
      <c r="W19" s="2"/>
      <c r="X19" s="2">
        <f t="shared" si="2"/>
        <v>29808.279999999912</v>
      </c>
      <c r="Y19" s="2"/>
      <c r="Z19" s="19">
        <f t="shared" si="3"/>
        <v>3.2282042943312647E-2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--4293.35</f>
        <v>4293.3500000000004</v>
      </c>
      <c r="E20" s="2"/>
      <c r="F20" s="19"/>
      <c r="G20" s="2"/>
      <c r="H20" s="2">
        <f>--6226.42</f>
        <v>6226.42</v>
      </c>
      <c r="I20" s="2"/>
      <c r="J20" s="19"/>
      <c r="K20" s="2"/>
      <c r="L20" s="2">
        <f t="shared" si="0"/>
        <v>-1933.0699999999997</v>
      </c>
      <c r="M20" s="2"/>
      <c r="N20" s="19">
        <f t="shared" si="1"/>
        <v>-0.31046251296892913</v>
      </c>
      <c r="O20" s="11"/>
      <c r="P20" s="2">
        <f>--34634.8</f>
        <v>34634.800000000003</v>
      </c>
      <c r="Q20" s="2"/>
      <c r="R20" s="19"/>
      <c r="S20" s="2"/>
      <c r="T20" s="2">
        <f>--40503.52</f>
        <v>40503.519999999997</v>
      </c>
      <c r="U20" s="2"/>
      <c r="V20" s="19"/>
      <c r="W20" s="2"/>
      <c r="X20" s="2">
        <f t="shared" si="2"/>
        <v>-5868.7199999999939</v>
      </c>
      <c r="Y20" s="2"/>
      <c r="Z20" s="19">
        <f t="shared" si="3"/>
        <v>-0.14489407340399044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0</f>
        <v>0</v>
      </c>
      <c r="Q21" s="2"/>
      <c r="R21" s="19"/>
      <c r="S21" s="2"/>
      <c r="T21" s="2">
        <f>--527.13</f>
        <v>527.13</v>
      </c>
      <c r="U21" s="2"/>
      <c r="V21" s="19"/>
      <c r="W21" s="2"/>
      <c r="X21" s="2">
        <f t="shared" si="2"/>
        <v>-527.13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--63255.26</f>
        <v>63255.26</v>
      </c>
      <c r="E22" s="2"/>
      <c r="F22" s="19"/>
      <c r="G22" s="2"/>
      <c r="H22" s="2">
        <f>--70436.01</f>
        <v>70436.009999999995</v>
      </c>
      <c r="I22" s="2"/>
      <c r="J22" s="19"/>
      <c r="K22" s="2"/>
      <c r="L22" s="2">
        <f t="shared" si="0"/>
        <v>-7180.7499999999927</v>
      </c>
      <c r="M22" s="2"/>
      <c r="N22" s="19">
        <f t="shared" si="1"/>
        <v>-0.10194714322972004</v>
      </c>
      <c r="O22" s="11"/>
      <c r="P22" s="2">
        <f>--484720.45</f>
        <v>484720.45</v>
      </c>
      <c r="Q22" s="2"/>
      <c r="R22" s="19"/>
      <c r="S22" s="2"/>
      <c r="T22" s="2">
        <f>--448108.51</f>
        <v>448108.51</v>
      </c>
      <c r="U22" s="2"/>
      <c r="V22" s="19"/>
      <c r="W22" s="2"/>
      <c r="X22" s="2">
        <f t="shared" si="2"/>
        <v>36611.94</v>
      </c>
      <c r="Y22" s="2"/>
      <c r="Z22" s="19">
        <f t="shared" si="3"/>
        <v>8.1703291017615351E-2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--45728.68</f>
        <v>45728.68</v>
      </c>
      <c r="E23" s="2"/>
      <c r="F23" s="19"/>
      <c r="G23" s="2"/>
      <c r="H23" s="2">
        <f>--47902.06</f>
        <v>47902.06</v>
      </c>
      <c r="I23" s="2"/>
      <c r="J23" s="19"/>
      <c r="K23" s="2"/>
      <c r="L23" s="2">
        <f t="shared" si="0"/>
        <v>-2173.3799999999974</v>
      </c>
      <c r="M23" s="2"/>
      <c r="N23" s="19">
        <f t="shared" si="1"/>
        <v>-4.53713264105969E-2</v>
      </c>
      <c r="O23" s="11"/>
      <c r="P23" s="2">
        <f>--318615.94</f>
        <v>318615.94</v>
      </c>
      <c r="Q23" s="2"/>
      <c r="R23" s="19"/>
      <c r="S23" s="2"/>
      <c r="T23" s="2">
        <f>--312383.86</f>
        <v>312383.86</v>
      </c>
      <c r="U23" s="2"/>
      <c r="V23" s="19"/>
      <c r="W23" s="2"/>
      <c r="X23" s="2">
        <f t="shared" si="2"/>
        <v>6232.0800000000163</v>
      </c>
      <c r="Y23" s="2"/>
      <c r="Z23" s="19">
        <f t="shared" si="3"/>
        <v>1.9950070403765473E-2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8</v>
      </c>
      <c r="C25" s="10"/>
      <c r="D25" s="4">
        <f>SUM(OSRRefD16x_0)</f>
        <v>141406.26999999999</v>
      </c>
      <c r="E25" s="4"/>
      <c r="F25" s="12">
        <f t="shared" ref="F25:F27" si="4">IF(D$12=0,0,D25/D$12)</f>
        <v>0.3311718962846526</v>
      </c>
      <c r="G25" s="4"/>
      <c r="H25" s="4">
        <f>SUM(OSRRefH16x_0)</f>
        <v>163858.53</v>
      </c>
      <c r="I25" s="4"/>
      <c r="J25" s="12">
        <f t="shared" ref="J25:J27" si="5">IF(H$12=0,0,H25/H$12)</f>
        <v>0.315822210198624</v>
      </c>
      <c r="K25" s="4"/>
      <c r="L25" s="4">
        <f t="shared" ref="L25:L27" si="6">+D25-H25</f>
        <v>-22452.260000000009</v>
      </c>
      <c r="M25" s="4"/>
      <c r="N25" s="12">
        <f t="shared" ref="N25:N27" si="7">IF(H25=0,0,L25/H25)</f>
        <v>-0.13702222276740803</v>
      </c>
      <c r="O25" s="10"/>
      <c r="P25" s="4">
        <f>SUM(OSRRefP16x_0)</f>
        <v>1016077.86</v>
      </c>
      <c r="Q25" s="4"/>
      <c r="R25" s="12">
        <f t="shared" ref="R25:R27" si="8">IF(P$12=0,0,P25/P$12)</f>
        <v>0.32804673261676437</v>
      </c>
      <c r="S25" s="4"/>
      <c r="T25" s="4">
        <f>SUM(OSRRefT16x_0)</f>
        <v>1016033.2799999999</v>
      </c>
      <c r="U25" s="4"/>
      <c r="V25" s="12">
        <f t="shared" ref="V25:V27" si="9">IF(T$12=0,0,T25/T$12)</f>
        <v>0.31041196229858581</v>
      </c>
      <c r="W25" s="4"/>
      <c r="X25" s="4">
        <f t="shared" ref="X25:X27" si="10">+P25-T25</f>
        <v>44.580000000074506</v>
      </c>
      <c r="Y25" s="4"/>
      <c r="Z25" s="12">
        <f t="shared" ref="Z25:Z27" si="11">IF(T25=0,0,X25/T25)</f>
        <v>4.38765155409816E-5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142262.15</v>
      </c>
      <c r="E26" s="2"/>
      <c r="F26" s="19">
        <f t="shared" si="4"/>
        <v>0.33317635763273928</v>
      </c>
      <c r="G26" s="2"/>
      <c r="H26" s="2">
        <v>142903.56</v>
      </c>
      <c r="I26" s="2"/>
      <c r="J26" s="19">
        <f t="shared" si="5"/>
        <v>0.27543343739536585</v>
      </c>
      <c r="K26" s="2"/>
      <c r="L26" s="2">
        <f t="shared" si="6"/>
        <v>-641.41000000000349</v>
      </c>
      <c r="M26" s="2"/>
      <c r="N26" s="19">
        <f t="shared" si="7"/>
        <v>-4.4884116252947338E-3</v>
      </c>
      <c r="O26" s="11"/>
      <c r="P26" s="2">
        <v>1048789.43</v>
      </c>
      <c r="Q26" s="2"/>
      <c r="R26" s="19">
        <f t="shared" si="8"/>
        <v>0.33860785601065913</v>
      </c>
      <c r="S26" s="2"/>
      <c r="T26" s="2">
        <v>1042272.7</v>
      </c>
      <c r="U26" s="2"/>
      <c r="V26" s="19">
        <f t="shared" si="9"/>
        <v>0.31842846137603409</v>
      </c>
      <c r="W26" s="2"/>
      <c r="X26" s="2">
        <f t="shared" si="10"/>
        <v>6516.7299999999814</v>
      </c>
      <c r="Y26" s="2"/>
      <c r="Z26" s="19">
        <f t="shared" si="11"/>
        <v>6.2524231902073056E-3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-855.88</v>
      </c>
      <c r="E27" s="2"/>
      <c r="F27" s="19">
        <f t="shared" si="4"/>
        <v>-2.0044613480866762E-3</v>
      </c>
      <c r="G27" s="2"/>
      <c r="H27" s="2">
        <v>20954.969999999998</v>
      </c>
      <c r="I27" s="2"/>
      <c r="J27" s="19">
        <f t="shared" si="5"/>
        <v>4.0388772803258144E-2</v>
      </c>
      <c r="K27" s="2"/>
      <c r="L27" s="2">
        <f t="shared" si="6"/>
        <v>-21810.85</v>
      </c>
      <c r="M27" s="2"/>
      <c r="N27" s="19">
        <f t="shared" si="7"/>
        <v>-1.0408437711912735</v>
      </c>
      <c r="O27" s="11"/>
      <c r="P27" s="2">
        <v>-32711.57</v>
      </c>
      <c r="Q27" s="2"/>
      <c r="R27" s="19">
        <f t="shared" si="8"/>
        <v>-1.0561123393894804E-2</v>
      </c>
      <c r="S27" s="2"/>
      <c r="T27" s="2">
        <v>-26239.42</v>
      </c>
      <c r="U27" s="2"/>
      <c r="V27" s="19">
        <f t="shared" si="9"/>
        <v>-8.0164990774482872E-3</v>
      </c>
      <c r="W27" s="2"/>
      <c r="X27" s="2">
        <f t="shared" si="10"/>
        <v>-6472.1500000000015</v>
      </c>
      <c r="Y27" s="2"/>
      <c r="Z27" s="19">
        <f t="shared" si="11"/>
        <v>0.246657509960205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6</v>
      </c>
      <c r="C29" s="29"/>
      <c r="D29" s="20">
        <f>D12-D25</f>
        <v>285581.26</v>
      </c>
      <c r="E29" s="14"/>
      <c r="F29" s="21">
        <f>IF(D$12=0,0,D29/D$12)</f>
        <v>0.6688281037153474</v>
      </c>
      <c r="G29" s="14"/>
      <c r="H29" s="20">
        <f>H12-H25</f>
        <v>354973.03</v>
      </c>
      <c r="I29" s="14"/>
      <c r="J29" s="21">
        <f>IF(H$12=0,0,H29/H$12)</f>
        <v>0.684177789801376</v>
      </c>
      <c r="K29" s="15"/>
      <c r="L29" s="20">
        <f>+D29-H29</f>
        <v>-69391.770000000019</v>
      </c>
      <c r="M29" s="15"/>
      <c r="N29" s="21">
        <f>IF(H29=0,0,L29/H29)</f>
        <v>-0.19548462597285213</v>
      </c>
      <c r="O29" s="28"/>
      <c r="P29" s="20">
        <f>P12-P25</f>
        <v>2081279.19</v>
      </c>
      <c r="Q29" s="14"/>
      <c r="R29" s="21">
        <f>IF(P$12=0,0,P29/P$12)</f>
        <v>0.67195326738323569</v>
      </c>
      <c r="S29" s="14"/>
      <c r="T29" s="20">
        <f>T12-T25</f>
        <v>2257143.67</v>
      </c>
      <c r="U29" s="14"/>
      <c r="V29" s="21">
        <f>IF(T$12=0,0,T29/T$12)</f>
        <v>0.6895880377014143</v>
      </c>
      <c r="W29" s="15"/>
      <c r="X29" s="20">
        <f>+P29-T29</f>
        <v>-175864.47999999998</v>
      </c>
      <c r="Y29" s="15"/>
      <c r="Z29" s="21">
        <f>IF(T29=0,0,X29/T29)</f>
        <v>-7.7914614978850674E-2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9</v>
      </c>
      <c r="C31" s="10"/>
      <c r="D31" s="22">
        <f>SUM(OSRRefD22x_0)</f>
        <v>476931.19000000006</v>
      </c>
      <c r="E31" s="22"/>
      <c r="F31" s="33">
        <f t="shared" ref="F31:F41" si="12">IF(D$12=0,0,D31/D$12)</f>
        <v>1.1169674908304701</v>
      </c>
      <c r="G31" s="22"/>
      <c r="H31" s="22">
        <f>SUM(OSRRefH22x_0)</f>
        <v>419276.33999999997</v>
      </c>
      <c r="I31" s="22"/>
      <c r="J31" s="33">
        <f t="shared" ref="J31:J41" si="13">IF(H$12=0,0,H31/H$12)</f>
        <v>0.8081164916027852</v>
      </c>
      <c r="K31" s="4"/>
      <c r="L31" s="22">
        <f t="shared" ref="L31:L41" si="14">+D31-H31</f>
        <v>57654.850000000093</v>
      </c>
      <c r="M31" s="4"/>
      <c r="N31" s="33">
        <f t="shared" ref="N31:N41" si="15">IF(H31=0,0,L31/H31)</f>
        <v>0.13751038277046612</v>
      </c>
      <c r="O31" s="10"/>
      <c r="P31" s="22">
        <f>SUM(OSRRefP22x_0)</f>
        <v>2870088.17</v>
      </c>
      <c r="Q31" s="22"/>
      <c r="R31" s="33">
        <f t="shared" ref="R31:R41" si="16">IF(P$12=0,0,P31/P$12)</f>
        <v>0.92662490105879147</v>
      </c>
      <c r="S31" s="22"/>
      <c r="T31" s="22">
        <f>SUM(OSRRefT22x_0)</f>
        <v>2638380.6800000002</v>
      </c>
      <c r="U31" s="22"/>
      <c r="V31" s="33">
        <f t="shared" ref="V31:V41" si="17">IF(T$12=0,0,T31/T$12)</f>
        <v>0.80606112052695478</v>
      </c>
      <c r="W31" s="4"/>
      <c r="X31" s="22">
        <f t="shared" ref="X31:X41" si="18">+P31-T31</f>
        <v>231707.48999999976</v>
      </c>
      <c r="Y31" s="4"/>
      <c r="Z31" s="33">
        <f t="shared" ref="Z31:Z41" si="19">IF(T31=0,0,X31/T31)</f>
        <v>8.7821856700375678E-2</v>
      </c>
    </row>
    <row r="32" spans="1:26" s="27" customFormat="1" outlineLevel="1" collapsed="1" x14ac:dyDescent="0.25">
      <c r="A32" s="25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66256.01999999999</v>
      </c>
      <c r="E32" s="1"/>
      <c r="F32" s="5">
        <f t="shared" si="12"/>
        <v>0.15517085475540701</v>
      </c>
      <c r="G32" s="1"/>
      <c r="H32" s="1">
        <f>SUM(OSRRefH22_0x_0)</f>
        <v>58392.040000000008</v>
      </c>
      <c r="I32" s="1"/>
      <c r="J32" s="5">
        <f t="shared" si="13"/>
        <v>0.11254527384571596</v>
      </c>
      <c r="K32" s="1"/>
      <c r="L32" s="1">
        <f t="shared" si="14"/>
        <v>7863.9799999999814</v>
      </c>
      <c r="M32" s="1"/>
      <c r="N32" s="5">
        <f t="shared" si="15"/>
        <v>0.13467554824253408</v>
      </c>
      <c r="O32" s="13"/>
      <c r="P32" s="1">
        <f>SUM(OSRRefP22_0x_0)</f>
        <v>406949.24</v>
      </c>
      <c r="Q32" s="1"/>
      <c r="R32" s="5">
        <f t="shared" si="16"/>
        <v>0.13138596339740682</v>
      </c>
      <c r="S32" s="1"/>
      <c r="T32" s="1">
        <f>SUM(OSRRefT22_0x_0)</f>
        <v>359444.76</v>
      </c>
      <c r="U32" s="1"/>
      <c r="V32" s="5">
        <f t="shared" si="17"/>
        <v>0.10981525456483494</v>
      </c>
      <c r="W32" s="1"/>
      <c r="X32" s="1">
        <f t="shared" si="18"/>
        <v>47504.479999999981</v>
      </c>
      <c r="Y32" s="1"/>
      <c r="Z32" s="5">
        <f t="shared" si="19"/>
        <v>0.13216072478007462</v>
      </c>
    </row>
    <row r="33" spans="1:26" s="24" customFormat="1" hidden="1" outlineLevel="2" x14ac:dyDescent="0.25">
      <c r="A33" s="26"/>
      <c r="B33" s="11" t="str">
        <f>CONCATENATE("          ", "6111", " - ", "F.I.C.A.")</f>
        <v xml:space="preserve">          6111 - F.I.C.A.</v>
      </c>
      <c r="C33" s="11"/>
      <c r="D33" s="6">
        <v>10789</v>
      </c>
      <c r="E33" s="2"/>
      <c r="F33" s="7">
        <f t="shared" si="12"/>
        <v>2.5267716834728175E-2</v>
      </c>
      <c r="G33" s="2"/>
      <c r="H33" s="6">
        <v>8521.92</v>
      </c>
      <c r="I33" s="2"/>
      <c r="J33" s="7">
        <f t="shared" si="13"/>
        <v>1.6425215150751432E-2</v>
      </c>
      <c r="K33" s="2"/>
      <c r="L33" s="6">
        <f t="shared" si="14"/>
        <v>2267.08</v>
      </c>
      <c r="M33" s="2"/>
      <c r="N33" s="7">
        <f t="shared" si="15"/>
        <v>0.26602925162404717</v>
      </c>
      <c r="O33" s="11"/>
      <c r="P33" s="6">
        <v>80115.37999999999</v>
      </c>
      <c r="Q33" s="2"/>
      <c r="R33" s="7">
        <f t="shared" si="16"/>
        <v>2.5865723165496853E-2</v>
      </c>
      <c r="S33" s="2"/>
      <c r="T33" s="6">
        <v>69532.14</v>
      </c>
      <c r="U33" s="2"/>
      <c r="V33" s="7">
        <f t="shared" si="17"/>
        <v>2.124301284719728E-2</v>
      </c>
      <c r="W33" s="2"/>
      <c r="X33" s="6">
        <f t="shared" si="18"/>
        <v>10583.239999999991</v>
      </c>
      <c r="Y33" s="2"/>
      <c r="Z33" s="7">
        <f t="shared" si="19"/>
        <v>0.15220644726309288</v>
      </c>
    </row>
    <row r="34" spans="1:26" s="24" customFormat="1" hidden="1" outlineLevel="2" x14ac:dyDescent="0.25">
      <c r="A34" s="26"/>
      <c r="B34" s="11" t="str">
        <f>CONCATENATE("          ", "6112", " - ", "COMPENSATION INSURANCE")</f>
        <v xml:space="preserve">          6112 - COMPENSATION INSURANCE</v>
      </c>
      <c r="C34" s="11"/>
      <c r="D34" s="6">
        <v>10783.32</v>
      </c>
      <c r="E34" s="2"/>
      <c r="F34" s="7">
        <f t="shared" si="12"/>
        <v>2.5254414338517099E-2</v>
      </c>
      <c r="G34" s="2"/>
      <c r="H34" s="6">
        <v>9026.06</v>
      </c>
      <c r="I34" s="2"/>
      <c r="J34" s="7">
        <f t="shared" si="13"/>
        <v>1.7396898523289524E-2</v>
      </c>
      <c r="K34" s="2"/>
      <c r="L34" s="6">
        <f t="shared" si="14"/>
        <v>1757.2600000000002</v>
      </c>
      <c r="M34" s="2"/>
      <c r="N34" s="7">
        <f t="shared" si="15"/>
        <v>0.19468738297773339</v>
      </c>
      <c r="O34" s="11"/>
      <c r="P34" s="6">
        <v>37980.009999999995</v>
      </c>
      <c r="Q34" s="2"/>
      <c r="R34" s="7">
        <f t="shared" si="16"/>
        <v>1.2262070335094237E-2</v>
      </c>
      <c r="S34" s="2"/>
      <c r="T34" s="6">
        <v>45710.049999999996</v>
      </c>
      <c r="U34" s="2"/>
      <c r="V34" s="7">
        <f t="shared" si="17"/>
        <v>1.3965040906205818E-2</v>
      </c>
      <c r="W34" s="2"/>
      <c r="X34" s="6">
        <f t="shared" si="18"/>
        <v>-7730.0400000000009</v>
      </c>
      <c r="Y34" s="2"/>
      <c r="Z34" s="7">
        <f t="shared" si="19"/>
        <v>-0.16911029412569012</v>
      </c>
    </row>
    <row r="35" spans="1:26" s="24" customFormat="1" hidden="1" outlineLevel="2" x14ac:dyDescent="0.25">
      <c r="A35" s="26"/>
      <c r="B35" s="11" t="str">
        <f>CONCATENATE("          ", "6113", " - ", "GROUP INSURANCE")</f>
        <v xml:space="preserve">          6113 - GROUP INSURANCE</v>
      </c>
      <c r="C35" s="11"/>
      <c r="D35" s="6">
        <v>23214.5</v>
      </c>
      <c r="E35" s="2"/>
      <c r="F35" s="7">
        <f t="shared" si="12"/>
        <v>5.4368098290832993E-2</v>
      </c>
      <c r="G35" s="2"/>
      <c r="H35" s="6">
        <v>22786.9</v>
      </c>
      <c r="I35" s="2"/>
      <c r="J35" s="7">
        <f t="shared" si="13"/>
        <v>4.3919648989741489E-2</v>
      </c>
      <c r="K35" s="2"/>
      <c r="L35" s="6">
        <f t="shared" si="14"/>
        <v>427.59999999999854</v>
      </c>
      <c r="M35" s="2"/>
      <c r="N35" s="7">
        <f t="shared" si="15"/>
        <v>1.8765167706006457E-2</v>
      </c>
      <c r="O35" s="11"/>
      <c r="P35" s="6">
        <v>128990.09999999999</v>
      </c>
      <c r="Q35" s="2"/>
      <c r="R35" s="7">
        <f t="shared" si="16"/>
        <v>4.164521490991812E-2</v>
      </c>
      <c r="S35" s="2"/>
      <c r="T35" s="6">
        <v>124227.68</v>
      </c>
      <c r="U35" s="2"/>
      <c r="V35" s="7">
        <f t="shared" si="17"/>
        <v>3.7953242949483684E-2</v>
      </c>
      <c r="W35" s="2"/>
      <c r="X35" s="6">
        <f t="shared" si="18"/>
        <v>4762.4199999999983</v>
      </c>
      <c r="Y35" s="2"/>
      <c r="Z35" s="7">
        <f t="shared" si="19"/>
        <v>3.8336222651827664E-2</v>
      </c>
    </row>
    <row r="36" spans="1:26" s="24" customFormat="1" hidden="1" outlineLevel="2" x14ac:dyDescent="0.25">
      <c r="A36" s="26"/>
      <c r="B36" s="11" t="str">
        <f>CONCATENATE("          ", "6114", " - ", "STATE UNEMPLOYMENT INSURANCE")</f>
        <v xml:space="preserve">          6114 - STATE UNEMPLOYMENT INSURANCE</v>
      </c>
      <c r="C36" s="11"/>
      <c r="D36" s="6">
        <v>778.25</v>
      </c>
      <c r="E36" s="2"/>
      <c r="F36" s="7">
        <f t="shared" si="12"/>
        <v>1.8226527599061266E-3</v>
      </c>
      <c r="G36" s="2"/>
      <c r="H36" s="6">
        <v>683.22</v>
      </c>
      <c r="I36" s="2"/>
      <c r="J36" s="7">
        <f t="shared" si="13"/>
        <v>1.3168435628703851E-3</v>
      </c>
      <c r="K36" s="2"/>
      <c r="L36" s="6">
        <f t="shared" si="14"/>
        <v>95.029999999999973</v>
      </c>
      <c r="M36" s="2"/>
      <c r="N36" s="7">
        <f t="shared" si="15"/>
        <v>0.13909136149410142</v>
      </c>
      <c r="O36" s="11"/>
      <c r="P36" s="6">
        <v>3678.35</v>
      </c>
      <c r="Q36" s="2"/>
      <c r="R36" s="7">
        <f t="shared" si="16"/>
        <v>1.1875770021412288E-3</v>
      </c>
      <c r="S36" s="2"/>
      <c r="T36" s="6">
        <v>3469.53</v>
      </c>
      <c r="U36" s="2"/>
      <c r="V36" s="7">
        <f t="shared" si="17"/>
        <v>1.0599885227714318E-3</v>
      </c>
      <c r="W36" s="2"/>
      <c r="X36" s="6">
        <f t="shared" si="18"/>
        <v>208.81999999999971</v>
      </c>
      <c r="Y36" s="2"/>
      <c r="Z36" s="7">
        <f t="shared" si="19"/>
        <v>6.0186826457762202E-2</v>
      </c>
    </row>
    <row r="37" spans="1:26" s="24" customFormat="1" hidden="1" outlineLevel="2" x14ac:dyDescent="0.25">
      <c r="A37" s="26"/>
      <c r="B37" s="11" t="str">
        <f>CONCATENATE("          ", "6115", " - ", "P.E.R.S.")</f>
        <v xml:space="preserve">          6115 - P.E.R.S.</v>
      </c>
      <c r="C37" s="11"/>
      <c r="D37" s="6">
        <v>6762.88</v>
      </c>
      <c r="E37" s="2"/>
      <c r="F37" s="7">
        <f t="shared" si="12"/>
        <v>1.5838589009847664E-2</v>
      </c>
      <c r="G37" s="2"/>
      <c r="H37" s="6">
        <v>5917.44</v>
      </c>
      <c r="I37" s="2"/>
      <c r="J37" s="7">
        <f t="shared" si="13"/>
        <v>1.1405320061871331E-2</v>
      </c>
      <c r="K37" s="2"/>
      <c r="L37" s="6">
        <f t="shared" si="14"/>
        <v>845.44000000000051</v>
      </c>
      <c r="M37" s="2"/>
      <c r="N37" s="7">
        <f t="shared" si="15"/>
        <v>0.14287259355396939</v>
      </c>
      <c r="O37" s="11"/>
      <c r="P37" s="6">
        <v>42308.88</v>
      </c>
      <c r="Q37" s="2"/>
      <c r="R37" s="7">
        <f t="shared" si="16"/>
        <v>1.3659671557723706E-2</v>
      </c>
      <c r="S37" s="2"/>
      <c r="T37" s="6">
        <v>41856.68</v>
      </c>
      <c r="U37" s="2"/>
      <c r="V37" s="7">
        <f t="shared" si="17"/>
        <v>1.278778405182158E-2</v>
      </c>
      <c r="W37" s="2"/>
      <c r="X37" s="6">
        <f t="shared" si="18"/>
        <v>452.19999999999709</v>
      </c>
      <c r="Y37" s="2"/>
      <c r="Z37" s="7">
        <f t="shared" si="19"/>
        <v>1.0803532434966106E-2</v>
      </c>
    </row>
    <row r="38" spans="1:26" s="24" customFormat="1" hidden="1" outlineLevel="2" x14ac:dyDescent="0.25">
      <c r="A38" s="26"/>
      <c r="B38" s="11" t="str">
        <f>CONCATENATE("          ", "6117", " - ", "RETIREMENT STAFF HOURLY")</f>
        <v xml:space="preserve">          6117 - RETIREMENT STAFF HOURLY</v>
      </c>
      <c r="C38" s="11"/>
      <c r="D38" s="6">
        <v>56</v>
      </c>
      <c r="E38" s="2"/>
      <c r="F38" s="7">
        <f t="shared" si="12"/>
        <v>1.3115137109507625E-4</v>
      </c>
      <c r="G38" s="2"/>
      <c r="H38" s="6">
        <v>56</v>
      </c>
      <c r="I38" s="2"/>
      <c r="J38" s="7">
        <f t="shared" si="13"/>
        <v>1.079348372716571E-4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364</v>
      </c>
      <c r="Q38" s="2"/>
      <c r="R38" s="7">
        <f t="shared" si="16"/>
        <v>1.1751954783514546E-4</v>
      </c>
      <c r="S38" s="2"/>
      <c r="T38" s="6">
        <v>364</v>
      </c>
      <c r="U38" s="2"/>
      <c r="V38" s="7">
        <f t="shared" si="17"/>
        <v>1.112069422339052E-4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6">
        <v>6258.93</v>
      </c>
      <c r="E39" s="2"/>
      <c r="F39" s="7">
        <f t="shared" si="12"/>
        <v>1.4658343769430458E-2</v>
      </c>
      <c r="G39" s="2"/>
      <c r="H39" s="6">
        <v>5140.93</v>
      </c>
      <c r="I39" s="2"/>
      <c r="J39" s="7">
        <f t="shared" si="13"/>
        <v>9.9086686245532171E-3</v>
      </c>
      <c r="K39" s="2"/>
      <c r="L39" s="6">
        <f t="shared" si="14"/>
        <v>1118</v>
      </c>
      <c r="M39" s="2"/>
      <c r="N39" s="7">
        <f t="shared" si="15"/>
        <v>0.21747037987290235</v>
      </c>
      <c r="O39" s="11"/>
      <c r="P39" s="6">
        <v>45171.65</v>
      </c>
      <c r="Q39" s="2"/>
      <c r="R39" s="7">
        <f t="shared" si="16"/>
        <v>1.4583933744416067E-2</v>
      </c>
      <c r="S39" s="2"/>
      <c r="T39" s="6">
        <v>36091.020000000004</v>
      </c>
      <c r="U39" s="2"/>
      <c r="V39" s="7">
        <f t="shared" si="17"/>
        <v>1.102629663819428E-2</v>
      </c>
      <c r="W39" s="2"/>
      <c r="X39" s="6">
        <f t="shared" si="18"/>
        <v>9080.6299999999974</v>
      </c>
      <c r="Y39" s="2"/>
      <c r="Z39" s="7">
        <f t="shared" si="19"/>
        <v>0.25160358449276293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6">
        <v>4772.6000000000004</v>
      </c>
      <c r="E40" s="2"/>
      <c r="F40" s="7">
        <f t="shared" si="12"/>
        <v>1.1177375601577874E-2</v>
      </c>
      <c r="G40" s="2"/>
      <c r="H40" s="6">
        <v>3951.7</v>
      </c>
      <c r="I40" s="2"/>
      <c r="J40" s="7">
        <f t="shared" si="13"/>
        <v>7.6165374365429889E-3</v>
      </c>
      <c r="K40" s="2"/>
      <c r="L40" s="6">
        <f t="shared" si="14"/>
        <v>820.90000000000055</v>
      </c>
      <c r="M40" s="2"/>
      <c r="N40" s="7">
        <f t="shared" si="15"/>
        <v>0.20773338057038757</v>
      </c>
      <c r="O40" s="11"/>
      <c r="P40" s="6">
        <v>52686.720000000001</v>
      </c>
      <c r="Q40" s="2"/>
      <c r="R40" s="7">
        <f t="shared" si="16"/>
        <v>1.7010218437683834E-2</v>
      </c>
      <c r="S40" s="2"/>
      <c r="T40" s="6">
        <v>21617.550000000003</v>
      </c>
      <c r="U40" s="2"/>
      <c r="V40" s="7">
        <f t="shared" si="17"/>
        <v>6.6044550387048288E-3</v>
      </c>
      <c r="W40" s="2"/>
      <c r="X40" s="6">
        <f t="shared" si="18"/>
        <v>31069.17</v>
      </c>
      <c r="Y40" s="2"/>
      <c r="Z40" s="7">
        <f t="shared" si="19"/>
        <v>1.4372197589458562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6">
        <v>2840.54</v>
      </c>
      <c r="E41" s="2"/>
      <c r="F41" s="7">
        <f t="shared" si="12"/>
        <v>6.6525127794715691E-3</v>
      </c>
      <c r="G41" s="2"/>
      <c r="H41" s="6">
        <v>2307.87</v>
      </c>
      <c r="I41" s="2"/>
      <c r="J41" s="7">
        <f t="shared" si="13"/>
        <v>4.4482066588239152E-3</v>
      </c>
      <c r="K41" s="2"/>
      <c r="L41" s="6">
        <f t="shared" si="14"/>
        <v>532.67000000000007</v>
      </c>
      <c r="M41" s="2"/>
      <c r="N41" s="7">
        <f t="shared" si="15"/>
        <v>0.23080589461278153</v>
      </c>
      <c r="O41" s="11"/>
      <c r="P41" s="6">
        <v>15654.150000000001</v>
      </c>
      <c r="Q41" s="2"/>
      <c r="R41" s="7">
        <f t="shared" si="16"/>
        <v>5.0540346970976441E-3</v>
      </c>
      <c r="S41" s="2"/>
      <c r="T41" s="6">
        <v>16576.11</v>
      </c>
      <c r="U41" s="2"/>
      <c r="V41" s="7">
        <f t="shared" si="17"/>
        <v>5.0642266682221389E-3</v>
      </c>
      <c r="W41" s="2"/>
      <c r="X41" s="6">
        <f t="shared" si="18"/>
        <v>-921.95999999999913</v>
      </c>
      <c r="Y41" s="2"/>
      <c r="Z41" s="7">
        <f t="shared" si="19"/>
        <v>-5.5619804646566601E-2</v>
      </c>
    </row>
    <row r="42" spans="1:26" s="27" customFormat="1" outlineLevel="1" collapsed="1" x14ac:dyDescent="0.25">
      <c r="A42" s="25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189034.99000000002</v>
      </c>
      <c r="E42" s="1"/>
      <c r="F42" s="5">
        <f t="shared" ref="F42:F49" si="20">IF(D$12=0,0,D42/D$12)</f>
        <v>0.44271782363292911</v>
      </c>
      <c r="G42" s="1"/>
      <c r="H42" s="1">
        <f>SUM(OSRRefH22_1x_0)</f>
        <v>173058.03</v>
      </c>
      <c r="I42" s="1"/>
      <c r="J42" s="5">
        <f t="shared" ref="J42:J49" si="21">IF(H$12=0,0,H42/H$12)</f>
        <v>0.33355339833220632</v>
      </c>
      <c r="K42" s="1"/>
      <c r="L42" s="1">
        <f t="shared" ref="L42:L49" si="22">+D42-H42</f>
        <v>15976.960000000021</v>
      </c>
      <c r="M42" s="1"/>
      <c r="N42" s="5">
        <f t="shared" ref="N42:N49" si="23">IF(H42=0,0,L42/H42)</f>
        <v>9.2321402248714032E-2</v>
      </c>
      <c r="O42" s="13"/>
      <c r="P42" s="1">
        <f>SUM(OSRRefP22_1x_0)</f>
        <v>1292102.8299999998</v>
      </c>
      <c r="Q42" s="1"/>
      <c r="R42" s="5">
        <f t="shared" ref="R42:R49" si="24">IF(P$12=0,0,P42/P$12)</f>
        <v>0.41716302290690055</v>
      </c>
      <c r="S42" s="1"/>
      <c r="T42" s="1">
        <f>SUM(OSRRefT22_1x_0)</f>
        <v>1172322.17</v>
      </c>
      <c r="U42" s="1"/>
      <c r="V42" s="5">
        <f t="shared" ref="V42:V49" si="25">IF(T$12=0,0,T42/T$12)</f>
        <v>0.35816034021625381</v>
      </c>
      <c r="W42" s="1"/>
      <c r="X42" s="1">
        <f t="shared" ref="X42:X49" si="26">+P42-T42</f>
        <v>119780.65999999992</v>
      </c>
      <c r="Y42" s="1"/>
      <c r="Z42" s="5">
        <f t="shared" ref="Z42:Z49" si="27">IF(T42=0,0,X42/T42)</f>
        <v>0.102173841854411</v>
      </c>
    </row>
    <row r="43" spans="1:26" s="24" customFormat="1" hidden="1" outlineLevel="2" x14ac:dyDescent="0.25">
      <c r="A43" s="26"/>
      <c r="B43" s="11" t="str">
        <f>CONCATENATE("          ", "6001", " - ", "ADMINISTRATIVE SALARIES")</f>
        <v xml:space="preserve">          6001 - ADMINISTRATIVE SALARIES</v>
      </c>
      <c r="C43" s="11"/>
      <c r="D43" s="6">
        <v>17492.32</v>
      </c>
      <c r="E43" s="2"/>
      <c r="F43" s="7">
        <f t="shared" si="20"/>
        <v>4.0966816993461143E-2</v>
      </c>
      <c r="G43" s="2"/>
      <c r="H43" s="6">
        <v>17011.02</v>
      </c>
      <c r="I43" s="2"/>
      <c r="J43" s="7">
        <f t="shared" si="21"/>
        <v>3.2787172777230436E-2</v>
      </c>
      <c r="K43" s="2"/>
      <c r="L43" s="6">
        <f t="shared" si="22"/>
        <v>481.29999999999927</v>
      </c>
      <c r="M43" s="2"/>
      <c r="N43" s="7">
        <f t="shared" si="23"/>
        <v>2.8293423909912473E-2</v>
      </c>
      <c r="O43" s="11"/>
      <c r="P43" s="6">
        <v>104234.41</v>
      </c>
      <c r="Q43" s="2"/>
      <c r="R43" s="7">
        <f t="shared" si="24"/>
        <v>3.3652694318854849E-2</v>
      </c>
      <c r="S43" s="2"/>
      <c r="T43" s="6">
        <v>98497.22</v>
      </c>
      <c r="U43" s="2"/>
      <c r="V43" s="7">
        <f t="shared" si="25"/>
        <v>3.0092238062473221E-2</v>
      </c>
      <c r="W43" s="2"/>
      <c r="X43" s="6">
        <f t="shared" si="26"/>
        <v>5737.1900000000023</v>
      </c>
      <c r="Y43" s="2"/>
      <c r="Z43" s="7">
        <f t="shared" si="27"/>
        <v>5.8247227688253557E-2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6">
        <v>59259.250000000007</v>
      </c>
      <c r="E44" s="2"/>
      <c r="F44" s="7">
        <f t="shared" si="20"/>
        <v>0.13878449799224818</v>
      </c>
      <c r="G44" s="2"/>
      <c r="H44" s="6">
        <v>54641.53</v>
      </c>
      <c r="I44" s="2"/>
      <c r="J44" s="7">
        <f t="shared" si="21"/>
        <v>0.10531651158614946</v>
      </c>
      <c r="K44" s="2"/>
      <c r="L44" s="6">
        <f t="shared" si="22"/>
        <v>4617.7200000000084</v>
      </c>
      <c r="M44" s="2"/>
      <c r="N44" s="7">
        <f t="shared" si="23"/>
        <v>8.4509346645308223E-2</v>
      </c>
      <c r="O44" s="11"/>
      <c r="P44" s="6">
        <v>360124.69</v>
      </c>
      <c r="Q44" s="2"/>
      <c r="R44" s="7">
        <f t="shared" si="24"/>
        <v>0.116268381134813</v>
      </c>
      <c r="S44" s="2"/>
      <c r="T44" s="6">
        <v>340438.72</v>
      </c>
      <c r="U44" s="2"/>
      <c r="V44" s="7">
        <f t="shared" si="25"/>
        <v>0.10400865128907864</v>
      </c>
      <c r="W44" s="2"/>
      <c r="X44" s="6">
        <f t="shared" si="26"/>
        <v>19685.97000000003</v>
      </c>
      <c r="Y44" s="2"/>
      <c r="Z44" s="7">
        <f t="shared" si="27"/>
        <v>5.7825296723005043E-2</v>
      </c>
    </row>
    <row r="45" spans="1:26" s="24" customFormat="1" hidden="1" outlineLevel="2" x14ac:dyDescent="0.25">
      <c r="A45" s="26"/>
      <c r="B45" s="11" t="str">
        <f>CONCATENATE("          ", "6004", " - ", "STAFF HOURLY")</f>
        <v xml:space="preserve">          6004 - STAFF HOURLY</v>
      </c>
      <c r="C45" s="11"/>
      <c r="D45" s="6">
        <v>18447.240000000002</v>
      </c>
      <c r="E45" s="2"/>
      <c r="F45" s="7">
        <f t="shared" si="20"/>
        <v>4.3203228909284547E-2</v>
      </c>
      <c r="G45" s="2"/>
      <c r="H45" s="6">
        <v>12178.02</v>
      </c>
      <c r="I45" s="2"/>
      <c r="J45" s="7">
        <f t="shared" si="21"/>
        <v>2.3472010839124743E-2</v>
      </c>
      <c r="K45" s="2"/>
      <c r="L45" s="6">
        <f t="shared" si="22"/>
        <v>6269.2200000000012</v>
      </c>
      <c r="M45" s="2"/>
      <c r="N45" s="7">
        <f t="shared" si="23"/>
        <v>0.51479797208413203</v>
      </c>
      <c r="O45" s="11"/>
      <c r="P45" s="6">
        <v>121837.99</v>
      </c>
      <c r="Q45" s="2"/>
      <c r="R45" s="7">
        <f t="shared" si="24"/>
        <v>3.9336113994348831E-2</v>
      </c>
      <c r="S45" s="2"/>
      <c r="T45" s="6">
        <v>83400.97</v>
      </c>
      <c r="U45" s="2"/>
      <c r="V45" s="7">
        <f t="shared" si="25"/>
        <v>2.5480128717147423E-2</v>
      </c>
      <c r="W45" s="2"/>
      <c r="X45" s="6">
        <f t="shared" si="26"/>
        <v>38437.020000000004</v>
      </c>
      <c r="Y45" s="2"/>
      <c r="Z45" s="7">
        <f t="shared" si="27"/>
        <v>0.46087017932765056</v>
      </c>
    </row>
    <row r="46" spans="1:26" s="24" customFormat="1" hidden="1" outlineLevel="2" x14ac:dyDescent="0.25">
      <c r="A46" s="26"/>
      <c r="B46" s="11" t="str">
        <f>CONCATENATE("          ", "6005", " - ", "TEMPORARY WAGES-HOURLY")</f>
        <v xml:space="preserve">          6005 - TEMPORARY WAGES-HOURLY</v>
      </c>
      <c r="C46" s="11"/>
      <c r="D46" s="6">
        <v>39760.07</v>
      </c>
      <c r="E46" s="2"/>
      <c r="F46" s="7">
        <f t="shared" si="20"/>
        <v>9.311763741671801E-2</v>
      </c>
      <c r="G46" s="2"/>
      <c r="H46" s="6">
        <v>27036.870000000003</v>
      </c>
      <c r="I46" s="2"/>
      <c r="J46" s="7">
        <f t="shared" si="21"/>
        <v>5.2111074353302644E-2</v>
      </c>
      <c r="K46" s="2"/>
      <c r="L46" s="6">
        <f t="shared" si="22"/>
        <v>12723.199999999997</v>
      </c>
      <c r="M46" s="2"/>
      <c r="N46" s="7">
        <f t="shared" si="23"/>
        <v>0.47058701691430982</v>
      </c>
      <c r="O46" s="11"/>
      <c r="P46" s="6">
        <v>275689.56</v>
      </c>
      <c r="Q46" s="2"/>
      <c r="R46" s="7">
        <f t="shared" si="24"/>
        <v>8.900800119250056E-2</v>
      </c>
      <c r="S46" s="2"/>
      <c r="T46" s="6">
        <v>214608.65000000002</v>
      </c>
      <c r="U46" s="2"/>
      <c r="V46" s="7">
        <f t="shared" si="25"/>
        <v>6.5565856438039513E-2</v>
      </c>
      <c r="W46" s="2"/>
      <c r="X46" s="6">
        <f t="shared" si="26"/>
        <v>61080.909999999974</v>
      </c>
      <c r="Y46" s="2"/>
      <c r="Z46" s="7">
        <f t="shared" si="27"/>
        <v>0.28461532188940181</v>
      </c>
    </row>
    <row r="47" spans="1:26" s="24" customFormat="1" hidden="1" outlineLevel="2" x14ac:dyDescent="0.25">
      <c r="A47" s="26"/>
      <c r="B47" s="11" t="str">
        <f>CONCATENATE("          ", "6006", " - ", "TEMPORARY PART TIME")</f>
        <v xml:space="preserve">          6006 - TEMPORARY PART TIME</v>
      </c>
      <c r="C47" s="11"/>
      <c r="D47" s="6">
        <v>568.75</v>
      </c>
      <c r="E47" s="2"/>
      <c r="F47" s="7">
        <f t="shared" si="20"/>
        <v>1.3320061126843681E-3</v>
      </c>
      <c r="G47" s="2"/>
      <c r="H47" s="6">
        <v>945.01</v>
      </c>
      <c r="I47" s="2"/>
      <c r="J47" s="7">
        <f t="shared" si="21"/>
        <v>1.821419653037298E-3</v>
      </c>
      <c r="K47" s="2"/>
      <c r="L47" s="6">
        <f t="shared" si="22"/>
        <v>-376.26</v>
      </c>
      <c r="M47" s="2"/>
      <c r="N47" s="7">
        <f t="shared" si="23"/>
        <v>-0.39815451688341924</v>
      </c>
      <c r="O47" s="11"/>
      <c r="P47" s="6">
        <v>10642.65</v>
      </c>
      <c r="Q47" s="2"/>
      <c r="R47" s="7">
        <f t="shared" si="24"/>
        <v>3.4360423510101943E-3</v>
      </c>
      <c r="S47" s="2"/>
      <c r="T47" s="6">
        <v>5711.94</v>
      </c>
      <c r="U47" s="2"/>
      <c r="V47" s="7">
        <f t="shared" si="25"/>
        <v>1.7450752242404739E-3</v>
      </c>
      <c r="W47" s="2"/>
      <c r="X47" s="6">
        <f t="shared" si="26"/>
        <v>4930.71</v>
      </c>
      <c r="Y47" s="2"/>
      <c r="Z47" s="7">
        <f t="shared" si="27"/>
        <v>0.86322860534249313</v>
      </c>
    </row>
    <row r="48" spans="1:26" s="24" customFormat="1" hidden="1" outlineLevel="2" x14ac:dyDescent="0.25">
      <c r="A48" s="26"/>
      <c r="B48" s="11" t="str">
        <f>CONCATENATE("          ", "6007", " - ", "STUDENT HOURLY")</f>
        <v xml:space="preserve">          6007 - STUDENT HOURLY</v>
      </c>
      <c r="C48" s="11"/>
      <c r="D48" s="6">
        <v>50087.950000000004</v>
      </c>
      <c r="E48" s="2"/>
      <c r="F48" s="7">
        <f t="shared" si="20"/>
        <v>0.11730541639002902</v>
      </c>
      <c r="G48" s="2"/>
      <c r="H48" s="6">
        <v>56281.270000000004</v>
      </c>
      <c r="I48" s="2"/>
      <c r="J48" s="7">
        <f t="shared" si="21"/>
        <v>0.10847695926593209</v>
      </c>
      <c r="K48" s="2"/>
      <c r="L48" s="6">
        <f t="shared" si="22"/>
        <v>-6193.32</v>
      </c>
      <c r="M48" s="2"/>
      <c r="N48" s="7">
        <f t="shared" si="23"/>
        <v>-0.11004229293333287</v>
      </c>
      <c r="O48" s="11"/>
      <c r="P48" s="6">
        <v>398062.86</v>
      </c>
      <c r="Q48" s="2"/>
      <c r="R48" s="7">
        <f t="shared" si="24"/>
        <v>0.12851694317902421</v>
      </c>
      <c r="S48" s="2"/>
      <c r="T48" s="6">
        <v>391717.61</v>
      </c>
      <c r="U48" s="2"/>
      <c r="V48" s="7">
        <f t="shared" si="25"/>
        <v>0.1196750484265753</v>
      </c>
      <c r="W48" s="2"/>
      <c r="X48" s="6">
        <f t="shared" si="26"/>
        <v>6345.25</v>
      </c>
      <c r="Y48" s="2"/>
      <c r="Z48" s="7">
        <f t="shared" si="27"/>
        <v>1.6198531385913439E-2</v>
      </c>
    </row>
    <row r="49" spans="1:26" s="24" customFormat="1" hidden="1" outlineLevel="2" x14ac:dyDescent="0.25">
      <c r="A49" s="26"/>
      <c r="B49" s="11" t="str">
        <f>CONCATENATE("          ", "6008", " - ", "STUDENT HOURLY-FICA EXEMPT")</f>
        <v xml:space="preserve">          6008 - STUDENT HOURLY-FICA EXEMPT</v>
      </c>
      <c r="C49" s="11"/>
      <c r="D49" s="6">
        <v>3419.41</v>
      </c>
      <c r="E49" s="2"/>
      <c r="F49" s="7">
        <f t="shared" si="20"/>
        <v>8.0082198185038329E-3</v>
      </c>
      <c r="G49" s="2"/>
      <c r="H49" s="6">
        <v>4964.3100000000004</v>
      </c>
      <c r="I49" s="2"/>
      <c r="J49" s="7">
        <f t="shared" si="21"/>
        <v>9.5682498574296455E-3</v>
      </c>
      <c r="K49" s="2"/>
      <c r="L49" s="6">
        <f t="shared" si="22"/>
        <v>-1544.9000000000005</v>
      </c>
      <c r="M49" s="2"/>
      <c r="N49" s="7">
        <f t="shared" si="23"/>
        <v>-0.31120135527394549</v>
      </c>
      <c r="O49" s="11"/>
      <c r="P49" s="6">
        <v>21510.670000000002</v>
      </c>
      <c r="Q49" s="2"/>
      <c r="R49" s="7">
        <f t="shared" si="24"/>
        <v>6.9448467363489794E-3</v>
      </c>
      <c r="S49" s="2"/>
      <c r="T49" s="6">
        <v>37947.06</v>
      </c>
      <c r="U49" s="2"/>
      <c r="V49" s="7">
        <f t="shared" si="25"/>
        <v>1.1593342058699271E-2</v>
      </c>
      <c r="W49" s="2"/>
      <c r="X49" s="6">
        <f t="shared" si="26"/>
        <v>-16436.389999999996</v>
      </c>
      <c r="Y49" s="2"/>
      <c r="Z49" s="7">
        <f t="shared" si="27"/>
        <v>-0.43314001137374009</v>
      </c>
    </row>
    <row r="50" spans="1:26" s="27" customFormat="1" outlineLevel="1" collapsed="1" x14ac:dyDescent="0.25">
      <c r="A50" s="25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2704.43</v>
      </c>
      <c r="E50" s="1"/>
      <c r="F50" s="5">
        <f t="shared" ref="F50:F59" si="28">IF(D$12=0,0,D50/D$12)</f>
        <v>6.3337446880474477E-3</v>
      </c>
      <c r="G50" s="1"/>
      <c r="H50" s="1">
        <f>SUM(OSRRefH22_2x_0)</f>
        <v>968.44</v>
      </c>
      <c r="I50" s="1"/>
      <c r="J50" s="5">
        <f t="shared" ref="J50:J59" si="29">IF(H$12=0,0,H50/H$12)</f>
        <v>1.8665788179886361E-3</v>
      </c>
      <c r="K50" s="1"/>
      <c r="L50" s="1">
        <f t="shared" ref="L50:L59" si="30">+D50-H50</f>
        <v>1735.9899999999998</v>
      </c>
      <c r="M50" s="1"/>
      <c r="N50" s="5">
        <f t="shared" ref="N50:N59" si="31">IF(H50=0,0,L50/H50)</f>
        <v>1.7925632976746104</v>
      </c>
      <c r="O50" s="13"/>
      <c r="P50" s="1">
        <f>SUM(OSRRefP22_2x_0)</f>
        <v>19641.43</v>
      </c>
      <c r="Q50" s="1"/>
      <c r="R50" s="5">
        <f t="shared" ref="R50:R59" si="32">IF(P$12=0,0,P50/P$12)</f>
        <v>6.3413515726254421E-3</v>
      </c>
      <c r="S50" s="1"/>
      <c r="T50" s="1">
        <f>SUM(OSRRefT22_2x_0)</f>
        <v>12695.06</v>
      </c>
      <c r="U50" s="1"/>
      <c r="V50" s="5">
        <f t="shared" ref="V50:V59" si="33">IF(T$12=0,0,T50/T$12)</f>
        <v>3.8785131980108808E-3</v>
      </c>
      <c r="W50" s="1"/>
      <c r="X50" s="1">
        <f t="shared" ref="X50:X59" si="34">+P50-T50</f>
        <v>6946.3700000000008</v>
      </c>
      <c r="Y50" s="1"/>
      <c r="Z50" s="5">
        <f t="shared" ref="Z50:Z59" si="35">IF(T50=0,0,X50/T50)</f>
        <v>0.54717110435082628</v>
      </c>
    </row>
    <row r="51" spans="1:26" s="24" customFormat="1" hidden="1" outlineLevel="2" x14ac:dyDescent="0.25">
      <c r="A51" s="26"/>
      <c r="B51" s="11" t="str">
        <f>CONCATENATE("          ", "6362", " - ", "ADVERTISING EXPENSE")</f>
        <v xml:space="preserve">          6362 - ADVERTISING EXPENSE</v>
      </c>
      <c r="C51" s="11"/>
      <c r="D51" s="6">
        <v>2704.43</v>
      </c>
      <c r="E51" s="2"/>
      <c r="F51" s="7">
        <f t="shared" si="28"/>
        <v>6.3337446880474477E-3</v>
      </c>
      <c r="G51" s="2"/>
      <c r="H51" s="6">
        <v>968.44</v>
      </c>
      <c r="I51" s="2"/>
      <c r="J51" s="7">
        <f t="shared" si="29"/>
        <v>1.8665788179886361E-3</v>
      </c>
      <c r="K51" s="2"/>
      <c r="L51" s="6">
        <f t="shared" si="30"/>
        <v>1735.9899999999998</v>
      </c>
      <c r="M51" s="2"/>
      <c r="N51" s="7">
        <f t="shared" si="31"/>
        <v>1.7925632976746104</v>
      </c>
      <c r="O51" s="11"/>
      <c r="P51" s="6">
        <v>19641.43</v>
      </c>
      <c r="Q51" s="2"/>
      <c r="R51" s="7">
        <f t="shared" si="32"/>
        <v>6.3413515726254421E-3</v>
      </c>
      <c r="S51" s="2"/>
      <c r="T51" s="6">
        <v>12695.06</v>
      </c>
      <c r="U51" s="2"/>
      <c r="V51" s="7">
        <f t="shared" si="33"/>
        <v>3.8785131980108808E-3</v>
      </c>
      <c r="W51" s="2"/>
      <c r="X51" s="6">
        <f t="shared" si="34"/>
        <v>6946.3700000000008</v>
      </c>
      <c r="Y51" s="2"/>
      <c r="Z51" s="7">
        <f t="shared" si="35"/>
        <v>0.54717110435082628</v>
      </c>
    </row>
    <row r="52" spans="1:26" s="27" customFormat="1" outlineLevel="1" collapsed="1" x14ac:dyDescent="0.25">
      <c r="A52" s="25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-70.819999999999993</v>
      </c>
      <c r="E52" s="1"/>
      <c r="F52" s="5">
        <f t="shared" si="28"/>
        <v>-1.6585964465988035E-4</v>
      </c>
      <c r="G52" s="1"/>
      <c r="H52" s="1">
        <f>SUM(OSRRefH22_3x_0)</f>
        <v>-60.15</v>
      </c>
      <c r="I52" s="1"/>
      <c r="J52" s="5">
        <f t="shared" si="29"/>
        <v>-1.1593357967661026E-4</v>
      </c>
      <c r="K52" s="1"/>
      <c r="L52" s="1">
        <f t="shared" si="30"/>
        <v>-10.669999999999995</v>
      </c>
      <c r="M52" s="1"/>
      <c r="N52" s="5">
        <f t="shared" si="31"/>
        <v>0.17738985868661672</v>
      </c>
      <c r="O52" s="13"/>
      <c r="P52" s="1">
        <f>SUM(OSRRefP22_3x_0)</f>
        <v>-92.05</v>
      </c>
      <c r="Q52" s="1"/>
      <c r="R52" s="5">
        <f t="shared" si="32"/>
        <v>-2.9718885654464669E-5</v>
      </c>
      <c r="S52" s="1"/>
      <c r="T52" s="1">
        <f>SUM(OSRRefT22_3x_0)</f>
        <v>-413.95</v>
      </c>
      <c r="U52" s="1"/>
      <c r="V52" s="5">
        <f t="shared" si="33"/>
        <v>-1.264673454333106E-4</v>
      </c>
      <c r="W52" s="1"/>
      <c r="X52" s="1">
        <f t="shared" si="34"/>
        <v>321.89999999999998</v>
      </c>
      <c r="Y52" s="1"/>
      <c r="Z52" s="5">
        <f t="shared" si="35"/>
        <v>-0.77763014856866763</v>
      </c>
    </row>
    <row r="53" spans="1:26" s="24" customFormat="1" hidden="1" outlineLevel="2" x14ac:dyDescent="0.25">
      <c r="A53" s="26"/>
      <c r="B53" s="11" t="str">
        <f>CONCATENATE("          ", "6272", " - ", "CASH (OVER/SHORT)")</f>
        <v xml:space="preserve">          6272 - CASH (OVER/SHORT)</v>
      </c>
      <c r="C53" s="11"/>
      <c r="D53" s="6">
        <v>-70.819999999999993</v>
      </c>
      <c r="E53" s="2"/>
      <c r="F53" s="7">
        <f t="shared" si="28"/>
        <v>-1.6585964465988035E-4</v>
      </c>
      <c r="G53" s="2"/>
      <c r="H53" s="6">
        <v>-60.15</v>
      </c>
      <c r="I53" s="2"/>
      <c r="J53" s="7">
        <f t="shared" si="29"/>
        <v>-1.1593357967661026E-4</v>
      </c>
      <c r="K53" s="2"/>
      <c r="L53" s="6">
        <f t="shared" si="30"/>
        <v>-10.669999999999995</v>
      </c>
      <c r="M53" s="2"/>
      <c r="N53" s="7">
        <f t="shared" si="31"/>
        <v>0.17738985868661672</v>
      </c>
      <c r="O53" s="11"/>
      <c r="P53" s="6">
        <v>-92.05</v>
      </c>
      <c r="Q53" s="2"/>
      <c r="R53" s="7">
        <f t="shared" si="32"/>
        <v>-2.9718885654464669E-5</v>
      </c>
      <c r="S53" s="2"/>
      <c r="T53" s="6">
        <v>-413.95</v>
      </c>
      <c r="U53" s="2"/>
      <c r="V53" s="7">
        <f t="shared" si="33"/>
        <v>-1.264673454333106E-4</v>
      </c>
      <c r="W53" s="2"/>
      <c r="X53" s="6">
        <f t="shared" si="34"/>
        <v>321.89999999999998</v>
      </c>
      <c r="Y53" s="2"/>
      <c r="Z53" s="7">
        <f t="shared" si="35"/>
        <v>-0.77763014856866763</v>
      </c>
    </row>
    <row r="54" spans="1:26" s="27" customFormat="1" outlineLevel="1" collapsed="1" x14ac:dyDescent="0.25">
      <c r="A54" s="25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24884</v>
      </c>
      <c r="E54" s="1"/>
      <c r="F54" s="5">
        <f t="shared" si="28"/>
        <v>5.8278048541604954E-2</v>
      </c>
      <c r="G54" s="1"/>
      <c r="H54" s="1">
        <f>SUM(OSRRefH22_4x_0)</f>
        <v>28549.82</v>
      </c>
      <c r="I54" s="1"/>
      <c r="J54" s="5">
        <f t="shared" si="29"/>
        <v>5.5027145997055382E-2</v>
      </c>
      <c r="K54" s="1"/>
      <c r="L54" s="1">
        <f t="shared" si="30"/>
        <v>-3665.8199999999997</v>
      </c>
      <c r="M54" s="1"/>
      <c r="N54" s="5">
        <f t="shared" si="31"/>
        <v>-0.12840080953224922</v>
      </c>
      <c r="O54" s="13"/>
      <c r="P54" s="1">
        <f>SUM(OSRRefP22_4x_0)</f>
        <v>103411.8</v>
      </c>
      <c r="Q54" s="1"/>
      <c r="R54" s="5">
        <f t="shared" si="32"/>
        <v>3.3387109826424441E-2</v>
      </c>
      <c r="S54" s="1"/>
      <c r="T54" s="1">
        <f>SUM(OSRRefT22_4x_0)</f>
        <v>105132.06</v>
      </c>
      <c r="U54" s="1"/>
      <c r="V54" s="5">
        <f t="shared" si="33"/>
        <v>3.2119271767449054E-2</v>
      </c>
      <c r="W54" s="1"/>
      <c r="X54" s="1">
        <f t="shared" si="34"/>
        <v>-1720.2599999999948</v>
      </c>
      <c r="Y54" s="1"/>
      <c r="Z54" s="5">
        <f t="shared" si="35"/>
        <v>-1.6362848782759464E-2</v>
      </c>
    </row>
    <row r="55" spans="1:26" s="24" customFormat="1" hidden="1" outlineLevel="2" x14ac:dyDescent="0.25">
      <c r="A55" s="26"/>
      <c r="B55" s="11" t="str">
        <f>CONCATENATE("          ", "6381", " - ", "BANK/CREDIT CARD FEES")</f>
        <v xml:space="preserve">          6381 - BANK/CREDIT CARD FEES</v>
      </c>
      <c r="C55" s="11"/>
      <c r="D55" s="6">
        <v>24884</v>
      </c>
      <c r="E55" s="2"/>
      <c r="F55" s="7">
        <f t="shared" si="28"/>
        <v>5.8278048541604954E-2</v>
      </c>
      <c r="G55" s="2"/>
      <c r="H55" s="6">
        <v>28549.82</v>
      </c>
      <c r="I55" s="2"/>
      <c r="J55" s="7">
        <f t="shared" si="29"/>
        <v>5.5027145997055382E-2</v>
      </c>
      <c r="K55" s="2"/>
      <c r="L55" s="6">
        <f t="shared" si="30"/>
        <v>-3665.8199999999997</v>
      </c>
      <c r="M55" s="2"/>
      <c r="N55" s="7">
        <f t="shared" si="31"/>
        <v>-0.12840080953224922</v>
      </c>
      <c r="O55" s="11"/>
      <c r="P55" s="6">
        <v>103411.8</v>
      </c>
      <c r="Q55" s="2"/>
      <c r="R55" s="7">
        <f t="shared" si="32"/>
        <v>3.3387109826424441E-2</v>
      </c>
      <c r="S55" s="2"/>
      <c r="T55" s="6">
        <v>105132.06</v>
      </c>
      <c r="U55" s="2"/>
      <c r="V55" s="7">
        <f t="shared" si="33"/>
        <v>3.2119271767449054E-2</v>
      </c>
      <c r="W55" s="2"/>
      <c r="X55" s="6">
        <f t="shared" si="34"/>
        <v>-1720.2599999999948</v>
      </c>
      <c r="Y55" s="2"/>
      <c r="Z55" s="7">
        <f t="shared" si="35"/>
        <v>-1.6362848782759464E-2</v>
      </c>
    </row>
    <row r="56" spans="1:26" s="27" customFormat="1" outlineLevel="1" collapsed="1" x14ac:dyDescent="0.25">
      <c r="A56" s="25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40745.619999999995</v>
      </c>
      <c r="E56" s="1"/>
      <c r="F56" s="5">
        <f t="shared" si="28"/>
        <v>9.5425784448552861E-2</v>
      </c>
      <c r="G56" s="1"/>
      <c r="H56" s="1">
        <f>SUM(OSRRefH22_5x_0)</f>
        <v>35444.590000000004</v>
      </c>
      <c r="I56" s="1"/>
      <c r="J56" s="5">
        <f t="shared" si="29"/>
        <v>6.8316179532332238E-2</v>
      </c>
      <c r="K56" s="1"/>
      <c r="L56" s="1">
        <f t="shared" si="30"/>
        <v>5301.0299999999916</v>
      </c>
      <c r="M56" s="1"/>
      <c r="N56" s="5">
        <f t="shared" si="31"/>
        <v>0.1495582259521126</v>
      </c>
      <c r="O56" s="13"/>
      <c r="P56" s="1">
        <f>SUM(OSRRefP22_5x_0)</f>
        <v>238600.87</v>
      </c>
      <c r="Q56" s="1"/>
      <c r="R56" s="5">
        <f t="shared" si="32"/>
        <v>7.7033698778770116E-2</v>
      </c>
      <c r="S56" s="1"/>
      <c r="T56" s="1">
        <f>SUM(OSRRefT22_5x_0)</f>
        <v>231641.40000000002</v>
      </c>
      <c r="U56" s="1"/>
      <c r="V56" s="5">
        <f t="shared" si="33"/>
        <v>7.076959282632124E-2</v>
      </c>
      <c r="W56" s="1"/>
      <c r="X56" s="1">
        <f t="shared" si="34"/>
        <v>6959.4699999999721</v>
      </c>
      <c r="Y56" s="1"/>
      <c r="Z56" s="5">
        <f t="shared" si="35"/>
        <v>3.0044154455982269E-2</v>
      </c>
    </row>
    <row r="57" spans="1:26" s="24" customFormat="1" hidden="1" outlineLevel="2" x14ac:dyDescent="0.25">
      <c r="A57" s="26"/>
      <c r="B57" s="11" t="str">
        <f>CONCATENATE("          ", "6321", " - ", "BUILDING DEPRECIATION")</f>
        <v xml:space="preserve">          6321 - BUILDING DEPRECIATION</v>
      </c>
      <c r="C57" s="11"/>
      <c r="D57" s="6">
        <v>24042.959999999999</v>
      </c>
      <c r="E57" s="2"/>
      <c r="F57" s="7">
        <f t="shared" si="28"/>
        <v>5.6308342306858473E-2</v>
      </c>
      <c r="G57" s="2"/>
      <c r="H57" s="6">
        <v>21516.510000000002</v>
      </c>
      <c r="I57" s="2"/>
      <c r="J57" s="7">
        <f t="shared" si="29"/>
        <v>4.1471089383999696E-2</v>
      </c>
      <c r="K57" s="2"/>
      <c r="L57" s="6">
        <f t="shared" si="30"/>
        <v>2526.4499999999971</v>
      </c>
      <c r="M57" s="2"/>
      <c r="N57" s="7">
        <f t="shared" si="31"/>
        <v>0.11741913535234091</v>
      </c>
      <c r="O57" s="11"/>
      <c r="P57" s="6">
        <v>144257.76</v>
      </c>
      <c r="Q57" s="2"/>
      <c r="R57" s="7">
        <f t="shared" si="32"/>
        <v>4.6574469029975092E-2</v>
      </c>
      <c r="S57" s="2"/>
      <c r="T57" s="6">
        <v>148072.92000000001</v>
      </c>
      <c r="U57" s="2"/>
      <c r="V57" s="7">
        <f t="shared" si="33"/>
        <v>4.5238287529795793E-2</v>
      </c>
      <c r="W57" s="2"/>
      <c r="X57" s="6">
        <f t="shared" si="34"/>
        <v>-3815.1600000000035</v>
      </c>
      <c r="Y57" s="2"/>
      <c r="Z57" s="7">
        <f t="shared" si="35"/>
        <v>-2.5765413419280198E-2</v>
      </c>
    </row>
    <row r="58" spans="1:26" s="24" customFormat="1" hidden="1" outlineLevel="2" x14ac:dyDescent="0.25">
      <c r="A58" s="26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16278.409999999998</v>
      </c>
      <c r="E58" s="2"/>
      <c r="F58" s="7">
        <f t="shared" si="28"/>
        <v>3.812385340621071E-2</v>
      </c>
      <c r="G58" s="2"/>
      <c r="H58" s="6">
        <v>13503.83</v>
      </c>
      <c r="I58" s="2"/>
      <c r="J58" s="7">
        <f t="shared" si="29"/>
        <v>2.6027387385609311E-2</v>
      </c>
      <c r="K58" s="2"/>
      <c r="L58" s="6">
        <f t="shared" si="30"/>
        <v>2774.5799999999981</v>
      </c>
      <c r="M58" s="2"/>
      <c r="N58" s="7">
        <f t="shared" si="31"/>
        <v>0.20546615293587064</v>
      </c>
      <c r="O58" s="11"/>
      <c r="P58" s="6">
        <v>91797.61</v>
      </c>
      <c r="Q58" s="2"/>
      <c r="R58" s="7">
        <f t="shared" si="32"/>
        <v>2.9637400053700625E-2</v>
      </c>
      <c r="S58" s="2"/>
      <c r="T58" s="6">
        <v>81022.98</v>
      </c>
      <c r="U58" s="2"/>
      <c r="V58" s="7">
        <f t="shared" si="33"/>
        <v>2.4753620484832022E-2</v>
      </c>
      <c r="W58" s="2"/>
      <c r="X58" s="6">
        <f t="shared" si="34"/>
        <v>10774.630000000005</v>
      </c>
      <c r="Y58" s="2"/>
      <c r="Z58" s="7">
        <f t="shared" si="35"/>
        <v>0.13298239585855773</v>
      </c>
    </row>
    <row r="59" spans="1:26" s="24" customFormat="1" hidden="1" outlineLevel="2" x14ac:dyDescent="0.25">
      <c r="A59" s="26"/>
      <c r="B59" s="11" t="str">
        <f>CONCATENATE("          ", "6326", " - ", "VEHICLES DEPRECIATION EXPENSE")</f>
        <v xml:space="preserve">          6326 - VEHICLES DEPRECIATION EXPENSE</v>
      </c>
      <c r="C59" s="11"/>
      <c r="D59" s="6">
        <v>424.25</v>
      </c>
      <c r="E59" s="2"/>
      <c r="F59" s="7">
        <f t="shared" si="28"/>
        <v>9.9358873548368036E-4</v>
      </c>
      <c r="G59" s="2"/>
      <c r="H59" s="6">
        <v>424.25</v>
      </c>
      <c r="I59" s="2"/>
      <c r="J59" s="7">
        <f t="shared" si="29"/>
        <v>8.1770276272322368E-4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2545.5</v>
      </c>
      <c r="Q59" s="2"/>
      <c r="R59" s="7">
        <f t="shared" si="32"/>
        <v>8.218296950944032E-4</v>
      </c>
      <c r="S59" s="2"/>
      <c r="T59" s="6">
        <v>2545.5</v>
      </c>
      <c r="U59" s="2"/>
      <c r="V59" s="7">
        <f t="shared" si="33"/>
        <v>7.7768481169342228E-4</v>
      </c>
      <c r="W59" s="2"/>
      <c r="X59" s="6">
        <f t="shared" si="34"/>
        <v>0</v>
      </c>
      <c r="Y59" s="2"/>
      <c r="Z59" s="7">
        <f t="shared" si="35"/>
        <v>0</v>
      </c>
    </row>
    <row r="60" spans="1:26" s="27" customFormat="1" outlineLevel="1" collapsed="1" x14ac:dyDescent="0.25">
      <c r="A60" s="25"/>
      <c r="B60" s="13" t="str">
        <f>CONCATENATE("     ","Donations                                         ")</f>
        <v xml:space="preserve">     Donations                                         </v>
      </c>
      <c r="C60" s="13"/>
      <c r="D60" s="1">
        <f>SUM(OSRRefD22_6x_0)</f>
        <v>73</v>
      </c>
      <c r="E60" s="1"/>
      <c r="F60" s="5">
        <f t="shared" ref="F60:F70" si="36">IF(D$12=0,0,D60/D$12)</f>
        <v>1.7096518017751012E-4</v>
      </c>
      <c r="G60" s="1"/>
      <c r="H60" s="1">
        <f>SUM(OSRRefH22_6x_0)</f>
        <v>0</v>
      </c>
      <c r="I60" s="1"/>
      <c r="J60" s="5">
        <f t="shared" ref="J60:J70" si="37">IF(H$12=0,0,H60/H$12)</f>
        <v>0</v>
      </c>
      <c r="K60" s="1"/>
      <c r="L60" s="1">
        <f t="shared" ref="L60:L70" si="38">+D60-H60</f>
        <v>73</v>
      </c>
      <c r="M60" s="1"/>
      <c r="N60" s="5">
        <f t="shared" ref="N60:N70" si="39">IF(H60=0,0,L60/H60)</f>
        <v>0</v>
      </c>
      <c r="O60" s="13"/>
      <c r="P60" s="1">
        <f>SUM(OSRRefP22_6x_0)</f>
        <v>236.68</v>
      </c>
      <c r="Q60" s="1"/>
      <c r="R60" s="5">
        <f t="shared" ref="R60:R70" si="40">IF(P$12=0,0,P60/P$12)</f>
        <v>7.6413534564896229E-5</v>
      </c>
      <c r="S60" s="1"/>
      <c r="T60" s="1">
        <f>SUM(OSRRefT22_6x_0)</f>
        <v>750.24</v>
      </c>
      <c r="U60" s="1"/>
      <c r="V60" s="5">
        <f t="shared" ref="V60:V70" si="41">IF(T$12=0,0,T60/T$12)</f>
        <v>2.2920850643287099E-4</v>
      </c>
      <c r="W60" s="1"/>
      <c r="X60" s="1">
        <f t="shared" ref="X60:X70" si="42">+P60-T60</f>
        <v>-513.55999999999995</v>
      </c>
      <c r="Y60" s="1"/>
      <c r="Z60" s="5">
        <f t="shared" ref="Z60:Z70" si="43">IF(T60=0,0,X60/T60)</f>
        <v>-0.68452761782896132</v>
      </c>
    </row>
    <row r="61" spans="1:26" s="24" customFormat="1" hidden="1" outlineLevel="2" x14ac:dyDescent="0.25">
      <c r="A61" s="26"/>
      <c r="B61" s="11" t="str">
        <f>CONCATENATE("          ", "6399", " - ", "DONATION-ON CAMPUS")</f>
        <v xml:space="preserve">          6399 - DONATION-ON CAMPUS</v>
      </c>
      <c r="C61" s="11"/>
      <c r="D61" s="6">
        <v>73</v>
      </c>
      <c r="E61" s="2"/>
      <c r="F61" s="7">
        <f t="shared" si="36"/>
        <v>1.7096518017751012E-4</v>
      </c>
      <c r="G61" s="2"/>
      <c r="H61" s="6"/>
      <c r="I61" s="2"/>
      <c r="J61" s="7">
        <f t="shared" si="37"/>
        <v>0</v>
      </c>
      <c r="K61" s="2"/>
      <c r="L61" s="6">
        <f t="shared" si="38"/>
        <v>73</v>
      </c>
      <c r="M61" s="2"/>
      <c r="N61" s="7">
        <f t="shared" si="39"/>
        <v>0</v>
      </c>
      <c r="O61" s="11"/>
      <c r="P61" s="6">
        <v>236.68</v>
      </c>
      <c r="Q61" s="2"/>
      <c r="R61" s="7">
        <f t="shared" si="40"/>
        <v>7.6413534564896229E-5</v>
      </c>
      <c r="S61" s="2"/>
      <c r="T61" s="6">
        <v>750.24</v>
      </c>
      <c r="U61" s="2"/>
      <c r="V61" s="7">
        <f t="shared" si="41"/>
        <v>2.2920850643287099E-4</v>
      </c>
      <c r="W61" s="2"/>
      <c r="X61" s="6">
        <f t="shared" si="42"/>
        <v>-513.55999999999995</v>
      </c>
      <c r="Y61" s="2"/>
      <c r="Z61" s="7">
        <f t="shared" si="43"/>
        <v>-0.68452761782896132</v>
      </c>
    </row>
    <row r="62" spans="1:26" s="27" customFormat="1" outlineLevel="1" collapsed="1" x14ac:dyDescent="0.25">
      <c r="A62" s="25"/>
      <c r="B62" s="13" t="str">
        <f>CONCATENATE("     ","Employees' Appreciation                           ")</f>
        <v xml:space="preserve">     Employees' Appreciation                           </v>
      </c>
      <c r="C62" s="13"/>
      <c r="D62" s="1">
        <f>SUM(OSRRefD22_7x_0)</f>
        <v>257.14999999999998</v>
      </c>
      <c r="E62" s="1"/>
      <c r="F62" s="5">
        <f t="shared" si="36"/>
        <v>6.0224241209105096E-4</v>
      </c>
      <c r="G62" s="1"/>
      <c r="H62" s="1">
        <f>SUM(OSRRefH22_7x_0)</f>
        <v>274.81</v>
      </c>
      <c r="I62" s="1"/>
      <c r="J62" s="5">
        <f t="shared" si="37"/>
        <v>5.2967093983257308E-4</v>
      </c>
      <c r="K62" s="1"/>
      <c r="L62" s="1">
        <f t="shared" si="38"/>
        <v>-17.660000000000025</v>
      </c>
      <c r="M62" s="1"/>
      <c r="N62" s="5">
        <f t="shared" si="39"/>
        <v>-6.4262581419890191E-2</v>
      </c>
      <c r="O62" s="13"/>
      <c r="P62" s="1">
        <f>SUM(OSRRefP22_7x_0)</f>
        <v>1209.8599999999999</v>
      </c>
      <c r="Q62" s="1"/>
      <c r="R62" s="5">
        <f t="shared" si="40"/>
        <v>3.9061043995557436E-4</v>
      </c>
      <c r="S62" s="1"/>
      <c r="T62" s="1">
        <f>SUM(OSRRefT22_7x_0)</f>
        <v>1521.4</v>
      </c>
      <c r="U62" s="1"/>
      <c r="V62" s="5">
        <f t="shared" si="41"/>
        <v>4.6480835690841589E-4</v>
      </c>
      <c r="W62" s="1"/>
      <c r="X62" s="1">
        <f t="shared" si="42"/>
        <v>-311.54000000000019</v>
      </c>
      <c r="Y62" s="1"/>
      <c r="Z62" s="5">
        <f t="shared" si="43"/>
        <v>-0.20477192059944799</v>
      </c>
    </row>
    <row r="63" spans="1:26" s="24" customFormat="1" hidden="1" outlineLevel="2" x14ac:dyDescent="0.25">
      <c r="A63" s="26"/>
      <c r="B63" s="11" t="str">
        <f>CONCATENATE("          ", "6277", " - ", "EMPLOYEE APPRECIATION")</f>
        <v xml:space="preserve">          6277 - EMPLOYEE APPRECIATION</v>
      </c>
      <c r="C63" s="11"/>
      <c r="D63" s="6">
        <v>257.14999999999998</v>
      </c>
      <c r="E63" s="2"/>
      <c r="F63" s="7">
        <f t="shared" si="36"/>
        <v>6.0224241209105096E-4</v>
      </c>
      <c r="G63" s="2"/>
      <c r="H63" s="6">
        <v>274.81</v>
      </c>
      <c r="I63" s="2"/>
      <c r="J63" s="7">
        <f t="shared" si="37"/>
        <v>5.2967093983257308E-4</v>
      </c>
      <c r="K63" s="2"/>
      <c r="L63" s="6">
        <f t="shared" si="38"/>
        <v>-17.660000000000025</v>
      </c>
      <c r="M63" s="2"/>
      <c r="N63" s="7">
        <f t="shared" si="39"/>
        <v>-6.4262581419890191E-2</v>
      </c>
      <c r="O63" s="11"/>
      <c r="P63" s="6">
        <v>1209.8599999999999</v>
      </c>
      <c r="Q63" s="2"/>
      <c r="R63" s="7">
        <f t="shared" si="40"/>
        <v>3.9061043995557436E-4</v>
      </c>
      <c r="S63" s="2"/>
      <c r="T63" s="6">
        <v>1521.4</v>
      </c>
      <c r="U63" s="2"/>
      <c r="V63" s="7">
        <f t="shared" si="41"/>
        <v>4.6480835690841589E-4</v>
      </c>
      <c r="W63" s="2"/>
      <c r="X63" s="6">
        <f t="shared" si="42"/>
        <v>-311.54000000000019</v>
      </c>
      <c r="Y63" s="2"/>
      <c r="Z63" s="7">
        <f t="shared" si="43"/>
        <v>-0.20477192059944799</v>
      </c>
    </row>
    <row r="64" spans="1:26" s="27" customFormat="1" outlineLevel="1" collapsed="1" x14ac:dyDescent="0.25">
      <c r="A64" s="25"/>
      <c r="B64" s="13" t="str">
        <f>CONCATENATE("     ","Equipment Rental                                  ")</f>
        <v xml:space="preserve">     Equipment Rental                                  </v>
      </c>
      <c r="C64" s="13"/>
      <c r="D64" s="1">
        <f>SUM(OSRRefD22_8x_0)</f>
        <v>2709.51</v>
      </c>
      <c r="E64" s="1"/>
      <c r="F64" s="5">
        <f t="shared" si="36"/>
        <v>6.3456419909967872E-3</v>
      </c>
      <c r="G64" s="1"/>
      <c r="H64" s="1">
        <f>SUM(OSRRefH22_8x_0)</f>
        <v>1362.27</v>
      </c>
      <c r="I64" s="1"/>
      <c r="J64" s="5">
        <f t="shared" si="37"/>
        <v>2.6256498351796488E-3</v>
      </c>
      <c r="K64" s="1"/>
      <c r="L64" s="1">
        <f t="shared" si="38"/>
        <v>1347.2400000000002</v>
      </c>
      <c r="M64" s="1"/>
      <c r="N64" s="5">
        <f t="shared" si="39"/>
        <v>0.98896694487876868</v>
      </c>
      <c r="O64" s="13"/>
      <c r="P64" s="1">
        <f>SUM(OSRRefP22_8x_0)</f>
        <v>14883.009999999998</v>
      </c>
      <c r="Q64" s="1"/>
      <c r="R64" s="5">
        <f t="shared" si="40"/>
        <v>4.8050675978734839E-3</v>
      </c>
      <c r="S64" s="1"/>
      <c r="T64" s="1">
        <f>SUM(OSRRefT22_8x_0)</f>
        <v>9459.8799999999992</v>
      </c>
      <c r="U64" s="1"/>
      <c r="V64" s="5">
        <f t="shared" si="41"/>
        <v>2.8901217821419647E-3</v>
      </c>
      <c r="W64" s="1"/>
      <c r="X64" s="1">
        <f t="shared" si="42"/>
        <v>5423.1299999999992</v>
      </c>
      <c r="Y64" s="1"/>
      <c r="Z64" s="5">
        <f t="shared" si="43"/>
        <v>0.57327682803587354</v>
      </c>
    </row>
    <row r="65" spans="1:26" s="24" customFormat="1" hidden="1" outlineLevel="2" x14ac:dyDescent="0.25">
      <c r="A65" s="26"/>
      <c r="B65" s="11" t="str">
        <f>CONCATENATE("          ", "6351", " - ", "EQUIPMENT RENTAL")</f>
        <v xml:space="preserve">          6351 - EQUIPMENT RENTAL</v>
      </c>
      <c r="C65" s="11"/>
      <c r="D65" s="6">
        <v>2709.51</v>
      </c>
      <c r="E65" s="2"/>
      <c r="F65" s="7">
        <f t="shared" si="36"/>
        <v>6.3456419909967872E-3</v>
      </c>
      <c r="G65" s="2"/>
      <c r="H65" s="6">
        <v>1362.27</v>
      </c>
      <c r="I65" s="2"/>
      <c r="J65" s="7">
        <f t="shared" si="37"/>
        <v>2.6256498351796488E-3</v>
      </c>
      <c r="K65" s="2"/>
      <c r="L65" s="6">
        <f t="shared" si="38"/>
        <v>1347.2400000000002</v>
      </c>
      <c r="M65" s="2"/>
      <c r="N65" s="7">
        <f t="shared" si="39"/>
        <v>0.98896694487876868</v>
      </c>
      <c r="O65" s="11"/>
      <c r="P65" s="6">
        <v>14883.009999999998</v>
      </c>
      <c r="Q65" s="2"/>
      <c r="R65" s="7">
        <f t="shared" si="40"/>
        <v>4.8050675978734839E-3</v>
      </c>
      <c r="S65" s="2"/>
      <c r="T65" s="6">
        <v>9459.8799999999992</v>
      </c>
      <c r="U65" s="2"/>
      <c r="V65" s="7">
        <f t="shared" si="41"/>
        <v>2.8901217821419647E-3</v>
      </c>
      <c r="W65" s="2"/>
      <c r="X65" s="6">
        <f t="shared" si="42"/>
        <v>5423.1299999999992</v>
      </c>
      <c r="Y65" s="2"/>
      <c r="Z65" s="7">
        <f t="shared" si="43"/>
        <v>0.57327682803587354</v>
      </c>
    </row>
    <row r="66" spans="1:26" s="27" customFormat="1" outlineLevel="1" collapsed="1" x14ac:dyDescent="0.25">
      <c r="A66" s="25"/>
      <c r="B66" s="13" t="str">
        <f>CONCATENATE("     ","Freight out/Postage                               ")</f>
        <v xml:space="preserve">     Freight out/Postage                               </v>
      </c>
      <c r="C66" s="13"/>
      <c r="D66" s="1">
        <f>SUM(OSRRefD22_9x_0)</f>
        <v>0</v>
      </c>
      <c r="E66" s="1"/>
      <c r="F66" s="5">
        <f t="shared" si="36"/>
        <v>0</v>
      </c>
      <c r="G66" s="1"/>
      <c r="H66" s="1">
        <f>SUM(OSRRefH22_9x_0)</f>
        <v>0</v>
      </c>
      <c r="I66" s="1"/>
      <c r="J66" s="5">
        <f t="shared" si="37"/>
        <v>0</v>
      </c>
      <c r="K66" s="1"/>
      <c r="L66" s="1">
        <f t="shared" si="38"/>
        <v>0</v>
      </c>
      <c r="M66" s="1"/>
      <c r="N66" s="5">
        <f t="shared" si="39"/>
        <v>0</v>
      </c>
      <c r="O66" s="13"/>
      <c r="P66" s="1">
        <f>SUM(OSRRefP22_9x_0)</f>
        <v>0</v>
      </c>
      <c r="Q66" s="1"/>
      <c r="R66" s="5">
        <f t="shared" si="40"/>
        <v>0</v>
      </c>
      <c r="S66" s="1"/>
      <c r="T66" s="1">
        <f>SUM(OSRRefT22_9x_0)</f>
        <v>9.01</v>
      </c>
      <c r="U66" s="1"/>
      <c r="V66" s="5">
        <f t="shared" si="41"/>
        <v>2.7526773338667194E-6</v>
      </c>
      <c r="W66" s="1"/>
      <c r="X66" s="1">
        <f t="shared" si="42"/>
        <v>-9.01</v>
      </c>
      <c r="Y66" s="1"/>
      <c r="Z66" s="5">
        <f t="shared" si="43"/>
        <v>-1</v>
      </c>
    </row>
    <row r="67" spans="1:26" s="24" customFormat="1" hidden="1" outlineLevel="2" x14ac:dyDescent="0.25">
      <c r="A67" s="26"/>
      <c r="B67" s="11" t="str">
        <f>CONCATENATE("          ", "6307", " - ", "POSTAGE")</f>
        <v xml:space="preserve">          6307 - POSTAGE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9.01</v>
      </c>
      <c r="U67" s="2"/>
      <c r="V67" s="7">
        <f t="shared" si="41"/>
        <v>2.7526773338667194E-6</v>
      </c>
      <c r="W67" s="2"/>
      <c r="X67" s="6">
        <f t="shared" si="42"/>
        <v>-9.01</v>
      </c>
      <c r="Y67" s="2"/>
      <c r="Z67" s="7">
        <f t="shared" si="43"/>
        <v>-1</v>
      </c>
    </row>
    <row r="68" spans="1:26" s="27" customFormat="1" outlineLevel="1" collapsed="1" x14ac:dyDescent="0.25">
      <c r="A68" s="25"/>
      <c r="B68" s="13" t="str">
        <f>CONCATENATE("     ","General                                           ")</f>
        <v xml:space="preserve">     General                                           </v>
      </c>
      <c r="C68" s="13"/>
      <c r="D68" s="1">
        <f>SUM(OSRRefD22_10x_0)</f>
        <v>4498.32</v>
      </c>
      <c r="E68" s="1"/>
      <c r="F68" s="5">
        <f t="shared" si="36"/>
        <v>1.0535014921864346E-2</v>
      </c>
      <c r="G68" s="1"/>
      <c r="H68" s="1">
        <f>SUM(OSRRefH22_10x_0)</f>
        <v>5224.05</v>
      </c>
      <c r="I68" s="1"/>
      <c r="J68" s="5">
        <f t="shared" si="37"/>
        <v>1.0068874761589292E-2</v>
      </c>
      <c r="K68" s="1"/>
      <c r="L68" s="1">
        <f t="shared" si="38"/>
        <v>-725.73000000000047</v>
      </c>
      <c r="M68" s="1"/>
      <c r="N68" s="5">
        <f t="shared" si="39"/>
        <v>-0.13892095213483799</v>
      </c>
      <c r="O68" s="13"/>
      <c r="P68" s="1">
        <f>SUM(OSRRefP22_10x_0)</f>
        <v>65575.510000000009</v>
      </c>
      <c r="Q68" s="1"/>
      <c r="R68" s="5">
        <f t="shared" si="40"/>
        <v>2.1171440341371046E-2</v>
      </c>
      <c r="S68" s="1"/>
      <c r="T68" s="1">
        <f>SUM(OSRRefT22_10x_0)</f>
        <v>33187.75</v>
      </c>
      <c r="U68" s="1"/>
      <c r="V68" s="5">
        <f t="shared" si="41"/>
        <v>1.0139308233855185E-2</v>
      </c>
      <c r="W68" s="1"/>
      <c r="X68" s="1">
        <f t="shared" si="42"/>
        <v>32387.760000000009</v>
      </c>
      <c r="Y68" s="1"/>
      <c r="Z68" s="5">
        <f t="shared" si="43"/>
        <v>0.97589502150642959</v>
      </c>
    </row>
    <row r="69" spans="1:26" s="24" customFormat="1" hidden="1" outlineLevel="2" x14ac:dyDescent="0.25">
      <c r="A69" s="26"/>
      <c r="B69" s="11" t="str">
        <f>CONCATENATE("          ", "6269", " - ", "ENTERTAINMENT")</f>
        <v xml:space="preserve">          6269 - ENTERTAINMENT</v>
      </c>
      <c r="C69" s="11"/>
      <c r="D69" s="6">
        <v>1250</v>
      </c>
      <c r="E69" s="2"/>
      <c r="F69" s="7">
        <f t="shared" si="36"/>
        <v>2.9274859619436663E-3</v>
      </c>
      <c r="G69" s="2"/>
      <c r="H69" s="6">
        <v>500</v>
      </c>
      <c r="I69" s="2"/>
      <c r="J69" s="7">
        <f t="shared" si="37"/>
        <v>9.6370390421122412E-4</v>
      </c>
      <c r="K69" s="2"/>
      <c r="L69" s="6">
        <f t="shared" si="38"/>
        <v>750</v>
      </c>
      <c r="M69" s="2"/>
      <c r="N69" s="7">
        <f t="shared" si="39"/>
        <v>1.5</v>
      </c>
      <c r="O69" s="11"/>
      <c r="P69" s="6">
        <v>7350</v>
      </c>
      <c r="Q69" s="2"/>
      <c r="R69" s="7">
        <f t="shared" si="40"/>
        <v>2.3729908697481296E-3</v>
      </c>
      <c r="S69" s="2"/>
      <c r="T69" s="6">
        <v>4860</v>
      </c>
      <c r="U69" s="2"/>
      <c r="V69" s="7">
        <f t="shared" si="41"/>
        <v>1.4847959869691738E-3</v>
      </c>
      <c r="W69" s="2"/>
      <c r="X69" s="6">
        <f t="shared" si="42"/>
        <v>2490</v>
      </c>
      <c r="Y69" s="2"/>
      <c r="Z69" s="7">
        <f t="shared" si="43"/>
        <v>0.51234567901234573</v>
      </c>
    </row>
    <row r="70" spans="1:26" s="24" customFormat="1" hidden="1" outlineLevel="2" x14ac:dyDescent="0.25">
      <c r="A70" s="26"/>
      <c r="B70" s="11" t="str">
        <f>CONCATENATE("          ", "6279", " - ", "GENERAL EXPENSE")</f>
        <v xml:space="preserve">          6279 - GENERAL EXPENSE</v>
      </c>
      <c r="C70" s="11"/>
      <c r="D70" s="6">
        <v>3248.32</v>
      </c>
      <c r="E70" s="2"/>
      <c r="F70" s="7">
        <f t="shared" si="36"/>
        <v>7.6075289599206808E-3</v>
      </c>
      <c r="G70" s="2"/>
      <c r="H70" s="6">
        <v>4724.05</v>
      </c>
      <c r="I70" s="2"/>
      <c r="J70" s="7">
        <f t="shared" si="37"/>
        <v>9.1051708573780671E-3</v>
      </c>
      <c r="K70" s="2"/>
      <c r="L70" s="6">
        <f t="shared" si="38"/>
        <v>-1475.73</v>
      </c>
      <c r="M70" s="2"/>
      <c r="N70" s="7">
        <f t="shared" si="39"/>
        <v>-0.31238661741514168</v>
      </c>
      <c r="O70" s="11"/>
      <c r="P70" s="6">
        <v>58225.51</v>
      </c>
      <c r="Q70" s="2"/>
      <c r="R70" s="7">
        <f t="shared" si="40"/>
        <v>1.8798449471622913E-2</v>
      </c>
      <c r="S70" s="2"/>
      <c r="T70" s="6">
        <v>28327.75</v>
      </c>
      <c r="U70" s="2"/>
      <c r="V70" s="7">
        <f t="shared" si="41"/>
        <v>8.6545122468860113E-3</v>
      </c>
      <c r="W70" s="2"/>
      <c r="X70" s="6">
        <f t="shared" si="42"/>
        <v>29897.760000000002</v>
      </c>
      <c r="Y70" s="2"/>
      <c r="Z70" s="7">
        <f t="shared" si="43"/>
        <v>1.0554230392459691</v>
      </c>
    </row>
    <row r="71" spans="1:26" s="27" customFormat="1" outlineLevel="1" collapsed="1" x14ac:dyDescent="0.25">
      <c r="A71" s="25"/>
      <c r="B71" s="13" t="str">
        <f>CONCATENATE("     ","Insurance                                         ")</f>
        <v xml:space="preserve">     Insurance                                         </v>
      </c>
      <c r="C71" s="13"/>
      <c r="D71" s="1">
        <f>SUM(OSRRefD22_11x_0)</f>
        <v>4240.13</v>
      </c>
      <c r="E71" s="1"/>
      <c r="F71" s="5">
        <f t="shared" ref="F71:F82" si="44">IF(D$12=0,0,D71/D$12)</f>
        <v>9.9303368414529591E-3</v>
      </c>
      <c r="G71" s="1"/>
      <c r="H71" s="1">
        <f>SUM(OSRRefH22_11x_0)</f>
        <v>3993.18</v>
      </c>
      <c r="I71" s="1"/>
      <c r="J71" s="5">
        <f t="shared" ref="J71:J82" si="45">IF(H$12=0,0,H71/H$12)</f>
        <v>7.6964863124363517E-3</v>
      </c>
      <c r="K71" s="1"/>
      <c r="L71" s="1">
        <f t="shared" ref="L71:L82" si="46">+D71-H71</f>
        <v>246.95000000000027</v>
      </c>
      <c r="M71" s="1"/>
      <c r="N71" s="5">
        <f t="shared" ref="N71:N82" si="47">IF(H71=0,0,L71/H71)</f>
        <v>6.1842942216479166E-2</v>
      </c>
      <c r="O71" s="13"/>
      <c r="P71" s="1">
        <f>SUM(OSRRefP22_11x_0)</f>
        <v>25440.78</v>
      </c>
      <c r="Q71" s="1"/>
      <c r="R71" s="5">
        <f t="shared" ref="R71:R82" si="48">IF(P$12=0,0,P71/P$12)</f>
        <v>8.2137059400368452E-3</v>
      </c>
      <c r="S71" s="1"/>
      <c r="T71" s="1">
        <f>SUM(OSRRefT22_11x_0)</f>
        <v>28547.08</v>
      </c>
      <c r="U71" s="1"/>
      <c r="V71" s="5">
        <f t="shared" ref="V71:V82" si="49">IF(T$12=0,0,T71/T$12)</f>
        <v>8.7215205398534917E-3</v>
      </c>
      <c r="W71" s="1"/>
      <c r="X71" s="1">
        <f t="shared" ref="X71:X82" si="50">+P71-T71</f>
        <v>-3106.3000000000029</v>
      </c>
      <c r="Y71" s="1"/>
      <c r="Z71" s="5">
        <f t="shared" ref="Z71:Z82" si="51">IF(T71=0,0,X71/T71)</f>
        <v>-0.10881323063514736</v>
      </c>
    </row>
    <row r="72" spans="1:26" s="24" customFormat="1" hidden="1" outlineLevel="2" x14ac:dyDescent="0.25">
      <c r="A72" s="26"/>
      <c r="B72" s="11" t="str">
        <f>CONCATENATE("          ", "6314", " - ", "LIABILITY INSURANCE")</f>
        <v xml:space="preserve">          6314 - LIABILITY INSURANCE</v>
      </c>
      <c r="C72" s="11"/>
      <c r="D72" s="6">
        <v>4240.13</v>
      </c>
      <c r="E72" s="2"/>
      <c r="F72" s="7">
        <f t="shared" si="44"/>
        <v>9.9303368414529591E-3</v>
      </c>
      <c r="G72" s="2"/>
      <c r="H72" s="6">
        <v>3993.18</v>
      </c>
      <c r="I72" s="2"/>
      <c r="J72" s="7">
        <f t="shared" si="45"/>
        <v>7.6964863124363517E-3</v>
      </c>
      <c r="K72" s="2"/>
      <c r="L72" s="6">
        <f t="shared" si="46"/>
        <v>246.95000000000027</v>
      </c>
      <c r="M72" s="2"/>
      <c r="N72" s="7">
        <f t="shared" si="47"/>
        <v>6.1842942216479166E-2</v>
      </c>
      <c r="O72" s="11"/>
      <c r="P72" s="6">
        <v>25440.78</v>
      </c>
      <c r="Q72" s="2"/>
      <c r="R72" s="7">
        <f t="shared" si="48"/>
        <v>8.2137059400368452E-3</v>
      </c>
      <c r="S72" s="2"/>
      <c r="T72" s="6">
        <v>28547.08</v>
      </c>
      <c r="U72" s="2"/>
      <c r="V72" s="7">
        <f t="shared" si="49"/>
        <v>8.7215205398534917E-3</v>
      </c>
      <c r="W72" s="2"/>
      <c r="X72" s="6">
        <f t="shared" si="50"/>
        <v>-3106.3000000000029</v>
      </c>
      <c r="Y72" s="2"/>
      <c r="Z72" s="7">
        <f t="shared" si="51"/>
        <v>-0.10881323063514736</v>
      </c>
    </row>
    <row r="73" spans="1:26" s="27" customFormat="1" outlineLevel="1" collapsed="1" x14ac:dyDescent="0.25">
      <c r="A73" s="25"/>
      <c r="B73" s="13" t="str">
        <f>CONCATENATE("     ","Interest                                          ")</f>
        <v xml:space="preserve">     Interest                                          </v>
      </c>
      <c r="C73" s="13"/>
      <c r="D73" s="1">
        <f>SUM(OSRRefD22_12x_0)</f>
        <v>7754</v>
      </c>
      <c r="E73" s="1"/>
      <c r="F73" s="5">
        <f t="shared" si="44"/>
        <v>1.815978091912895E-2</v>
      </c>
      <c r="G73" s="1"/>
      <c r="H73" s="1">
        <f>SUM(OSRRefH22_12x_0)</f>
        <v>7949</v>
      </c>
      <c r="I73" s="1"/>
      <c r="J73" s="5">
        <f t="shared" si="45"/>
        <v>1.5320964669150042E-2</v>
      </c>
      <c r="K73" s="1"/>
      <c r="L73" s="1">
        <f t="shared" si="46"/>
        <v>-195</v>
      </c>
      <c r="M73" s="1"/>
      <c r="N73" s="5">
        <f t="shared" si="47"/>
        <v>-2.4531387595924017E-2</v>
      </c>
      <c r="O73" s="13"/>
      <c r="P73" s="1">
        <f>SUM(OSRRefP22_12x_0)</f>
        <v>46131.049999999996</v>
      </c>
      <c r="Q73" s="1"/>
      <c r="R73" s="5">
        <f t="shared" si="48"/>
        <v>1.4893681695495842E-2</v>
      </c>
      <c r="S73" s="1"/>
      <c r="T73" s="1">
        <f>SUM(OSRRefT22_12x_0)</f>
        <v>47294.1</v>
      </c>
      <c r="U73" s="1"/>
      <c r="V73" s="5">
        <f t="shared" si="49"/>
        <v>1.4448989688748725E-2</v>
      </c>
      <c r="W73" s="1"/>
      <c r="X73" s="1">
        <f t="shared" si="50"/>
        <v>-1163.0500000000029</v>
      </c>
      <c r="Y73" s="1"/>
      <c r="Z73" s="5">
        <f t="shared" si="51"/>
        <v>-2.4591862409898971E-2</v>
      </c>
    </row>
    <row r="74" spans="1:26" s="24" customFormat="1" hidden="1" outlineLevel="2" x14ac:dyDescent="0.25">
      <c r="A74" s="26"/>
      <c r="B74" s="11" t="str">
        <f>CONCATENATE("          ", "6401", " - ", "INTEREST EXPENSE")</f>
        <v xml:space="preserve">          6401 - INTEREST EXPENSE</v>
      </c>
      <c r="C74" s="11"/>
      <c r="D74" s="6">
        <v>7754</v>
      </c>
      <c r="E74" s="2"/>
      <c r="F74" s="7">
        <f t="shared" si="44"/>
        <v>1.815978091912895E-2</v>
      </c>
      <c r="G74" s="2"/>
      <c r="H74" s="6">
        <v>7949</v>
      </c>
      <c r="I74" s="2"/>
      <c r="J74" s="7">
        <f t="shared" si="45"/>
        <v>1.5320964669150042E-2</v>
      </c>
      <c r="K74" s="2"/>
      <c r="L74" s="6">
        <f t="shared" si="46"/>
        <v>-195</v>
      </c>
      <c r="M74" s="2"/>
      <c r="N74" s="7">
        <f t="shared" si="47"/>
        <v>-2.4531387595924017E-2</v>
      </c>
      <c r="O74" s="11"/>
      <c r="P74" s="6">
        <v>46131.049999999996</v>
      </c>
      <c r="Q74" s="2"/>
      <c r="R74" s="7">
        <f t="shared" si="48"/>
        <v>1.4893681695495842E-2</v>
      </c>
      <c r="S74" s="2"/>
      <c r="T74" s="6">
        <v>47294.1</v>
      </c>
      <c r="U74" s="2"/>
      <c r="V74" s="7">
        <f t="shared" si="49"/>
        <v>1.4448989688748725E-2</v>
      </c>
      <c r="W74" s="2"/>
      <c r="X74" s="6">
        <f t="shared" si="50"/>
        <v>-1163.0500000000029</v>
      </c>
      <c r="Y74" s="2"/>
      <c r="Z74" s="7">
        <f t="shared" si="51"/>
        <v>-2.4591862409898971E-2</v>
      </c>
    </row>
    <row r="75" spans="1:26" s="27" customFormat="1" outlineLevel="1" collapsed="1" x14ac:dyDescent="0.25">
      <c r="A75" s="25"/>
      <c r="B75" s="13" t="str">
        <f>CONCATENATE("     ","Professional Services                             ")</f>
        <v xml:space="preserve">     Professional Services                             </v>
      </c>
      <c r="C75" s="13"/>
      <c r="D75" s="1">
        <f>SUM(OSRRefD22_13x_0)</f>
        <v>0</v>
      </c>
      <c r="E75" s="1"/>
      <c r="F75" s="5">
        <f t="shared" si="44"/>
        <v>0</v>
      </c>
      <c r="G75" s="1"/>
      <c r="H75" s="1">
        <f>SUM(OSRRefH22_13x_0)</f>
        <v>0</v>
      </c>
      <c r="I75" s="1"/>
      <c r="J75" s="5">
        <f t="shared" si="45"/>
        <v>0</v>
      </c>
      <c r="K75" s="1"/>
      <c r="L75" s="1">
        <f t="shared" si="46"/>
        <v>0</v>
      </c>
      <c r="M75" s="1"/>
      <c r="N75" s="5">
        <f t="shared" si="47"/>
        <v>0</v>
      </c>
      <c r="O75" s="13"/>
      <c r="P75" s="1">
        <f>SUM(OSRRefP22_13x_0)</f>
        <v>125</v>
      </c>
      <c r="Q75" s="1"/>
      <c r="R75" s="5">
        <f t="shared" si="48"/>
        <v>4.0356987580750499E-5</v>
      </c>
      <c r="S75" s="1"/>
      <c r="T75" s="1">
        <f>SUM(OSRRefT22_13x_0)</f>
        <v>0</v>
      </c>
      <c r="U75" s="1"/>
      <c r="V75" s="5">
        <f t="shared" si="49"/>
        <v>0</v>
      </c>
      <c r="W75" s="1"/>
      <c r="X75" s="1">
        <f t="shared" si="50"/>
        <v>125</v>
      </c>
      <c r="Y75" s="1"/>
      <c r="Z75" s="5">
        <f t="shared" si="51"/>
        <v>0</v>
      </c>
    </row>
    <row r="76" spans="1:26" s="24" customFormat="1" hidden="1" outlineLevel="2" x14ac:dyDescent="0.25">
      <c r="A76" s="26"/>
      <c r="B76" s="11" t="str">
        <f>CONCATENATE("          ", "6336", " - ", "PROFESSIONAL SERVICES")</f>
        <v xml:space="preserve">          6336 - PROFESSIONAL SERVICES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125</v>
      </c>
      <c r="Q76" s="2"/>
      <c r="R76" s="7">
        <f t="shared" si="48"/>
        <v>4.0356987580750499E-5</v>
      </c>
      <c r="S76" s="2"/>
      <c r="T76" s="6"/>
      <c r="U76" s="2"/>
      <c r="V76" s="7">
        <f t="shared" si="49"/>
        <v>0</v>
      </c>
      <c r="W76" s="2"/>
      <c r="X76" s="6">
        <f t="shared" si="50"/>
        <v>125</v>
      </c>
      <c r="Y76" s="2"/>
      <c r="Z76" s="7">
        <f t="shared" si="51"/>
        <v>0</v>
      </c>
    </row>
    <row r="77" spans="1:26" s="27" customFormat="1" outlineLevel="1" collapsed="1" x14ac:dyDescent="0.25">
      <c r="A77" s="25"/>
      <c r="B77" s="13" t="str">
        <f>CONCATENATE("     ","Rent                                              ")</f>
        <v xml:space="preserve">     Rent                                              </v>
      </c>
      <c r="C77" s="13"/>
      <c r="D77" s="1">
        <f>SUM(OSRRefD22_14x_0)</f>
        <v>1850</v>
      </c>
      <c r="E77" s="1"/>
      <c r="F77" s="5">
        <f t="shared" si="44"/>
        <v>4.3326792236766266E-3</v>
      </c>
      <c r="G77" s="1"/>
      <c r="H77" s="1">
        <f>SUM(OSRRefH22_14x_0)</f>
        <v>1850</v>
      </c>
      <c r="I77" s="1"/>
      <c r="J77" s="5">
        <f t="shared" si="45"/>
        <v>3.5657044455815294E-3</v>
      </c>
      <c r="K77" s="1"/>
      <c r="L77" s="1">
        <f t="shared" si="46"/>
        <v>0</v>
      </c>
      <c r="M77" s="1"/>
      <c r="N77" s="5">
        <f t="shared" si="47"/>
        <v>0</v>
      </c>
      <c r="O77" s="13"/>
      <c r="P77" s="1">
        <f>SUM(OSRRefP22_14x_0)</f>
        <v>11100</v>
      </c>
      <c r="Q77" s="1"/>
      <c r="R77" s="5">
        <f t="shared" si="48"/>
        <v>3.5837004971706445E-3</v>
      </c>
      <c r="S77" s="1"/>
      <c r="T77" s="1">
        <f>SUM(OSRRefT22_14x_0)</f>
        <v>11100</v>
      </c>
      <c r="U77" s="1"/>
      <c r="V77" s="5">
        <f t="shared" si="49"/>
        <v>3.3912007109789775E-3</v>
      </c>
      <c r="W77" s="1"/>
      <c r="X77" s="1">
        <f t="shared" si="50"/>
        <v>0</v>
      </c>
      <c r="Y77" s="1"/>
      <c r="Z77" s="5">
        <f t="shared" si="51"/>
        <v>0</v>
      </c>
    </row>
    <row r="78" spans="1:26" s="24" customFormat="1" hidden="1" outlineLevel="2" x14ac:dyDescent="0.25">
      <c r="A78" s="26"/>
      <c r="B78" s="11" t="str">
        <f>CONCATENATE("          ", "6273", " - ", "RENT")</f>
        <v xml:space="preserve">          6273 - RENT</v>
      </c>
      <c r="C78" s="11"/>
      <c r="D78" s="6">
        <v>1850</v>
      </c>
      <c r="E78" s="2"/>
      <c r="F78" s="7">
        <f t="shared" si="44"/>
        <v>4.3326792236766266E-3</v>
      </c>
      <c r="G78" s="2"/>
      <c r="H78" s="6">
        <v>1850</v>
      </c>
      <c r="I78" s="2"/>
      <c r="J78" s="7">
        <f t="shared" si="45"/>
        <v>3.5657044455815294E-3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11100</v>
      </c>
      <c r="Q78" s="2"/>
      <c r="R78" s="7">
        <f t="shared" si="48"/>
        <v>3.5837004971706445E-3</v>
      </c>
      <c r="S78" s="2"/>
      <c r="T78" s="6">
        <v>11100</v>
      </c>
      <c r="U78" s="2"/>
      <c r="V78" s="7">
        <f t="shared" si="49"/>
        <v>3.3912007109789775E-3</v>
      </c>
      <c r="W78" s="2"/>
      <c r="X78" s="6">
        <f t="shared" si="50"/>
        <v>0</v>
      </c>
      <c r="Y78" s="2"/>
      <c r="Z78" s="7">
        <f t="shared" si="51"/>
        <v>0</v>
      </c>
    </row>
    <row r="79" spans="1:26" s="27" customFormat="1" outlineLevel="1" collapsed="1" x14ac:dyDescent="0.25">
      <c r="A79" s="25"/>
      <c r="B79" s="13" t="str">
        <f>CONCATENATE("     ","Repair and Maintenance                            ")</f>
        <v xml:space="preserve">     Repair and Maintenance                            </v>
      </c>
      <c r="C79" s="13"/>
      <c r="D79" s="1">
        <f>SUM(OSRRefD22_15x_0)</f>
        <v>25734.67</v>
      </c>
      <c r="E79" s="1"/>
      <c r="F79" s="5">
        <f t="shared" si="44"/>
        <v>6.0270308128202242E-2</v>
      </c>
      <c r="G79" s="1"/>
      <c r="H79" s="1">
        <f>SUM(OSRRefH22_15x_0)</f>
        <v>24438.65</v>
      </c>
      <c r="I79" s="1"/>
      <c r="J79" s="5">
        <f t="shared" si="45"/>
        <v>4.7103244837303271E-2</v>
      </c>
      <c r="K79" s="1"/>
      <c r="L79" s="1">
        <f t="shared" si="46"/>
        <v>1296.0199999999968</v>
      </c>
      <c r="M79" s="1"/>
      <c r="N79" s="5">
        <f t="shared" si="47"/>
        <v>5.3031570892827416E-2</v>
      </c>
      <c r="O79" s="13"/>
      <c r="P79" s="1">
        <f>SUM(OSRRefP22_15x_0)</f>
        <v>144450.72</v>
      </c>
      <c r="Q79" s="1"/>
      <c r="R79" s="5">
        <f t="shared" si="48"/>
        <v>4.6636767304563745E-2</v>
      </c>
      <c r="S79" s="1"/>
      <c r="T79" s="1">
        <f>SUM(OSRRefT22_15x_0)</f>
        <v>164186.88</v>
      </c>
      <c r="U79" s="1"/>
      <c r="V79" s="5">
        <f t="shared" si="49"/>
        <v>5.0161321098145951E-2</v>
      </c>
      <c r="W79" s="1"/>
      <c r="X79" s="1">
        <f t="shared" si="50"/>
        <v>-19736.160000000003</v>
      </c>
      <c r="Y79" s="1"/>
      <c r="Z79" s="5">
        <f t="shared" si="51"/>
        <v>-0.1202054634328882</v>
      </c>
    </row>
    <row r="80" spans="1:26" s="24" customFormat="1" hidden="1" outlineLevel="2" x14ac:dyDescent="0.25">
      <c r="A80" s="26"/>
      <c r="B80" s="11" t="str">
        <f>CONCATENATE("          ", "6371", " - ", "COMPUTER SOFTWARE MAINTENANCE")</f>
        <v xml:space="preserve">          6371 - COMPUTER SOFTWARE MAINTENANCE</v>
      </c>
      <c r="C80" s="11"/>
      <c r="D80" s="6"/>
      <c r="E80" s="2"/>
      <c r="F80" s="7">
        <f t="shared" si="44"/>
        <v>0</v>
      </c>
      <c r="G80" s="2"/>
      <c r="H80" s="6">
        <v>2837.26</v>
      </c>
      <c r="I80" s="2"/>
      <c r="J80" s="7">
        <f t="shared" si="45"/>
        <v>5.4685570785246761E-3</v>
      </c>
      <c r="K80" s="2"/>
      <c r="L80" s="6">
        <f t="shared" si="46"/>
        <v>-2837.26</v>
      </c>
      <c r="M80" s="2"/>
      <c r="N80" s="7">
        <f t="shared" si="47"/>
        <v>-1</v>
      </c>
      <c r="O80" s="11"/>
      <c r="P80" s="6">
        <v>10932.69</v>
      </c>
      <c r="Q80" s="2"/>
      <c r="R80" s="7">
        <f t="shared" si="48"/>
        <v>3.5296834764335615E-3</v>
      </c>
      <c r="S80" s="2"/>
      <c r="T80" s="6">
        <v>16634.64</v>
      </c>
      <c r="U80" s="2"/>
      <c r="V80" s="7">
        <f t="shared" si="49"/>
        <v>5.0821083779170571E-3</v>
      </c>
      <c r="W80" s="2"/>
      <c r="X80" s="6">
        <f t="shared" si="50"/>
        <v>-5701.9499999999989</v>
      </c>
      <c r="Y80" s="2"/>
      <c r="Z80" s="7">
        <f t="shared" si="51"/>
        <v>-0.34277567774234963</v>
      </c>
    </row>
    <row r="81" spans="1:26" s="24" customFormat="1" hidden="1" outlineLevel="2" x14ac:dyDescent="0.25">
      <c r="A81" s="26"/>
      <c r="B81" s="11" t="str">
        <f>CONCATENATE("          ", "6373", " - ", "MAINTENANCE CONTRACTS")</f>
        <v xml:space="preserve">          6373 - MAINTENANCE CONTRACTS</v>
      </c>
      <c r="C81" s="11"/>
      <c r="D81" s="6">
        <v>17255.09</v>
      </c>
      <c r="E81" s="2"/>
      <c r="F81" s="7">
        <f t="shared" si="44"/>
        <v>4.041122699765963E-2</v>
      </c>
      <c r="G81" s="2"/>
      <c r="H81" s="6">
        <v>7613.47</v>
      </c>
      <c r="I81" s="2"/>
      <c r="J81" s="7">
        <f t="shared" si="45"/>
        <v>1.4674261527190058E-2</v>
      </c>
      <c r="K81" s="2"/>
      <c r="L81" s="6">
        <f t="shared" si="46"/>
        <v>9641.619999999999</v>
      </c>
      <c r="M81" s="2"/>
      <c r="N81" s="7">
        <f t="shared" si="47"/>
        <v>1.2663897014107888</v>
      </c>
      <c r="O81" s="11"/>
      <c r="P81" s="6">
        <v>58321.619999999995</v>
      </c>
      <c r="Q81" s="2"/>
      <c r="R81" s="7">
        <f t="shared" si="48"/>
        <v>1.8829479152233999E-2</v>
      </c>
      <c r="S81" s="2"/>
      <c r="T81" s="6">
        <v>68995.48000000001</v>
      </c>
      <c r="U81" s="2"/>
      <c r="V81" s="7">
        <f t="shared" si="49"/>
        <v>2.1079055930660888E-2</v>
      </c>
      <c r="W81" s="2"/>
      <c r="X81" s="6">
        <f t="shared" si="50"/>
        <v>-10673.860000000015</v>
      </c>
      <c r="Y81" s="2"/>
      <c r="Z81" s="7">
        <f t="shared" si="51"/>
        <v>-0.15470375740555778</v>
      </c>
    </row>
    <row r="82" spans="1:26" s="24" customFormat="1" hidden="1" outlineLevel="2" x14ac:dyDescent="0.25">
      <c r="A82" s="26"/>
      <c r="B82" s="11" t="str">
        <f>CONCATENATE("          ", "6375", " - ", "OUTSIDE REPAIRS &amp; MAINTENANCE")</f>
        <v xml:space="preserve">          6375 - OUTSIDE REPAIRS &amp; MAINTENANCE</v>
      </c>
      <c r="C82" s="11"/>
      <c r="D82" s="6">
        <v>8479.58</v>
      </c>
      <c r="E82" s="2"/>
      <c r="F82" s="7">
        <f t="shared" si="44"/>
        <v>1.9859081130542619E-2</v>
      </c>
      <c r="G82" s="2"/>
      <c r="H82" s="6">
        <v>13987.92</v>
      </c>
      <c r="I82" s="2"/>
      <c r="J82" s="7">
        <f t="shared" si="45"/>
        <v>2.6960426231588532E-2</v>
      </c>
      <c r="K82" s="2"/>
      <c r="L82" s="6">
        <f t="shared" si="46"/>
        <v>-5508.34</v>
      </c>
      <c r="M82" s="2"/>
      <c r="N82" s="7">
        <f t="shared" si="47"/>
        <v>-0.39379264393848407</v>
      </c>
      <c r="O82" s="11"/>
      <c r="P82" s="6">
        <v>75196.41</v>
      </c>
      <c r="Q82" s="2"/>
      <c r="R82" s="7">
        <f t="shared" si="48"/>
        <v>2.4277604675896184E-2</v>
      </c>
      <c r="S82" s="2"/>
      <c r="T82" s="6">
        <v>78556.760000000009</v>
      </c>
      <c r="U82" s="2"/>
      <c r="V82" s="7">
        <f t="shared" si="49"/>
        <v>2.4000156789568013E-2</v>
      </c>
      <c r="W82" s="2"/>
      <c r="X82" s="6">
        <f t="shared" si="50"/>
        <v>-3360.3500000000058</v>
      </c>
      <c r="Y82" s="2"/>
      <c r="Z82" s="7">
        <f t="shared" si="51"/>
        <v>-4.2776076813758682E-2</v>
      </c>
    </row>
    <row r="83" spans="1:26" s="27" customFormat="1" outlineLevel="1" collapsed="1" x14ac:dyDescent="0.25">
      <c r="A83" s="25"/>
      <c r="B83" s="13" t="str">
        <f>CONCATENATE("     ","Royalty &amp; Commissions                             ")</f>
        <v xml:space="preserve">     Royalty &amp; Commissions                             </v>
      </c>
      <c r="C83" s="13"/>
      <c r="D83" s="1">
        <f>SUM(OSRRefD22_16x_0)</f>
        <v>18952.580000000002</v>
      </c>
      <c r="E83" s="1"/>
      <c r="F83" s="5">
        <f t="shared" ref="F83:F85" si="52">IF(D$12=0,0,D83/D$12)</f>
        <v>4.4386729514091436E-2</v>
      </c>
      <c r="G83" s="1"/>
      <c r="H83" s="1">
        <f>SUM(OSRRefH22_16x_0)</f>
        <v>30032.019999999997</v>
      </c>
      <c r="I83" s="1"/>
      <c r="J83" s="5">
        <f t="shared" ref="J83:J85" si="53">IF(H$12=0,0,H83/H$12)</f>
        <v>5.7883949850699133E-2</v>
      </c>
      <c r="K83" s="1"/>
      <c r="L83" s="1">
        <f t="shared" ref="L83:L85" si="54">+D83-H83</f>
        <v>-11079.439999999995</v>
      </c>
      <c r="M83" s="1"/>
      <c r="N83" s="5">
        <f t="shared" ref="N83:N85" si="55">IF(H83=0,0,L83/H83)</f>
        <v>-0.36892090508730335</v>
      </c>
      <c r="O83" s="13"/>
      <c r="P83" s="1">
        <f>SUM(OSRRefP22_16x_0)</f>
        <v>133672.18</v>
      </c>
      <c r="Q83" s="1"/>
      <c r="R83" s="5">
        <f t="shared" ref="R83:R85" si="56">IF(P$12=0,0,P83/P$12)</f>
        <v>4.315685206521476E-2</v>
      </c>
      <c r="S83" s="1"/>
      <c r="T83" s="1">
        <f>SUM(OSRRefT22_16x_0)</f>
        <v>146297.59000000003</v>
      </c>
      <c r="U83" s="1"/>
      <c r="V83" s="5">
        <f t="shared" ref="V83:V85" si="57">IF(T$12=0,0,T83/T$12)</f>
        <v>4.4695900110136126E-2</v>
      </c>
      <c r="W83" s="1"/>
      <c r="X83" s="1">
        <f t="shared" ref="X83:X85" si="58">+P83-T83</f>
        <v>-12625.410000000033</v>
      </c>
      <c r="Y83" s="1"/>
      <c r="Z83" s="5">
        <f t="shared" ref="Z83:Z85" si="59">IF(T83=0,0,X83/T83)</f>
        <v>-8.6299507736252043E-2</v>
      </c>
    </row>
    <row r="84" spans="1:26" s="24" customFormat="1" hidden="1" outlineLevel="2" x14ac:dyDescent="0.25">
      <c r="A84" s="26"/>
      <c r="B84" s="11" t="str">
        <f>CONCATENATE("          ", "6254", " - ", "ROYALTY &amp; COMMISSIONS")</f>
        <v xml:space="preserve">          6254 - ROYALTY &amp; COMMISSIONS</v>
      </c>
      <c r="C84" s="11"/>
      <c r="D84" s="6">
        <v>8040.34</v>
      </c>
      <c r="E84" s="2"/>
      <c r="F84" s="7">
        <f t="shared" si="52"/>
        <v>1.8830385983403312E-2</v>
      </c>
      <c r="G84" s="2"/>
      <c r="H84" s="6">
        <v>17642.419999999998</v>
      </c>
      <c r="I84" s="2"/>
      <c r="J84" s="7">
        <f t="shared" si="53"/>
        <v>3.4004138067468367E-2</v>
      </c>
      <c r="K84" s="2"/>
      <c r="L84" s="6">
        <f t="shared" si="54"/>
        <v>-9602.0799999999981</v>
      </c>
      <c r="M84" s="2"/>
      <c r="N84" s="7">
        <f t="shared" si="55"/>
        <v>-0.54426093472437453</v>
      </c>
      <c r="O84" s="11"/>
      <c r="P84" s="6">
        <v>61027.06</v>
      </c>
      <c r="Q84" s="2"/>
      <c r="R84" s="7">
        <f t="shared" si="56"/>
        <v>1.9702946420077725E-2</v>
      </c>
      <c r="S84" s="2"/>
      <c r="T84" s="6">
        <v>73687.990000000005</v>
      </c>
      <c r="U84" s="2"/>
      <c r="V84" s="7">
        <f t="shared" si="57"/>
        <v>2.2512681448523586E-2</v>
      </c>
      <c r="W84" s="2"/>
      <c r="X84" s="6">
        <f t="shared" si="58"/>
        <v>-12660.930000000008</v>
      </c>
      <c r="Y84" s="2"/>
      <c r="Z84" s="7">
        <f t="shared" si="59"/>
        <v>-0.17181809410190191</v>
      </c>
    </row>
    <row r="85" spans="1:26" s="24" customFormat="1" hidden="1" outlineLevel="2" x14ac:dyDescent="0.25">
      <c r="A85" s="26"/>
      <c r="B85" s="11" t="str">
        <f>CONCATENATE("          ", "6259", " - ", "ROYALTY &amp; COMMISSIONS")</f>
        <v xml:space="preserve">          6259 - ROYALTY &amp; COMMISSIONS</v>
      </c>
      <c r="C85" s="11"/>
      <c r="D85" s="6">
        <v>10912.24</v>
      </c>
      <c r="E85" s="2"/>
      <c r="F85" s="7">
        <f t="shared" si="52"/>
        <v>2.5556343530688121E-2</v>
      </c>
      <c r="G85" s="2"/>
      <c r="H85" s="6">
        <v>12389.6</v>
      </c>
      <c r="I85" s="2"/>
      <c r="J85" s="7">
        <f t="shared" si="53"/>
        <v>2.3879811783230766E-2</v>
      </c>
      <c r="K85" s="2"/>
      <c r="L85" s="6">
        <f t="shared" si="54"/>
        <v>-1477.3600000000006</v>
      </c>
      <c r="M85" s="2"/>
      <c r="N85" s="7">
        <f t="shared" si="55"/>
        <v>-0.11924194485697687</v>
      </c>
      <c r="O85" s="11"/>
      <c r="P85" s="6">
        <v>72645.119999999995</v>
      </c>
      <c r="Q85" s="2"/>
      <c r="R85" s="7">
        <f t="shared" si="56"/>
        <v>2.3453905645137038E-2</v>
      </c>
      <c r="S85" s="2"/>
      <c r="T85" s="6">
        <v>72609.600000000006</v>
      </c>
      <c r="U85" s="2"/>
      <c r="V85" s="7">
        <f t="shared" si="57"/>
        <v>2.218321866161254E-2</v>
      </c>
      <c r="W85" s="2"/>
      <c r="X85" s="6">
        <f t="shared" si="58"/>
        <v>35.519999999989523</v>
      </c>
      <c r="Y85" s="2"/>
      <c r="Z85" s="7">
        <f t="shared" si="59"/>
        <v>4.8919151186605522E-4</v>
      </c>
    </row>
    <row r="86" spans="1:26" s="27" customFormat="1" outlineLevel="1" collapsed="1" x14ac:dyDescent="0.25">
      <c r="A86" s="25"/>
      <c r="B86" s="13" t="str">
        <f>CONCATENATE("     ","Services                                          ")</f>
        <v xml:space="preserve">     Services                                          </v>
      </c>
      <c r="C86" s="13"/>
      <c r="D86" s="1">
        <f>SUM(OSRRefD22_17x_0)</f>
        <v>28362.85</v>
      </c>
      <c r="E86" s="1"/>
      <c r="F86" s="5">
        <f t="shared" ref="F86:F91" si="60">IF(D$12=0,0,D86/D$12)</f>
        <v>6.6425476172571135E-2</v>
      </c>
      <c r="G86" s="1"/>
      <c r="H86" s="1">
        <f>SUM(OSRRefH22_17x_0)</f>
        <v>16002.73</v>
      </c>
      <c r="I86" s="1"/>
      <c r="J86" s="5">
        <f t="shared" ref="J86:J91" si="61">IF(H$12=0,0,H86/H$12)</f>
        <v>3.0843786758076166E-2</v>
      </c>
      <c r="K86" s="1"/>
      <c r="L86" s="1">
        <f t="shared" ref="L86:L91" si="62">+D86-H86</f>
        <v>12360.119999999999</v>
      </c>
      <c r="M86" s="1"/>
      <c r="N86" s="5">
        <f t="shared" ref="N86:N91" si="63">IF(H86=0,0,L86/H86)</f>
        <v>0.7723757133939021</v>
      </c>
      <c r="O86" s="13"/>
      <c r="P86" s="1">
        <f>SUM(OSRRefP22_17x_0)</f>
        <v>131827.91</v>
      </c>
      <c r="Q86" s="1"/>
      <c r="R86" s="5">
        <f t="shared" ref="R86:R91" si="64">IF(P$12=0,0,P86/P$12)</f>
        <v>4.2561418613330362E-2</v>
      </c>
      <c r="S86" s="1"/>
      <c r="T86" s="1">
        <f>SUM(OSRRefT22_17x_0)</f>
        <v>133364.10999999999</v>
      </c>
      <c r="U86" s="1"/>
      <c r="V86" s="5">
        <f t="shared" ref="V86:V91" si="65">IF(T$12=0,0,T86/T$12)</f>
        <v>4.0744546364962025E-2</v>
      </c>
      <c r="W86" s="1"/>
      <c r="X86" s="1">
        <f t="shared" ref="X86:X91" si="66">+P86-T86</f>
        <v>-1536.1999999999825</v>
      </c>
      <c r="Y86" s="1"/>
      <c r="Z86" s="5">
        <f t="shared" ref="Z86:Z91" si="67">IF(T86=0,0,X86/T86)</f>
        <v>-1.1518841163488308E-2</v>
      </c>
    </row>
    <row r="87" spans="1:26" s="24" customFormat="1" hidden="1" outlineLevel="2" x14ac:dyDescent="0.25">
      <c r="A87" s="26"/>
      <c r="B87" s="11" t="str">
        <f>CONCATENATE("          ", "6282", " - ", "JANITORIAL/EXTERMINATOR EXPENS")</f>
        <v xml:space="preserve">          6282 - JANITORIAL/EXTERMINATOR EXPENS</v>
      </c>
      <c r="C87" s="11"/>
      <c r="D87" s="6">
        <v>2555.14</v>
      </c>
      <c r="E87" s="2"/>
      <c r="F87" s="7">
        <f t="shared" si="60"/>
        <v>5.9841091846405915E-3</v>
      </c>
      <c r="G87" s="2"/>
      <c r="H87" s="6"/>
      <c r="I87" s="2"/>
      <c r="J87" s="7">
        <f t="shared" si="61"/>
        <v>0</v>
      </c>
      <c r="K87" s="2"/>
      <c r="L87" s="6">
        <f t="shared" si="62"/>
        <v>2555.14</v>
      </c>
      <c r="M87" s="2"/>
      <c r="N87" s="7">
        <f t="shared" si="63"/>
        <v>0</v>
      </c>
      <c r="O87" s="11"/>
      <c r="P87" s="6">
        <v>8942.99</v>
      </c>
      <c r="Q87" s="2"/>
      <c r="R87" s="7">
        <f t="shared" si="64"/>
        <v>2.8872970909182075E-3</v>
      </c>
      <c r="S87" s="2"/>
      <c r="T87" s="6">
        <v>6193.93</v>
      </c>
      <c r="U87" s="2"/>
      <c r="V87" s="7">
        <f t="shared" si="65"/>
        <v>1.8923297134913531E-3</v>
      </c>
      <c r="W87" s="2"/>
      <c r="X87" s="6">
        <f t="shared" si="66"/>
        <v>2749.0599999999995</v>
      </c>
      <c r="Y87" s="2"/>
      <c r="Z87" s="7">
        <f t="shared" si="67"/>
        <v>0.44383129935275334</v>
      </c>
    </row>
    <row r="88" spans="1:26" s="24" customFormat="1" hidden="1" outlineLevel="2" x14ac:dyDescent="0.25">
      <c r="A88" s="26"/>
      <c r="B88" s="11" t="str">
        <f>CONCATENATE("          ", "6283", " - ", "PLANT SERVICE")</f>
        <v xml:space="preserve">          6283 - PLANT SERVICE</v>
      </c>
      <c r="C88" s="11"/>
      <c r="D88" s="6"/>
      <c r="E88" s="2"/>
      <c r="F88" s="7">
        <f t="shared" si="60"/>
        <v>0</v>
      </c>
      <c r="G88" s="2"/>
      <c r="H88" s="6">
        <v>176</v>
      </c>
      <c r="I88" s="2"/>
      <c r="J88" s="7">
        <f t="shared" si="61"/>
        <v>3.392237742823509E-4</v>
      </c>
      <c r="K88" s="2"/>
      <c r="L88" s="6">
        <f t="shared" si="62"/>
        <v>-176</v>
      </c>
      <c r="M88" s="2"/>
      <c r="N88" s="7">
        <f t="shared" si="63"/>
        <v>-1</v>
      </c>
      <c r="O88" s="11"/>
      <c r="P88" s="6">
        <v>799.12</v>
      </c>
      <c r="Q88" s="2"/>
      <c r="R88" s="7">
        <f t="shared" si="64"/>
        <v>2.5800060732423472E-4</v>
      </c>
      <c r="S88" s="2"/>
      <c r="T88" s="6">
        <v>1056</v>
      </c>
      <c r="U88" s="2"/>
      <c r="V88" s="7">
        <f t="shared" si="65"/>
        <v>3.2262233790935138E-4</v>
      </c>
      <c r="W88" s="2"/>
      <c r="X88" s="6">
        <f t="shared" si="66"/>
        <v>-256.88</v>
      </c>
      <c r="Y88" s="2"/>
      <c r="Z88" s="7">
        <f t="shared" si="67"/>
        <v>-0.24325757575757576</v>
      </c>
    </row>
    <row r="89" spans="1:26" s="24" customFormat="1" hidden="1" outlineLevel="2" x14ac:dyDescent="0.25">
      <c r="A89" s="26"/>
      <c r="B89" s="11" t="str">
        <f>CONCATENATE("          ", "6284", " - ", "TRASH REMOVAL EXPENSE")</f>
        <v xml:space="preserve">          6284 - TRASH REMOVAL EXPENSE</v>
      </c>
      <c r="C89" s="11"/>
      <c r="D89" s="6">
        <v>9673</v>
      </c>
      <c r="E89" s="2"/>
      <c r="F89" s="7">
        <f t="shared" si="60"/>
        <v>2.2654057367904868E-2</v>
      </c>
      <c r="G89" s="2"/>
      <c r="H89" s="6">
        <v>4199</v>
      </c>
      <c r="I89" s="2"/>
      <c r="J89" s="7">
        <f t="shared" si="61"/>
        <v>8.0931853875658606E-3</v>
      </c>
      <c r="K89" s="2"/>
      <c r="L89" s="6">
        <f t="shared" si="62"/>
        <v>5474</v>
      </c>
      <c r="M89" s="2"/>
      <c r="N89" s="7">
        <f t="shared" si="63"/>
        <v>1.3036437246963564</v>
      </c>
      <c r="O89" s="11"/>
      <c r="P89" s="6">
        <v>22893</v>
      </c>
      <c r="Q89" s="2"/>
      <c r="R89" s="7">
        <f t="shared" si="64"/>
        <v>7.3911401334889699E-3</v>
      </c>
      <c r="S89" s="2"/>
      <c r="T89" s="6">
        <v>34700.270000000004</v>
      </c>
      <c r="U89" s="2"/>
      <c r="V89" s="7">
        <f t="shared" si="65"/>
        <v>1.0601403630194819E-2</v>
      </c>
      <c r="W89" s="2"/>
      <c r="X89" s="6">
        <f t="shared" si="66"/>
        <v>-11807.270000000004</v>
      </c>
      <c r="Y89" s="2"/>
      <c r="Z89" s="7">
        <f t="shared" si="67"/>
        <v>-0.34026449938285791</v>
      </c>
    </row>
    <row r="90" spans="1:26" s="24" customFormat="1" hidden="1" outlineLevel="2" x14ac:dyDescent="0.25">
      <c r="A90" s="26"/>
      <c r="B90" s="11" t="str">
        <f>CONCATENATE("          ", "6285", " - ", "JANITORIAL SERVICES")</f>
        <v xml:space="preserve">          6285 - JANITORIAL SERVICES</v>
      </c>
      <c r="C90" s="11"/>
      <c r="D90" s="6">
        <v>13319.46</v>
      </c>
      <c r="E90" s="2"/>
      <c r="F90" s="7">
        <f t="shared" si="60"/>
        <v>3.1194025736536148E-2</v>
      </c>
      <c r="G90" s="2"/>
      <c r="H90" s="6">
        <v>9146.7199999999993</v>
      </c>
      <c r="I90" s="2"/>
      <c r="J90" s="7">
        <f t="shared" si="61"/>
        <v>1.7629459549453774E-2</v>
      </c>
      <c r="K90" s="2"/>
      <c r="L90" s="6">
        <f t="shared" si="62"/>
        <v>4172.74</v>
      </c>
      <c r="M90" s="2"/>
      <c r="N90" s="7">
        <f t="shared" si="63"/>
        <v>0.45620069270733116</v>
      </c>
      <c r="O90" s="11"/>
      <c r="P90" s="6">
        <v>79646.759999999995</v>
      </c>
      <c r="Q90" s="2"/>
      <c r="R90" s="7">
        <f t="shared" si="64"/>
        <v>2.5714426433336126E-2</v>
      </c>
      <c r="S90" s="2"/>
      <c r="T90" s="6">
        <v>71603.27</v>
      </c>
      <c r="U90" s="2"/>
      <c r="V90" s="7">
        <f t="shared" si="65"/>
        <v>2.1875771183100873E-2</v>
      </c>
      <c r="W90" s="2"/>
      <c r="X90" s="6">
        <f t="shared" si="66"/>
        <v>8043.4899999999907</v>
      </c>
      <c r="Y90" s="2"/>
      <c r="Z90" s="7">
        <f t="shared" si="67"/>
        <v>0.11233411546707281</v>
      </c>
    </row>
    <row r="91" spans="1:26" s="24" customFormat="1" hidden="1" outlineLevel="2" x14ac:dyDescent="0.25">
      <c r="A91" s="26"/>
      <c r="B91" s="11" t="str">
        <f>CONCATENATE("          ", "6286", " - ", "LAUNDRY EXPENSE")</f>
        <v xml:space="preserve">          6286 - LAUNDRY EXPENSE</v>
      </c>
      <c r="C91" s="11"/>
      <c r="D91" s="6">
        <v>2815.25</v>
      </c>
      <c r="E91" s="2"/>
      <c r="F91" s="7">
        <f t="shared" si="60"/>
        <v>6.5932838834895256E-3</v>
      </c>
      <c r="G91" s="2"/>
      <c r="H91" s="6">
        <v>2481.0100000000002</v>
      </c>
      <c r="I91" s="2"/>
      <c r="J91" s="7">
        <f t="shared" si="61"/>
        <v>4.7819180467741787E-3</v>
      </c>
      <c r="K91" s="2"/>
      <c r="L91" s="6">
        <f t="shared" si="62"/>
        <v>334.23999999999978</v>
      </c>
      <c r="M91" s="2"/>
      <c r="N91" s="7">
        <f t="shared" si="63"/>
        <v>0.13471932801560646</v>
      </c>
      <c r="O91" s="11"/>
      <c r="P91" s="6">
        <v>19546.04</v>
      </c>
      <c r="Q91" s="2"/>
      <c r="R91" s="7">
        <f t="shared" si="64"/>
        <v>6.3105543482628208E-3</v>
      </c>
      <c r="S91" s="2"/>
      <c r="T91" s="6">
        <v>19810.64</v>
      </c>
      <c r="U91" s="2"/>
      <c r="V91" s="7">
        <f t="shared" si="65"/>
        <v>6.0524195002656369E-3</v>
      </c>
      <c r="W91" s="2"/>
      <c r="X91" s="6">
        <f t="shared" si="66"/>
        <v>-264.59999999999854</v>
      </c>
      <c r="Y91" s="2"/>
      <c r="Z91" s="7">
        <f t="shared" si="67"/>
        <v>-1.335645895337044E-2</v>
      </c>
    </row>
    <row r="92" spans="1:26" s="27" customFormat="1" outlineLevel="1" collapsed="1" x14ac:dyDescent="0.25">
      <c r="A92" s="25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SUM(OSRRefD22_18x_0)</f>
        <v>4123.42</v>
      </c>
      <c r="E92" s="1"/>
      <c r="F92" s="5">
        <f t="shared" ref="F92:F94" si="68">IF(D$12=0,0,D92/D$12)</f>
        <v>9.6570033321582028E-3</v>
      </c>
      <c r="G92" s="1"/>
      <c r="H92" s="1">
        <f>SUM(OSRRefH22_18x_0)</f>
        <v>448.78</v>
      </c>
      <c r="I92" s="1"/>
      <c r="J92" s="5">
        <f t="shared" ref="J92:J94" si="69">IF(H$12=0,0,H92/H$12)</f>
        <v>8.6498207626382634E-4</v>
      </c>
      <c r="K92" s="1"/>
      <c r="L92" s="1">
        <f t="shared" ref="L92:L94" si="70">+D92-H92</f>
        <v>3674.6400000000003</v>
      </c>
      <c r="M92" s="1"/>
      <c r="N92" s="5">
        <f t="shared" ref="N92:N94" si="71">IF(H92=0,0,L92/H92)</f>
        <v>8.1880654218102418</v>
      </c>
      <c r="O92" s="13"/>
      <c r="P92" s="1">
        <f>SUM(OSRRefP22_18x_0)</f>
        <v>6274.6</v>
      </c>
      <c r="Q92" s="1"/>
      <c r="R92" s="5">
        <f t="shared" ref="R92:R94" si="72">IF(P$12=0,0,P92/P$12)</f>
        <v>2.0257916341934168E-3</v>
      </c>
      <c r="S92" s="1"/>
      <c r="T92" s="1">
        <f>SUM(OSRRefT22_18x_0)</f>
        <v>1956.79</v>
      </c>
      <c r="U92" s="1"/>
      <c r="V92" s="5">
        <f t="shared" ref="V92:V94" si="73">IF(T$12=0,0,T92/T$12)</f>
        <v>5.9782591344473453E-4</v>
      </c>
      <c r="W92" s="1"/>
      <c r="X92" s="1">
        <f t="shared" ref="X92:X94" si="74">+P92-T92</f>
        <v>4317.8100000000004</v>
      </c>
      <c r="Y92" s="1"/>
      <c r="Z92" s="5">
        <f t="shared" ref="Z92:Z94" si="75">IF(T92=0,0,X92/T92)</f>
        <v>2.2065781202888406</v>
      </c>
    </row>
    <row r="93" spans="1:26" s="24" customFormat="1" hidden="1" outlineLevel="2" x14ac:dyDescent="0.25">
      <c r="A93" s="26"/>
      <c r="B93" s="11" t="str">
        <f>CONCATENATE("          ", "6258", " - ", "MEMBERSHIP DUES")</f>
        <v xml:space="preserve">          6258 - MEMBERSHIP DUES</v>
      </c>
      <c r="C93" s="11"/>
      <c r="D93" s="6">
        <v>3730</v>
      </c>
      <c r="E93" s="2"/>
      <c r="F93" s="7">
        <f t="shared" si="68"/>
        <v>8.7356181104399008E-3</v>
      </c>
      <c r="G93" s="2"/>
      <c r="H93" s="6"/>
      <c r="I93" s="2"/>
      <c r="J93" s="7">
        <f t="shared" si="69"/>
        <v>0</v>
      </c>
      <c r="K93" s="2"/>
      <c r="L93" s="6">
        <f t="shared" si="70"/>
        <v>3730</v>
      </c>
      <c r="M93" s="2"/>
      <c r="N93" s="7">
        <f t="shared" si="71"/>
        <v>0</v>
      </c>
      <c r="O93" s="11"/>
      <c r="P93" s="6">
        <v>3730</v>
      </c>
      <c r="Q93" s="2"/>
      <c r="R93" s="7">
        <f t="shared" si="72"/>
        <v>1.2042525094095949E-3</v>
      </c>
      <c r="S93" s="2"/>
      <c r="T93" s="6"/>
      <c r="U93" s="2"/>
      <c r="V93" s="7">
        <f t="shared" si="73"/>
        <v>0</v>
      </c>
      <c r="W93" s="2"/>
      <c r="X93" s="6">
        <f t="shared" si="74"/>
        <v>3730</v>
      </c>
      <c r="Y93" s="2"/>
      <c r="Z93" s="7">
        <f t="shared" si="75"/>
        <v>0</v>
      </c>
    </row>
    <row r="94" spans="1:26" s="24" customFormat="1" hidden="1" outlineLevel="2" x14ac:dyDescent="0.25">
      <c r="A94" s="26"/>
      <c r="B94" s="11" t="str">
        <f>CONCATENATE("          ", "6275", " - ", "SUBSCRIPTIONS")</f>
        <v xml:space="preserve">          6275 - SUBSCRIPTIONS</v>
      </c>
      <c r="C94" s="11"/>
      <c r="D94" s="6">
        <v>393.42</v>
      </c>
      <c r="E94" s="2"/>
      <c r="F94" s="7">
        <f t="shared" si="68"/>
        <v>9.2138522171830186E-4</v>
      </c>
      <c r="G94" s="2"/>
      <c r="H94" s="6">
        <v>448.78</v>
      </c>
      <c r="I94" s="2"/>
      <c r="J94" s="7">
        <f t="shared" si="69"/>
        <v>8.6498207626382634E-4</v>
      </c>
      <c r="K94" s="2"/>
      <c r="L94" s="6">
        <f t="shared" si="70"/>
        <v>-55.359999999999957</v>
      </c>
      <c r="M94" s="2"/>
      <c r="N94" s="7">
        <f t="shared" si="71"/>
        <v>-0.12335665582245189</v>
      </c>
      <c r="O94" s="11"/>
      <c r="P94" s="6">
        <v>2544.6</v>
      </c>
      <c r="Q94" s="2"/>
      <c r="R94" s="7">
        <f t="shared" si="72"/>
        <v>8.2153912478382177E-4</v>
      </c>
      <c r="S94" s="2"/>
      <c r="T94" s="6">
        <v>1956.79</v>
      </c>
      <c r="U94" s="2"/>
      <c r="V94" s="7">
        <f t="shared" si="73"/>
        <v>5.9782591344473453E-4</v>
      </c>
      <c r="W94" s="2"/>
      <c r="X94" s="6">
        <f t="shared" si="74"/>
        <v>587.80999999999995</v>
      </c>
      <c r="Y94" s="2"/>
      <c r="Z94" s="7">
        <f t="shared" si="75"/>
        <v>0.30039503472523876</v>
      </c>
    </row>
    <row r="95" spans="1:26" s="27" customFormat="1" outlineLevel="1" collapsed="1" x14ac:dyDescent="0.25">
      <c r="A95" s="25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SUM(OSRRefD22_19x_0)</f>
        <v>12661.619999999999</v>
      </c>
      <c r="E95" s="1"/>
      <c r="F95" s="5">
        <f t="shared" ref="F95:F103" si="76">IF(D$12=0,0,D95/D$12)</f>
        <v>2.9653371844372129E-2</v>
      </c>
      <c r="G95" s="1"/>
      <c r="H95" s="1">
        <f>SUM(OSRRefH22_19x_0)</f>
        <v>14849.359999999999</v>
      </c>
      <c r="I95" s="1"/>
      <c r="J95" s="5">
        <f t="shared" ref="J95:J103" si="77">IF(H$12=0,0,H95/H$12)</f>
        <v>2.8620772414075964E-2</v>
      </c>
      <c r="K95" s="1"/>
      <c r="L95" s="1">
        <f t="shared" ref="L95:L103" si="78">+D95-H95</f>
        <v>-2187.7399999999998</v>
      </c>
      <c r="M95" s="1"/>
      <c r="N95" s="5">
        <f t="shared" ref="N95:N103" si="79">IF(H95=0,0,L95/H95)</f>
        <v>-0.1473289084512733</v>
      </c>
      <c r="O95" s="13"/>
      <c r="P95" s="1">
        <f>SUM(OSRRefP22_19x_0)</f>
        <v>116405.90999999999</v>
      </c>
      <c r="Q95" s="1"/>
      <c r="R95" s="5">
        <f t="shared" ref="R95:R103" si="80">IF(P$12=0,0,P95/P$12)</f>
        <v>3.7582334913567682E-2</v>
      </c>
      <c r="S95" s="1"/>
      <c r="T95" s="1">
        <f>SUM(OSRRefT22_19x_0)</f>
        <v>105737.69999999998</v>
      </c>
      <c r="U95" s="1"/>
      <c r="V95" s="5">
        <f t="shared" ref="V95:V103" si="81">IF(T$12=0,0,T95/T$12)</f>
        <v>3.2304303010565923E-2</v>
      </c>
      <c r="W95" s="1"/>
      <c r="X95" s="1">
        <f t="shared" ref="X95:X103" si="82">+P95-T95</f>
        <v>10668.210000000006</v>
      </c>
      <c r="Y95" s="1"/>
      <c r="Z95" s="5">
        <f t="shared" ref="Z95:Z103" si="83">IF(T95=0,0,X95/T95)</f>
        <v>0.1008931535299142</v>
      </c>
    </row>
    <row r="96" spans="1:26" s="24" customFormat="1" hidden="1" outlineLevel="2" x14ac:dyDescent="0.25">
      <c r="A96" s="26"/>
      <c r="B96" s="11" t="str">
        <f>CONCATENATE("          ", "6234", " - ", "EXPENDABLE SUPPLIES &amp; EQUIPMEN")</f>
        <v xml:space="preserve">          6234 - EXPENDABLE SUPPLIES &amp; EQUIPMEN</v>
      </c>
      <c r="C96" s="11"/>
      <c r="D96" s="6"/>
      <c r="E96" s="2"/>
      <c r="F96" s="7">
        <f t="shared" si="76"/>
        <v>0</v>
      </c>
      <c r="G96" s="2"/>
      <c r="H96" s="6">
        <v>128.07</v>
      </c>
      <c r="I96" s="2"/>
      <c r="J96" s="7">
        <f t="shared" si="77"/>
        <v>2.4684311802466297E-4</v>
      </c>
      <c r="K96" s="2"/>
      <c r="L96" s="6">
        <f t="shared" si="78"/>
        <v>-128.07</v>
      </c>
      <c r="M96" s="2"/>
      <c r="N96" s="7">
        <f t="shared" si="79"/>
        <v>-1</v>
      </c>
      <c r="O96" s="11"/>
      <c r="P96" s="6">
        <v>12202.72</v>
      </c>
      <c r="Q96" s="2"/>
      <c r="R96" s="7">
        <f t="shared" si="80"/>
        <v>3.9397201559310058E-3</v>
      </c>
      <c r="S96" s="2"/>
      <c r="T96" s="6">
        <v>6976.28</v>
      </c>
      <c r="U96" s="2"/>
      <c r="V96" s="7">
        <f t="shared" si="81"/>
        <v>2.1313482608998576E-3</v>
      </c>
      <c r="W96" s="2"/>
      <c r="X96" s="6">
        <f t="shared" si="82"/>
        <v>5226.4399999999996</v>
      </c>
      <c r="Y96" s="2"/>
      <c r="Z96" s="7">
        <f t="shared" si="83"/>
        <v>0.74917291163772093</v>
      </c>
    </row>
    <row r="97" spans="1:26" s="24" customFormat="1" hidden="1" outlineLevel="2" x14ac:dyDescent="0.25">
      <c r="A97" s="26"/>
      <c r="B97" s="11" t="str">
        <f>CONCATENATE("          ", "6237", " - ", "JANITORIAL SUPPLIES")</f>
        <v xml:space="preserve">          6237 - JANITORIAL SUPPLIES</v>
      </c>
      <c r="C97" s="11"/>
      <c r="D97" s="6">
        <v>5608.72</v>
      </c>
      <c r="E97" s="2"/>
      <c r="F97" s="7">
        <f t="shared" si="76"/>
        <v>1.3135559251578145E-2</v>
      </c>
      <c r="G97" s="2"/>
      <c r="H97" s="6">
        <v>5220.5</v>
      </c>
      <c r="I97" s="2"/>
      <c r="J97" s="7">
        <f t="shared" si="77"/>
        <v>1.0062032463869391E-2</v>
      </c>
      <c r="K97" s="2"/>
      <c r="L97" s="6">
        <f t="shared" si="78"/>
        <v>388.22000000000025</v>
      </c>
      <c r="M97" s="2"/>
      <c r="N97" s="7">
        <f t="shared" si="79"/>
        <v>7.4364524470836177E-2</v>
      </c>
      <c r="O97" s="11"/>
      <c r="P97" s="6">
        <v>29993.48</v>
      </c>
      <c r="Q97" s="2"/>
      <c r="R97" s="7">
        <f t="shared" si="80"/>
        <v>9.683571998907908E-3</v>
      </c>
      <c r="S97" s="2"/>
      <c r="T97" s="6">
        <v>28010.18</v>
      </c>
      <c r="U97" s="2"/>
      <c r="V97" s="7">
        <f t="shared" si="81"/>
        <v>8.5574903000584807E-3</v>
      </c>
      <c r="W97" s="2"/>
      <c r="X97" s="6">
        <f t="shared" si="82"/>
        <v>1983.2999999999993</v>
      </c>
      <c r="Y97" s="2"/>
      <c r="Z97" s="7">
        <f t="shared" si="83"/>
        <v>7.0806399673261619E-2</v>
      </c>
    </row>
    <row r="98" spans="1:26" s="24" customFormat="1" hidden="1" outlineLevel="2" x14ac:dyDescent="0.25">
      <c r="A98" s="26"/>
      <c r="B98" s="11" t="str">
        <f>CONCATENATE("          ", "6239", " - ", "KITCHEN SUPPLIES")</f>
        <v xml:space="preserve">          6239 - KITCHEN SUPPLIES</v>
      </c>
      <c r="C98" s="11"/>
      <c r="D98" s="6">
        <v>2898.44</v>
      </c>
      <c r="E98" s="2"/>
      <c r="F98" s="7">
        <f t="shared" si="76"/>
        <v>6.7881139292287999E-3</v>
      </c>
      <c r="G98" s="2"/>
      <c r="H98" s="6">
        <v>2957.62</v>
      </c>
      <c r="I98" s="2"/>
      <c r="J98" s="7">
        <f t="shared" si="77"/>
        <v>5.7005398823464018E-3</v>
      </c>
      <c r="K98" s="2"/>
      <c r="L98" s="6">
        <f t="shared" si="78"/>
        <v>-59.179999999999836</v>
      </c>
      <c r="M98" s="2"/>
      <c r="N98" s="7">
        <f t="shared" si="79"/>
        <v>-2.0009331827618097E-2</v>
      </c>
      <c r="O98" s="11"/>
      <c r="P98" s="6">
        <v>33433.839999999997</v>
      </c>
      <c r="Q98" s="2"/>
      <c r="R98" s="7">
        <f t="shared" si="80"/>
        <v>1.0794312525254394E-2</v>
      </c>
      <c r="S98" s="2"/>
      <c r="T98" s="6">
        <v>18900.64</v>
      </c>
      <c r="U98" s="2"/>
      <c r="V98" s="7">
        <f t="shared" si="81"/>
        <v>5.7744021446808737E-3</v>
      </c>
      <c r="W98" s="2"/>
      <c r="X98" s="6">
        <f t="shared" si="82"/>
        <v>14533.199999999997</v>
      </c>
      <c r="Y98" s="2"/>
      <c r="Z98" s="7">
        <f t="shared" si="83"/>
        <v>0.76892634323493791</v>
      </c>
    </row>
    <row r="99" spans="1:26" s="24" customFormat="1" hidden="1" outlineLevel="2" x14ac:dyDescent="0.25">
      <c r="A99" s="26"/>
      <c r="B99" s="11" t="str">
        <f>CONCATENATE("          ", "6241", " - ", "OFFICE EXPENSE")</f>
        <v xml:space="preserve">          6241 - OFFICE EXPENSE</v>
      </c>
      <c r="C99" s="11"/>
      <c r="D99" s="6">
        <v>1380.76</v>
      </c>
      <c r="E99" s="2"/>
      <c r="F99" s="7">
        <f t="shared" si="76"/>
        <v>3.2337244134506694E-3</v>
      </c>
      <c r="G99" s="2"/>
      <c r="H99" s="6">
        <v>3036.09</v>
      </c>
      <c r="I99" s="2"/>
      <c r="J99" s="7">
        <f t="shared" si="77"/>
        <v>5.8517835730733112E-3</v>
      </c>
      <c r="K99" s="2"/>
      <c r="L99" s="6">
        <f t="shared" si="78"/>
        <v>-1655.3300000000002</v>
      </c>
      <c r="M99" s="2"/>
      <c r="N99" s="7">
        <f t="shared" si="79"/>
        <v>-0.54521769776258278</v>
      </c>
      <c r="O99" s="11"/>
      <c r="P99" s="6">
        <v>14532.4</v>
      </c>
      <c r="Q99" s="2"/>
      <c r="R99" s="7">
        <f t="shared" si="80"/>
        <v>4.6918710905479886E-3</v>
      </c>
      <c r="S99" s="2"/>
      <c r="T99" s="6">
        <v>12651.41</v>
      </c>
      <c r="U99" s="2"/>
      <c r="V99" s="7">
        <f t="shared" si="81"/>
        <v>3.8651775303501393E-3</v>
      </c>
      <c r="W99" s="2"/>
      <c r="X99" s="6">
        <f t="shared" si="82"/>
        <v>1880.9899999999998</v>
      </c>
      <c r="Y99" s="2"/>
      <c r="Z99" s="7">
        <f t="shared" si="83"/>
        <v>0.14867828961356874</v>
      </c>
    </row>
    <row r="100" spans="1:26" s="24" customFormat="1" hidden="1" outlineLevel="2" x14ac:dyDescent="0.25">
      <c r="A100" s="26"/>
      <c r="B100" s="11" t="str">
        <f>CONCATENATE("          ", "6243", " - ", "PAPER SUPPLIES")</f>
        <v xml:space="preserve">          6243 - PAPER SUPPLIES</v>
      </c>
      <c r="C100" s="11"/>
      <c r="D100" s="6">
        <v>2281.39</v>
      </c>
      <c r="E100" s="2"/>
      <c r="F100" s="7">
        <f t="shared" si="76"/>
        <v>5.3429897589749283E-3</v>
      </c>
      <c r="G100" s="2"/>
      <c r="H100" s="6">
        <v>2248.4</v>
      </c>
      <c r="I100" s="2"/>
      <c r="J100" s="7">
        <f t="shared" si="77"/>
        <v>4.3335837164570328E-3</v>
      </c>
      <c r="K100" s="2"/>
      <c r="L100" s="6">
        <f t="shared" si="78"/>
        <v>32.989999999999782</v>
      </c>
      <c r="M100" s="2"/>
      <c r="N100" s="7">
        <f t="shared" si="79"/>
        <v>1.4672656111012178E-2</v>
      </c>
      <c r="O100" s="11"/>
      <c r="P100" s="6">
        <v>18846.25</v>
      </c>
      <c r="Q100" s="2"/>
      <c r="R100" s="7">
        <f t="shared" si="80"/>
        <v>6.0846230175497533E-3</v>
      </c>
      <c r="S100" s="2"/>
      <c r="T100" s="6">
        <v>25376.57</v>
      </c>
      <c r="U100" s="2"/>
      <c r="V100" s="7">
        <f t="shared" si="81"/>
        <v>7.7528866870457472E-3</v>
      </c>
      <c r="W100" s="2"/>
      <c r="X100" s="6">
        <f t="shared" si="82"/>
        <v>-6530.32</v>
      </c>
      <c r="Y100" s="2"/>
      <c r="Z100" s="7">
        <f t="shared" si="83"/>
        <v>-0.25733659040603202</v>
      </c>
    </row>
    <row r="101" spans="1:26" s="24" customFormat="1" hidden="1" outlineLevel="2" x14ac:dyDescent="0.25">
      <c r="A101" s="26"/>
      <c r="B101" s="11" t="str">
        <f>CONCATENATE("          ", "6245", " - ", "PRINTING")</f>
        <v xml:space="preserve">          6245 - PRINTING</v>
      </c>
      <c r="C101" s="11"/>
      <c r="D101" s="6"/>
      <c r="E101" s="2"/>
      <c r="F101" s="7">
        <f t="shared" si="76"/>
        <v>0</v>
      </c>
      <c r="G101" s="2"/>
      <c r="H101" s="6"/>
      <c r="I101" s="2"/>
      <c r="J101" s="7">
        <f t="shared" si="77"/>
        <v>0</v>
      </c>
      <c r="K101" s="2"/>
      <c r="L101" s="6">
        <f t="shared" si="78"/>
        <v>0</v>
      </c>
      <c r="M101" s="2"/>
      <c r="N101" s="7">
        <f t="shared" si="79"/>
        <v>0</v>
      </c>
      <c r="O101" s="11"/>
      <c r="P101" s="6">
        <v>270.89999999999998</v>
      </c>
      <c r="Q101" s="2"/>
      <c r="R101" s="7">
        <f t="shared" si="80"/>
        <v>8.7461663485002475E-5</v>
      </c>
      <c r="S101" s="2"/>
      <c r="T101" s="6"/>
      <c r="U101" s="2"/>
      <c r="V101" s="7">
        <f t="shared" si="81"/>
        <v>0</v>
      </c>
      <c r="W101" s="2"/>
      <c r="X101" s="6">
        <f t="shared" si="82"/>
        <v>270.89999999999998</v>
      </c>
      <c r="Y101" s="2"/>
      <c r="Z101" s="7">
        <f t="shared" si="83"/>
        <v>0</v>
      </c>
    </row>
    <row r="102" spans="1:26" s="24" customFormat="1" hidden="1" outlineLevel="2" x14ac:dyDescent="0.25">
      <c r="A102" s="26"/>
      <c r="B102" s="11" t="str">
        <f>CONCATENATE("          ", "6247", " - ", "STORE SUPPLIES")</f>
        <v xml:space="preserve">          6247 - STORE SUPPLIES</v>
      </c>
      <c r="C102" s="11"/>
      <c r="D102" s="6">
        <v>492.31</v>
      </c>
      <c r="E102" s="2"/>
      <c r="F102" s="7">
        <f t="shared" si="76"/>
        <v>1.1529844911395892E-3</v>
      </c>
      <c r="G102" s="2"/>
      <c r="H102" s="6">
        <v>259.16000000000003</v>
      </c>
      <c r="I102" s="2"/>
      <c r="J102" s="7">
        <f t="shared" si="77"/>
        <v>4.9950700763076175E-4</v>
      </c>
      <c r="K102" s="2"/>
      <c r="L102" s="6">
        <f t="shared" si="78"/>
        <v>233.14999999999998</v>
      </c>
      <c r="M102" s="2"/>
      <c r="N102" s="7">
        <f t="shared" si="79"/>
        <v>0.89963728970520129</v>
      </c>
      <c r="O102" s="11"/>
      <c r="P102" s="6">
        <v>3392.57</v>
      </c>
      <c r="Q102" s="2"/>
      <c r="R102" s="7">
        <f t="shared" si="80"/>
        <v>1.0953112428546139E-3</v>
      </c>
      <c r="S102" s="2"/>
      <c r="T102" s="6">
        <v>5841.19</v>
      </c>
      <c r="U102" s="2"/>
      <c r="V102" s="7">
        <f t="shared" si="81"/>
        <v>1.7845628541408372E-3</v>
      </c>
      <c r="W102" s="2"/>
      <c r="X102" s="6">
        <f t="shared" si="82"/>
        <v>-2448.6199999999994</v>
      </c>
      <c r="Y102" s="2"/>
      <c r="Z102" s="7">
        <f t="shared" si="83"/>
        <v>-0.41919882763614941</v>
      </c>
    </row>
    <row r="103" spans="1:26" s="24" customFormat="1" hidden="1" outlineLevel="2" x14ac:dyDescent="0.25">
      <c r="A103" s="26"/>
      <c r="B103" s="11" t="str">
        <f>CONCATENATE("          ", "6248", " - ", "UNIFORMS")</f>
        <v xml:space="preserve">          6248 - UNIFORMS</v>
      </c>
      <c r="C103" s="11"/>
      <c r="D103" s="6"/>
      <c r="E103" s="2"/>
      <c r="F103" s="7">
        <f t="shared" si="76"/>
        <v>0</v>
      </c>
      <c r="G103" s="2"/>
      <c r="H103" s="6">
        <v>999.52</v>
      </c>
      <c r="I103" s="2"/>
      <c r="J103" s="7">
        <f t="shared" si="77"/>
        <v>1.9264826526744056E-3</v>
      </c>
      <c r="K103" s="2"/>
      <c r="L103" s="6">
        <f t="shared" si="78"/>
        <v>-999.52</v>
      </c>
      <c r="M103" s="2"/>
      <c r="N103" s="7">
        <f t="shared" si="79"/>
        <v>-1</v>
      </c>
      <c r="O103" s="11"/>
      <c r="P103" s="6">
        <v>3733.75</v>
      </c>
      <c r="Q103" s="2"/>
      <c r="R103" s="7">
        <f t="shared" si="80"/>
        <v>1.2054632190370174E-3</v>
      </c>
      <c r="S103" s="2"/>
      <c r="T103" s="6">
        <v>7981.43</v>
      </c>
      <c r="U103" s="2"/>
      <c r="V103" s="7">
        <f t="shared" si="81"/>
        <v>2.4384352333899945E-3</v>
      </c>
      <c r="W103" s="2"/>
      <c r="X103" s="6">
        <f t="shared" si="82"/>
        <v>-4247.68</v>
      </c>
      <c r="Y103" s="2"/>
      <c r="Z103" s="7">
        <f t="shared" si="83"/>
        <v>-0.53219535847586208</v>
      </c>
    </row>
    <row r="104" spans="1:26" s="27" customFormat="1" outlineLevel="1" collapsed="1" x14ac:dyDescent="0.25">
      <c r="A104" s="25"/>
      <c r="B104" s="13" t="str">
        <f>CONCATENATE("     ","Telephone/Data Lines                              ")</f>
        <v xml:space="preserve">     Telephone/Data Lines                              </v>
      </c>
      <c r="C104" s="13"/>
      <c r="D104" s="1">
        <f>SUM(OSRRefD22_20x_0)</f>
        <v>1912.79</v>
      </c>
      <c r="E104" s="1"/>
      <c r="F104" s="5">
        <f t="shared" ref="F104:F111" si="84">IF(D$12=0,0,D104/D$12)</f>
        <v>4.4797326985169805E-3</v>
      </c>
      <c r="G104" s="1"/>
      <c r="H104" s="1">
        <f>SUM(OSRRefH22_20x_0)</f>
        <v>1891.71</v>
      </c>
      <c r="I104" s="1"/>
      <c r="J104" s="5">
        <f t="shared" ref="J104:J111" si="85">IF(H$12=0,0,H104/H$12)</f>
        <v>3.6460966252708296E-3</v>
      </c>
      <c r="K104" s="1"/>
      <c r="L104" s="1">
        <f t="shared" ref="L104:L111" si="86">+D104-H104</f>
        <v>21.079999999999927</v>
      </c>
      <c r="M104" s="1"/>
      <c r="N104" s="5">
        <f t="shared" ref="N104:N111" si="87">IF(H104=0,0,L104/H104)</f>
        <v>1.1143357068472401E-2</v>
      </c>
      <c r="O104" s="13"/>
      <c r="P104" s="1">
        <f>SUM(OSRRefP22_20x_0)</f>
        <v>10498.52</v>
      </c>
      <c r="Q104" s="1"/>
      <c r="R104" s="5">
        <f t="shared" ref="R104:R111" si="88">IF(P$12=0,0,P104/P$12)</f>
        <v>3.3895091300500859E-3</v>
      </c>
      <c r="S104" s="1"/>
      <c r="T104" s="1">
        <f>SUM(OSRRefT22_20x_0)</f>
        <v>11534.51</v>
      </c>
      <c r="U104" s="1"/>
      <c r="V104" s="5">
        <f t="shared" ref="V104:V111" si="89">IF(T$12=0,0,T104/T$12)</f>
        <v>3.5239494155670384E-3</v>
      </c>
      <c r="W104" s="1"/>
      <c r="X104" s="1">
        <f t="shared" ref="X104:X111" si="90">+P104-T104</f>
        <v>-1035.9899999999998</v>
      </c>
      <c r="Y104" s="1"/>
      <c r="Z104" s="5">
        <f t="shared" ref="Z104:Z111" si="91">IF(T104=0,0,X104/T104)</f>
        <v>-8.981655917763301E-2</v>
      </c>
    </row>
    <row r="105" spans="1:26" s="24" customFormat="1" hidden="1" outlineLevel="2" x14ac:dyDescent="0.25">
      <c r="A105" s="26"/>
      <c r="B105" s="11" t="str">
        <f>CONCATENATE("          ", "6309", " - ", "TELEPHONE")</f>
        <v xml:space="preserve">          6309 - TELEPHONE</v>
      </c>
      <c r="C105" s="11"/>
      <c r="D105" s="6">
        <v>1912.79</v>
      </c>
      <c r="E105" s="2"/>
      <c r="F105" s="7">
        <f t="shared" si="84"/>
        <v>4.4797326985169805E-3</v>
      </c>
      <c r="G105" s="2"/>
      <c r="H105" s="6">
        <v>1891.71</v>
      </c>
      <c r="I105" s="2"/>
      <c r="J105" s="7">
        <f t="shared" si="85"/>
        <v>3.6460966252708296E-3</v>
      </c>
      <c r="K105" s="2"/>
      <c r="L105" s="6">
        <f t="shared" si="86"/>
        <v>21.079999999999927</v>
      </c>
      <c r="M105" s="2"/>
      <c r="N105" s="7">
        <f t="shared" si="87"/>
        <v>1.1143357068472401E-2</v>
      </c>
      <c r="O105" s="11"/>
      <c r="P105" s="6">
        <v>10498.52</v>
      </c>
      <c r="Q105" s="2"/>
      <c r="R105" s="7">
        <f t="shared" si="88"/>
        <v>3.3895091300500859E-3</v>
      </c>
      <c r="S105" s="2"/>
      <c r="T105" s="6">
        <v>11534.51</v>
      </c>
      <c r="U105" s="2"/>
      <c r="V105" s="7">
        <f t="shared" si="89"/>
        <v>3.5239494155670384E-3</v>
      </c>
      <c r="W105" s="2"/>
      <c r="X105" s="6">
        <f t="shared" si="90"/>
        <v>-1035.9899999999998</v>
      </c>
      <c r="Y105" s="2"/>
      <c r="Z105" s="7">
        <f t="shared" si="91"/>
        <v>-8.981655917763301E-2</v>
      </c>
    </row>
    <row r="106" spans="1:26" s="27" customFormat="1" outlineLevel="1" collapsed="1" x14ac:dyDescent="0.25">
      <c r="A106" s="25"/>
      <c r="B106" s="13" t="str">
        <f>CONCATENATE("     ","Training                                          ")</f>
        <v xml:space="preserve">     Training                                          </v>
      </c>
      <c r="C106" s="13"/>
      <c r="D106" s="1">
        <f>SUM(OSRRefD22_21x_0)</f>
        <v>159</v>
      </c>
      <c r="E106" s="1"/>
      <c r="F106" s="5">
        <f t="shared" si="84"/>
        <v>3.7237621435923436E-4</v>
      </c>
      <c r="G106" s="1"/>
      <c r="H106" s="1">
        <f>SUM(OSRRefH22_21x_0)</f>
        <v>182.5</v>
      </c>
      <c r="I106" s="1"/>
      <c r="J106" s="5">
        <f t="shared" si="85"/>
        <v>3.5175192503709681E-4</v>
      </c>
      <c r="K106" s="1"/>
      <c r="L106" s="1">
        <f t="shared" si="86"/>
        <v>-23.5</v>
      </c>
      <c r="M106" s="1"/>
      <c r="N106" s="5">
        <f t="shared" si="87"/>
        <v>-0.12876712328767123</v>
      </c>
      <c r="O106" s="13"/>
      <c r="P106" s="1">
        <f>SUM(OSRRefP22_21x_0)</f>
        <v>1811.5</v>
      </c>
      <c r="Q106" s="1"/>
      <c r="R106" s="5">
        <f t="shared" si="88"/>
        <v>5.8485346402023628E-4</v>
      </c>
      <c r="S106" s="1"/>
      <c r="T106" s="1">
        <f>SUM(OSRRefT22_21x_0)</f>
        <v>1052.98</v>
      </c>
      <c r="U106" s="1"/>
      <c r="V106" s="5">
        <f t="shared" si="89"/>
        <v>3.2169968690510305E-4</v>
      </c>
      <c r="W106" s="1"/>
      <c r="X106" s="1">
        <f t="shared" si="90"/>
        <v>758.52</v>
      </c>
      <c r="Y106" s="1"/>
      <c r="Z106" s="5">
        <f t="shared" si="91"/>
        <v>0.72035556230887576</v>
      </c>
    </row>
    <row r="107" spans="1:26" s="24" customFormat="1" hidden="1" outlineLevel="2" x14ac:dyDescent="0.25">
      <c r="A107" s="26"/>
      <c r="B107" s="11" t="str">
        <f>CONCATENATE("          ", "6376", " - ", "TRAINING")</f>
        <v xml:space="preserve">          6376 - TRAINING</v>
      </c>
      <c r="C107" s="11"/>
      <c r="D107" s="6">
        <v>159</v>
      </c>
      <c r="E107" s="2"/>
      <c r="F107" s="7">
        <f t="shared" si="84"/>
        <v>3.7237621435923436E-4</v>
      </c>
      <c r="G107" s="2"/>
      <c r="H107" s="6">
        <v>182.5</v>
      </c>
      <c r="I107" s="2"/>
      <c r="J107" s="7">
        <f t="shared" si="85"/>
        <v>3.5175192503709681E-4</v>
      </c>
      <c r="K107" s="2"/>
      <c r="L107" s="6">
        <f t="shared" si="86"/>
        <v>-23.5</v>
      </c>
      <c r="M107" s="2"/>
      <c r="N107" s="7">
        <f t="shared" si="87"/>
        <v>-0.12876712328767123</v>
      </c>
      <c r="O107" s="11"/>
      <c r="P107" s="6">
        <v>1811.5</v>
      </c>
      <c r="Q107" s="2"/>
      <c r="R107" s="7">
        <f t="shared" si="88"/>
        <v>5.8485346402023628E-4</v>
      </c>
      <c r="S107" s="2"/>
      <c r="T107" s="6">
        <v>1052.98</v>
      </c>
      <c r="U107" s="2"/>
      <c r="V107" s="7">
        <f t="shared" si="89"/>
        <v>3.2169968690510305E-4</v>
      </c>
      <c r="W107" s="2"/>
      <c r="X107" s="6">
        <f t="shared" si="90"/>
        <v>758.52</v>
      </c>
      <c r="Y107" s="2"/>
      <c r="Z107" s="7">
        <f t="shared" si="91"/>
        <v>0.72035556230887576</v>
      </c>
    </row>
    <row r="108" spans="1:26" s="27" customFormat="1" outlineLevel="1" collapsed="1" x14ac:dyDescent="0.25">
      <c r="A108" s="25"/>
      <c r="B108" s="13" t="str">
        <f>CONCATENATE("     ","Travel                                            ")</f>
        <v xml:space="preserve">     Travel                                            </v>
      </c>
      <c r="C108" s="13"/>
      <c r="D108" s="1">
        <f>SUM(OSRRefD22_22x_0)</f>
        <v>1540.91</v>
      </c>
      <c r="E108" s="1"/>
      <c r="F108" s="5">
        <f t="shared" si="84"/>
        <v>3.6087939148948919E-3</v>
      </c>
      <c r="G108" s="1"/>
      <c r="H108" s="1">
        <f>SUM(OSRRefH22_22x_0)</f>
        <v>733.51</v>
      </c>
      <c r="I108" s="1"/>
      <c r="J108" s="5">
        <f t="shared" si="85"/>
        <v>1.4137729015559501E-3</v>
      </c>
      <c r="K108" s="1"/>
      <c r="L108" s="1">
        <f t="shared" si="86"/>
        <v>807.40000000000009</v>
      </c>
      <c r="M108" s="1"/>
      <c r="N108" s="5">
        <f t="shared" si="87"/>
        <v>1.1007348229744653</v>
      </c>
      <c r="O108" s="13"/>
      <c r="P108" s="1">
        <f>SUM(OSRRefP22_22x_0)</f>
        <v>2943.8199999999997</v>
      </c>
      <c r="Q108" s="1"/>
      <c r="R108" s="5">
        <f t="shared" si="88"/>
        <v>9.5042965743971945E-4</v>
      </c>
      <c r="S108" s="1"/>
      <c r="T108" s="1">
        <f>SUM(OSRRefT22_22x_0)</f>
        <v>3214.54</v>
      </c>
      <c r="U108" s="1"/>
      <c r="V108" s="5">
        <f t="shared" si="89"/>
        <v>9.8208561562796045E-4</v>
      </c>
      <c r="W108" s="1"/>
      <c r="X108" s="1">
        <f t="shared" si="90"/>
        <v>-270.72000000000025</v>
      </c>
      <c r="Y108" s="1"/>
      <c r="Z108" s="5">
        <f t="shared" si="91"/>
        <v>-8.4217337472857784E-2</v>
      </c>
    </row>
    <row r="109" spans="1:26" s="24" customFormat="1" hidden="1" outlineLevel="2" x14ac:dyDescent="0.25">
      <c r="A109" s="26"/>
      <c r="B109" s="11" t="str">
        <f>CONCATENATE("          ", "6292", " - ", "TRAVEL/CONFERENCE")</f>
        <v xml:space="preserve">          6292 - TRAVEL/CONFERENCE</v>
      </c>
      <c r="C109" s="11"/>
      <c r="D109" s="6">
        <v>1426.23</v>
      </c>
      <c r="E109" s="2"/>
      <c r="F109" s="7">
        <f t="shared" si="84"/>
        <v>3.3402146428023324E-3</v>
      </c>
      <c r="G109" s="2"/>
      <c r="H109" s="6">
        <v>547.22</v>
      </c>
      <c r="I109" s="2"/>
      <c r="J109" s="7">
        <f t="shared" si="85"/>
        <v>1.0547161009249323E-3</v>
      </c>
      <c r="K109" s="2"/>
      <c r="L109" s="6">
        <f t="shared" si="86"/>
        <v>879.01</v>
      </c>
      <c r="M109" s="2"/>
      <c r="N109" s="7">
        <f t="shared" si="87"/>
        <v>1.6063192134790394</v>
      </c>
      <c r="O109" s="11"/>
      <c r="P109" s="6">
        <v>2125.6</v>
      </c>
      <c r="Q109" s="2"/>
      <c r="R109" s="7">
        <f t="shared" si="88"/>
        <v>6.8626250241314612E-4</v>
      </c>
      <c r="S109" s="2"/>
      <c r="T109" s="6">
        <v>1284.8599999999999</v>
      </c>
      <c r="U109" s="2"/>
      <c r="V109" s="7">
        <f t="shared" si="89"/>
        <v>3.9254217527103142E-4</v>
      </c>
      <c r="W109" s="2"/>
      <c r="X109" s="6">
        <f t="shared" si="90"/>
        <v>840.74</v>
      </c>
      <c r="Y109" s="2"/>
      <c r="Z109" s="7">
        <f t="shared" si="91"/>
        <v>0.65434366390112553</v>
      </c>
    </row>
    <row r="110" spans="1:26" s="24" customFormat="1" hidden="1" outlineLevel="2" x14ac:dyDescent="0.25">
      <c r="A110" s="26"/>
      <c r="B110" s="11" t="str">
        <f>CONCATENATE("          ", "6294", " - ", "TRAVEL OPERATIONAL")</f>
        <v xml:space="preserve">          6294 - TRAVEL OPERATIONAL</v>
      </c>
      <c r="C110" s="11"/>
      <c r="D110" s="6"/>
      <c r="E110" s="2"/>
      <c r="F110" s="7">
        <f t="shared" si="84"/>
        <v>0</v>
      </c>
      <c r="G110" s="2"/>
      <c r="H110" s="6"/>
      <c r="I110" s="2"/>
      <c r="J110" s="7">
        <f t="shared" si="85"/>
        <v>0</v>
      </c>
      <c r="K110" s="2"/>
      <c r="L110" s="6">
        <f t="shared" si="86"/>
        <v>0</v>
      </c>
      <c r="M110" s="2"/>
      <c r="N110" s="7">
        <f t="shared" si="87"/>
        <v>0</v>
      </c>
      <c r="O110" s="11"/>
      <c r="P110" s="6">
        <v>45.49</v>
      </c>
      <c r="Q110" s="2"/>
      <c r="R110" s="7">
        <f t="shared" si="88"/>
        <v>1.4686714920386723E-5</v>
      </c>
      <c r="S110" s="2"/>
      <c r="T110" s="6">
        <v>1258.9000000000001</v>
      </c>
      <c r="U110" s="2"/>
      <c r="V110" s="7">
        <f t="shared" si="89"/>
        <v>3.8461104279742655E-4</v>
      </c>
      <c r="W110" s="2"/>
      <c r="X110" s="6">
        <f t="shared" si="90"/>
        <v>-1213.4100000000001</v>
      </c>
      <c r="Y110" s="2"/>
      <c r="Z110" s="7">
        <f t="shared" si="91"/>
        <v>-0.96386527921201048</v>
      </c>
    </row>
    <row r="111" spans="1:26" s="24" customFormat="1" hidden="1" outlineLevel="2" x14ac:dyDescent="0.25">
      <c r="A111" s="26"/>
      <c r="B111" s="11" t="str">
        <f>CONCATENATE("          ", "6298", " - ", "VEHICLE MILEAGE")</f>
        <v xml:space="preserve">          6298 - VEHICLE MILEAGE</v>
      </c>
      <c r="C111" s="11"/>
      <c r="D111" s="6">
        <v>114.68</v>
      </c>
      <c r="E111" s="2"/>
      <c r="F111" s="7">
        <f t="shared" si="84"/>
        <v>2.6857927209255976E-4</v>
      </c>
      <c r="G111" s="2"/>
      <c r="H111" s="6">
        <v>186.29</v>
      </c>
      <c r="I111" s="2"/>
      <c r="J111" s="7">
        <f t="shared" si="85"/>
        <v>3.5905680063101788E-4</v>
      </c>
      <c r="K111" s="2"/>
      <c r="L111" s="6">
        <f t="shared" si="86"/>
        <v>-71.609999999999985</v>
      </c>
      <c r="M111" s="2"/>
      <c r="N111" s="7">
        <f t="shared" si="87"/>
        <v>-0.38440066562885816</v>
      </c>
      <c r="O111" s="11"/>
      <c r="P111" s="6">
        <v>772.73</v>
      </c>
      <c r="Q111" s="2"/>
      <c r="R111" s="7">
        <f t="shared" si="88"/>
        <v>2.4948044010618669E-4</v>
      </c>
      <c r="S111" s="2"/>
      <c r="T111" s="6">
        <v>670.78</v>
      </c>
      <c r="U111" s="2"/>
      <c r="V111" s="7">
        <f t="shared" si="89"/>
        <v>2.0493239755950255E-4</v>
      </c>
      <c r="W111" s="2"/>
      <c r="X111" s="6">
        <f t="shared" si="90"/>
        <v>101.95000000000005</v>
      </c>
      <c r="Y111" s="2"/>
      <c r="Z111" s="7">
        <f t="shared" si="91"/>
        <v>0.15198723873699282</v>
      </c>
    </row>
    <row r="112" spans="1:26" s="27" customFormat="1" outlineLevel="1" collapsed="1" x14ac:dyDescent="0.25">
      <c r="A112" s="25"/>
      <c r="B112" s="13" t="str">
        <f>CONCATENATE("     ","Utilities                                         ")</f>
        <v xml:space="preserve">     Utilities                                         </v>
      </c>
      <c r="C112" s="13"/>
      <c r="D112" s="1">
        <f>SUM(OSRRefD22_23x_0)</f>
        <v>38547</v>
      </c>
      <c r="E112" s="1"/>
      <c r="F112" s="5">
        <f t="shared" ref="F112:F113" si="92">IF(D$12=0,0,D112/D$12)</f>
        <v>9.0276641100034E-2</v>
      </c>
      <c r="G112" s="1"/>
      <c r="H112" s="1">
        <f>SUM(OSRRefH22_23x_0)</f>
        <v>13691</v>
      </c>
      <c r="I112" s="1"/>
      <c r="J112" s="5">
        <f t="shared" ref="J112:J113" si="93">IF(H$12=0,0,H112/H$12)</f>
        <v>2.6388140305111739E-2</v>
      </c>
      <c r="K112" s="1"/>
      <c r="L112" s="1">
        <f t="shared" ref="L112:L113" si="94">+D112-H112</f>
        <v>24856</v>
      </c>
      <c r="M112" s="1"/>
      <c r="N112" s="5">
        <f t="shared" ref="N112:N113" si="95">IF(H112=0,0,L112/H112)</f>
        <v>1.8154992330728215</v>
      </c>
      <c r="O112" s="13"/>
      <c r="P112" s="1">
        <f>SUM(OSRRefP22_23x_0)</f>
        <v>96887</v>
      </c>
      <c r="Q112" s="1"/>
      <c r="R112" s="5">
        <f t="shared" ref="R112:R113" si="96">IF(P$12=0,0,P112/P$12)</f>
        <v>3.1280539645889387E-2</v>
      </c>
      <c r="S112" s="1"/>
      <c r="T112" s="1">
        <f>SUM(OSRRefT22_23x_0)</f>
        <v>58344.62</v>
      </c>
      <c r="U112" s="1"/>
      <c r="V112" s="5">
        <f t="shared" ref="V112:V113" si="97">IF(T$12=0,0,T112/T$12)</f>
        <v>1.7825073587909756E-2</v>
      </c>
      <c r="W112" s="1"/>
      <c r="X112" s="1">
        <f t="shared" ref="X112:X113" si="98">+P112-T112</f>
        <v>38542.379999999997</v>
      </c>
      <c r="Y112" s="1"/>
      <c r="Z112" s="5">
        <f t="shared" ref="Z112:Z113" si="99">IF(T112=0,0,X112/T112)</f>
        <v>0.66059869787479975</v>
      </c>
    </row>
    <row r="113" spans="1:26" s="24" customFormat="1" hidden="1" outlineLevel="2" x14ac:dyDescent="0.25">
      <c r="A113" s="26"/>
      <c r="B113" s="11" t="str">
        <f>CONCATENATE("          ", "6274", " - ", "UTILITIES")</f>
        <v xml:space="preserve">          6274 - UTILITIES</v>
      </c>
      <c r="C113" s="11"/>
      <c r="D113" s="6">
        <v>38547</v>
      </c>
      <c r="E113" s="2"/>
      <c r="F113" s="7">
        <f t="shared" si="92"/>
        <v>9.0276641100034E-2</v>
      </c>
      <c r="G113" s="2"/>
      <c r="H113" s="6">
        <v>13691</v>
      </c>
      <c r="I113" s="2"/>
      <c r="J113" s="7">
        <f t="shared" si="93"/>
        <v>2.6388140305111739E-2</v>
      </c>
      <c r="K113" s="2"/>
      <c r="L113" s="6">
        <f t="shared" si="94"/>
        <v>24856</v>
      </c>
      <c r="M113" s="2"/>
      <c r="N113" s="7">
        <f t="shared" si="95"/>
        <v>1.8154992330728215</v>
      </c>
      <c r="O113" s="11"/>
      <c r="P113" s="6">
        <v>96887</v>
      </c>
      <c r="Q113" s="2"/>
      <c r="R113" s="7">
        <f t="shared" si="96"/>
        <v>3.1280539645889387E-2</v>
      </c>
      <c r="S113" s="2"/>
      <c r="T113" s="6">
        <v>58344.62</v>
      </c>
      <c r="U113" s="2"/>
      <c r="V113" s="7">
        <f t="shared" si="97"/>
        <v>1.7825073587909756E-2</v>
      </c>
      <c r="W113" s="2"/>
      <c r="X113" s="6">
        <f t="shared" si="98"/>
        <v>38542.379999999997</v>
      </c>
      <c r="Y113" s="2"/>
      <c r="Z113" s="7">
        <f t="shared" si="99"/>
        <v>0.66059869787479975</v>
      </c>
    </row>
    <row r="114" spans="1:26" s="61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8" t="s">
        <v>0</v>
      </c>
      <c r="C115" s="10"/>
      <c r="D115" s="4">
        <f>SUM(OSRRefD25x_0)</f>
        <v>21370.27</v>
      </c>
      <c r="E115" s="4"/>
      <c r="F115" s="12">
        <f t="shared" ref="F115:F118" si="100">IF(D$12=0,0,D115/D$12)</f>
        <v>5.0048932342356703E-2</v>
      </c>
      <c r="G115" s="4"/>
      <c r="H115" s="4">
        <f>SUM(OSRRefH25x_0)</f>
        <v>31985.91</v>
      </c>
      <c r="I115" s="4"/>
      <c r="J115" s="12">
        <f t="shared" ref="J115:J118" si="101">IF(H$12=0,0,H115/H$12)</f>
        <v>6.1649892693497674E-2</v>
      </c>
      <c r="K115" s="4"/>
      <c r="L115" s="4">
        <f t="shared" ref="L115:L118" si="102">+D115-H115</f>
        <v>-10615.64</v>
      </c>
      <c r="M115" s="4"/>
      <c r="N115" s="12">
        <f t="shared" ref="N115:N118" si="103">IF(H115=0,0,L115/H115)</f>
        <v>-0.33188488306257347</v>
      </c>
      <c r="O115" s="10"/>
      <c r="P115" s="4">
        <f>SUM(OSRRefP25x_0)</f>
        <v>514437.52999999997</v>
      </c>
      <c r="Q115" s="4"/>
      <c r="R115" s="12">
        <f t="shared" ref="R115:R118" si="104">IF(P$12=0,0,P115/P$12)</f>
        <v>0.16608919207425568</v>
      </c>
      <c r="S115" s="4"/>
      <c r="T115" s="4">
        <f>SUM(OSRRefT25x_0)</f>
        <v>458217.86</v>
      </c>
      <c r="U115" s="4"/>
      <c r="V115" s="12">
        <f t="shared" ref="V115:V118" si="105">IF(T$12=0,0,T115/T$12)</f>
        <v>0.13999177771308699</v>
      </c>
      <c r="W115" s="4"/>
      <c r="X115" s="4">
        <f t="shared" ref="X115:X118" si="106">+P115-T115</f>
        <v>56219.669999999984</v>
      </c>
      <c r="Y115" s="4"/>
      <c r="Z115" s="12">
        <f t="shared" ref="Z115:Z118" si="107">IF(T115=0,0,X115/T115)</f>
        <v>0.12269200942975027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>--17328.33</f>
        <v>17328.330000000002</v>
      </c>
      <c r="E116" s="2"/>
      <c r="F116" s="19">
        <f t="shared" si="100"/>
        <v>4.0582754255141837E-2</v>
      </c>
      <c r="G116" s="2"/>
      <c r="H116" s="2">
        <f>--31985.91</f>
        <v>31985.91</v>
      </c>
      <c r="I116" s="2"/>
      <c r="J116" s="19">
        <f t="shared" si="101"/>
        <v>6.1649892693497674E-2</v>
      </c>
      <c r="K116" s="2"/>
      <c r="L116" s="2">
        <f t="shared" si="102"/>
        <v>-14657.579999999998</v>
      </c>
      <c r="M116" s="2"/>
      <c r="N116" s="19">
        <f t="shared" si="103"/>
        <v>-0.45825114870891581</v>
      </c>
      <c r="O116" s="11"/>
      <c r="P116" s="2">
        <f>--182971.27</f>
        <v>182971.27</v>
      </c>
      <c r="Q116" s="2"/>
      <c r="R116" s="19">
        <f t="shared" si="104"/>
        <v>5.9073354168193169E-2</v>
      </c>
      <c r="S116" s="2"/>
      <c r="T116" s="2">
        <f>--179901.19</f>
        <v>179901.19</v>
      </c>
      <c r="U116" s="2"/>
      <c r="V116" s="19">
        <f t="shared" si="105"/>
        <v>5.496225616522199E-2</v>
      </c>
      <c r="W116" s="2"/>
      <c r="X116" s="2">
        <f t="shared" si="106"/>
        <v>3070.0799999999872</v>
      </c>
      <c r="Y116" s="2"/>
      <c r="Z116" s="19">
        <f t="shared" si="107"/>
        <v>1.70653679389224E-2</v>
      </c>
    </row>
    <row r="117" spans="1:26" s="24" customFormat="1" hidden="1" outlineLevel="1" x14ac:dyDescent="0.25">
      <c r="A117" s="44"/>
      <c r="B117" s="11" t="str">
        <f>CONCATENATE("          ", "9160", " - ", "MISC. INCOME")</f>
        <v xml:space="preserve">          9160 - MISC. INCOME</v>
      </c>
      <c r="C117" s="11"/>
      <c r="D117" s="2">
        <f>0</f>
        <v>0</v>
      </c>
      <c r="E117" s="2"/>
      <c r="F117" s="19">
        <f t="shared" si="100"/>
        <v>0</v>
      </c>
      <c r="G117" s="2"/>
      <c r="H117" s="2">
        <f t="shared" ref="H117:H118" si="108">0</f>
        <v>0</v>
      </c>
      <c r="I117" s="2"/>
      <c r="J117" s="19">
        <f t="shared" si="101"/>
        <v>0</v>
      </c>
      <c r="K117" s="2"/>
      <c r="L117" s="2">
        <f t="shared" si="102"/>
        <v>0</v>
      </c>
      <c r="M117" s="2"/>
      <c r="N117" s="19">
        <f t="shared" si="103"/>
        <v>0</v>
      </c>
      <c r="O117" s="11"/>
      <c r="P117" s="2">
        <f>--104050.2</f>
        <v>104050.2</v>
      </c>
      <c r="Q117" s="2"/>
      <c r="R117" s="19">
        <f t="shared" si="104"/>
        <v>3.3593221033396847E-2</v>
      </c>
      <c r="S117" s="2"/>
      <c r="T117" s="2">
        <f>--60385.67</f>
        <v>60385.67</v>
      </c>
      <c r="U117" s="2"/>
      <c r="V117" s="19">
        <f t="shared" si="105"/>
        <v>1.844864207540017E-2</v>
      </c>
      <c r="W117" s="2"/>
      <c r="X117" s="2">
        <f t="shared" si="106"/>
        <v>43664.53</v>
      </c>
      <c r="Y117" s="2"/>
      <c r="Z117" s="19">
        <f t="shared" si="107"/>
        <v>0.72309423742421008</v>
      </c>
    </row>
    <row r="118" spans="1:26" s="24" customFormat="1" hidden="1" outlineLevel="1" x14ac:dyDescent="0.25">
      <c r="A118" s="44"/>
      <c r="B118" s="11" t="str">
        <f>CONCATENATE("          ", "9165", " - ", "OTHER INCOME")</f>
        <v xml:space="preserve">          9165 - OTHER INCOME</v>
      </c>
      <c r="C118" s="11"/>
      <c r="D118" s="2">
        <f>--4041.94</f>
        <v>4041.94</v>
      </c>
      <c r="E118" s="2"/>
      <c r="F118" s="19">
        <f t="shared" si="100"/>
        <v>9.466178087214866E-3</v>
      </c>
      <c r="G118" s="2"/>
      <c r="H118" s="2">
        <f t="shared" si="108"/>
        <v>0</v>
      </c>
      <c r="I118" s="2"/>
      <c r="J118" s="19">
        <f t="shared" si="101"/>
        <v>0</v>
      </c>
      <c r="K118" s="2"/>
      <c r="L118" s="2">
        <f t="shared" si="102"/>
        <v>4041.94</v>
      </c>
      <c r="M118" s="2"/>
      <c r="N118" s="19">
        <f t="shared" si="103"/>
        <v>0</v>
      </c>
      <c r="O118" s="11"/>
      <c r="P118" s="2">
        <f>--227416.06</f>
        <v>227416.06</v>
      </c>
      <c r="Q118" s="2"/>
      <c r="R118" s="19">
        <f t="shared" si="104"/>
        <v>7.3422616872665686E-2</v>
      </c>
      <c r="S118" s="2"/>
      <c r="T118" s="2">
        <f>--217931</f>
        <v>217931</v>
      </c>
      <c r="U118" s="2"/>
      <c r="V118" s="19">
        <f t="shared" si="105"/>
        <v>6.6580879472464827E-2</v>
      </c>
      <c r="W118" s="2"/>
      <c r="X118" s="2">
        <f t="shared" si="106"/>
        <v>9485.0599999999977</v>
      </c>
      <c r="Y118" s="2"/>
      <c r="Z118" s="19">
        <f t="shared" si="107"/>
        <v>4.3523225241016643E-2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3</v>
      </c>
      <c r="C120" s="29"/>
      <c r="D120" s="20">
        <f>+D29-D31+D115</f>
        <v>-169979.66000000006</v>
      </c>
      <c r="E120" s="14"/>
      <c r="F120" s="21">
        <f>IF(D$12=0,0,D120/D$12)</f>
        <v>-0.398090454772766</v>
      </c>
      <c r="G120" s="14"/>
      <c r="H120" s="20">
        <f>+H29-H31+H115</f>
        <v>-32317.39999999994</v>
      </c>
      <c r="I120" s="14"/>
      <c r="J120" s="21">
        <f>IF(H$12=0,0,H120/H$12)</f>
        <v>-6.2288809107911514E-2</v>
      </c>
      <c r="K120" s="15"/>
      <c r="L120" s="20">
        <f>+D120-H120</f>
        <v>-137662.26000000013</v>
      </c>
      <c r="M120" s="15"/>
      <c r="N120" s="21">
        <f>IF(H120=0,0,L120/H120)</f>
        <v>4.2596947774264136</v>
      </c>
      <c r="O120" s="28"/>
      <c r="P120" s="20">
        <f>+P29-P31+P115</f>
        <v>-274371.45</v>
      </c>
      <c r="Q120" s="14"/>
      <c r="R120" s="21">
        <f>IF(P$12=0,0,P120/P$12)</f>
        <v>-8.8582441601300063E-2</v>
      </c>
      <c r="S120" s="14"/>
      <c r="T120" s="20">
        <f>+T29-T31+T115</f>
        <v>76980.849999999744</v>
      </c>
      <c r="U120" s="14"/>
      <c r="V120" s="21">
        <f>IF(T$12=0,0,T120/T$12)</f>
        <v>2.3518694887546411E-2</v>
      </c>
      <c r="W120" s="15"/>
      <c r="X120" s="20">
        <f>+P120-T120</f>
        <v>-351352.29999999976</v>
      </c>
      <c r="Y120" s="15"/>
      <c r="Z120" s="21">
        <f>IF(T120=0,0,X120/T120)</f>
        <v>-4.5641519936451846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51764.33</v>
      </c>
      <c r="E122" s="4"/>
      <c r="F122" s="12">
        <f>IF(D$12=0,0,D122/D$12)</f>
        <v>0.12123147952353551</v>
      </c>
      <c r="G122" s="4"/>
      <c r="H122" s="4">
        <v>63406.559999999998</v>
      </c>
      <c r="I122" s="4"/>
      <c r="J122" s="12">
        <f>IF(H$12=0,0,H122/H$12)</f>
        <v>0.12221029884920646</v>
      </c>
      <c r="K122" s="4"/>
      <c r="L122" s="4">
        <f>+D122-H122</f>
        <v>-11642.229999999996</v>
      </c>
      <c r="M122" s="4"/>
      <c r="N122" s="12">
        <f>IF(H122=0,0,L122/H122)</f>
        <v>-0.18361238963287074</v>
      </c>
      <c r="O122" s="10"/>
      <c r="P122" s="4">
        <v>334538.41000000003</v>
      </c>
      <c r="Q122" s="4"/>
      <c r="R122" s="12">
        <f>IF(P$12=0,0,P122/P$12)</f>
        <v>0.10800769966123216</v>
      </c>
      <c r="S122" s="4"/>
      <c r="T122" s="4">
        <v>353225.36</v>
      </c>
      <c r="U122" s="4"/>
      <c r="V122" s="12">
        <f>IF(T$12=0,0,T122/T$12)</f>
        <v>0.107915143420523</v>
      </c>
      <c r="W122" s="4"/>
      <c r="X122" s="4">
        <f>+P122-T122</f>
        <v>-18686.949999999953</v>
      </c>
      <c r="Y122" s="4"/>
      <c r="Z122" s="12">
        <f>IF(T122=0,0,X122/T122)</f>
        <v>-5.290376093041551E-2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4</v>
      </c>
      <c r="C124" s="29"/>
      <c r="D124" s="32">
        <f>+D120-D122</f>
        <v>-221743.99000000005</v>
      </c>
      <c r="E124" s="14"/>
      <c r="F124" s="30">
        <f>IF(D$12=0,0,D124/D$12)</f>
        <v>-0.51932193429630147</v>
      </c>
      <c r="G124" s="14"/>
      <c r="H124" s="32">
        <f>+H120-H122</f>
        <v>-95723.959999999934</v>
      </c>
      <c r="I124" s="14"/>
      <c r="J124" s="30">
        <f>IF(H$12=0,0,H124/H$12)</f>
        <v>-0.18449910795711799</v>
      </c>
      <c r="K124" s="15"/>
      <c r="L124" s="32">
        <f>D124-H124</f>
        <v>-126020.03000000012</v>
      </c>
      <c r="M124" s="15"/>
      <c r="N124" s="30">
        <f>IF(H124=0,0,L124/H124)</f>
        <v>1.31649411495304</v>
      </c>
      <c r="O124" s="28"/>
      <c r="P124" s="32">
        <f>+P120-P122</f>
        <v>-608909.8600000001</v>
      </c>
      <c r="Q124" s="14"/>
      <c r="R124" s="30">
        <f>IF(P$12=0,0,P124/P$12)</f>
        <v>-0.19659014126253224</v>
      </c>
      <c r="S124" s="14"/>
      <c r="T124" s="32">
        <f>+T120-T122</f>
        <v>-276244.51000000024</v>
      </c>
      <c r="U124" s="14"/>
      <c r="V124" s="30">
        <f>IF(T$12=0,0,T124/T$12)</f>
        <v>-8.4396448532976578E-2</v>
      </c>
      <c r="W124" s="15"/>
      <c r="X124" s="32">
        <f>P124-T124</f>
        <v>-332665.34999999986</v>
      </c>
      <c r="Y124" s="15"/>
      <c r="Z124" s="30">
        <f>IF(T124=0,0,X124/T124)</f>
        <v>1.2042423938126392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5</v>
      </c>
      <c r="C127" s="29"/>
      <c r="D127" s="36">
        <f>SUM(D124:D126)</f>
        <v>-221743.99000000005</v>
      </c>
      <c r="E127" s="14"/>
      <c r="F127" s="31">
        <f>IF(D$12=0,0,D127/D$12)</f>
        <v>-0.51932193429630147</v>
      </c>
      <c r="G127" s="14"/>
      <c r="H127" s="36">
        <f>SUM(H124:H126)</f>
        <v>-95723.959999999934</v>
      </c>
      <c r="I127" s="14"/>
      <c r="J127" s="31">
        <f>IF(H$12=0,0,H127/H$12)</f>
        <v>-0.18449910795711799</v>
      </c>
      <c r="K127" s="15"/>
      <c r="L127" s="36">
        <f>+D127-H127</f>
        <v>-126020.03000000012</v>
      </c>
      <c r="M127" s="15"/>
      <c r="N127" s="31">
        <f>IF(H127=0,0,L127/H127)</f>
        <v>1.31649411495304</v>
      </c>
      <c r="O127" s="28"/>
      <c r="P127" s="36">
        <f>SUM(P124:P126)</f>
        <v>-608909.8600000001</v>
      </c>
      <c r="Q127" s="14"/>
      <c r="R127" s="31">
        <f>IF(P$12=0,0,P127/P$12)</f>
        <v>-0.19659014126253224</v>
      </c>
      <c r="S127" s="14"/>
      <c r="T127" s="36">
        <f>SUM(T124:T126)</f>
        <v>-276244.51000000024</v>
      </c>
      <c r="U127" s="14"/>
      <c r="V127" s="31">
        <f>IF(T$12=0,0,T127/T$12)</f>
        <v>-8.4396448532976578E-2</v>
      </c>
      <c r="W127" s="15"/>
      <c r="X127" s="36">
        <f>+P127-T127</f>
        <v>-332665.34999999986</v>
      </c>
      <c r="Y127" s="15"/>
      <c r="Z127" s="31">
        <f>IF(T127=0,0,X127/T127)</f>
        <v>1.2042423938126392</v>
      </c>
    </row>
    <row r="128" spans="1:26" ht="15.75" thickTop="1" x14ac:dyDescent="0.25">
      <c r="A128" s="9"/>
      <c r="C128" s="9"/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62">
        <v>43847.453362418979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6" t="s">
        <v>313</v>
      </c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A131" s="9"/>
      <c r="B131" s="54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4" x14ac:dyDescent="0.25"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","405", " - ", "Library Starbucks")</f>
        <v>Department 405 - Library Starbucks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81578.179999999993</v>
      </c>
      <c r="E12" s="4"/>
      <c r="F12" s="12"/>
      <c r="G12" s="4"/>
      <c r="H12" s="4">
        <f>SUM(OSRRefH13x_0)</f>
        <v>95266.98</v>
      </c>
      <c r="I12" s="4"/>
      <c r="J12" s="12"/>
      <c r="K12" s="4"/>
      <c r="L12" s="4">
        <f t="shared" ref="L12:L14" si="0">+D12-H12</f>
        <v>-13688.800000000003</v>
      </c>
      <c r="M12" s="4"/>
      <c r="N12" s="12">
        <f t="shared" ref="N12:N14" si="1">IF(H12=0,0,L12/H12)</f>
        <v>-0.14368882061759491</v>
      </c>
      <c r="O12" s="10"/>
      <c r="P12" s="4">
        <f>SUM(OSRRefP13x_0)</f>
        <v>506433.89</v>
      </c>
      <c r="Q12" s="4"/>
      <c r="R12" s="12"/>
      <c r="S12" s="4"/>
      <c r="T12" s="4">
        <f>SUM(OSRRefT13x_0)</f>
        <v>474536.09</v>
      </c>
      <c r="U12" s="4"/>
      <c r="V12" s="12"/>
      <c r="W12" s="4"/>
      <c r="X12" s="4">
        <f t="shared" ref="X12:X14" si="2">+P12-T12</f>
        <v>31897.799999999988</v>
      </c>
      <c r="Y12" s="4"/>
      <c r="Z12" s="12">
        <f t="shared" ref="Z12:Z14" si="3">IF(T12=0,0,X12/T12)</f>
        <v>6.7218912685861235E-2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--15664.79</f>
        <v>15664.79</v>
      </c>
      <c r="E13" s="2"/>
      <c r="F13" s="19"/>
      <c r="G13" s="2"/>
      <c r="H13" s="2">
        <f>--20643.75</f>
        <v>20643.75</v>
      </c>
      <c r="I13" s="2"/>
      <c r="J13" s="19"/>
      <c r="K13" s="2"/>
      <c r="L13" s="2">
        <f t="shared" si="0"/>
        <v>-4978.9599999999991</v>
      </c>
      <c r="M13" s="2"/>
      <c r="N13" s="19">
        <f t="shared" si="1"/>
        <v>-0.24118486224644259</v>
      </c>
      <c r="O13" s="11"/>
      <c r="P13" s="2">
        <f>--110351.72</f>
        <v>110351.72</v>
      </c>
      <c r="Q13" s="2"/>
      <c r="R13" s="19"/>
      <c r="S13" s="2"/>
      <c r="T13" s="2">
        <f>--94076.63</f>
        <v>94076.63</v>
      </c>
      <c r="U13" s="2"/>
      <c r="V13" s="19"/>
      <c r="W13" s="2"/>
      <c r="X13" s="2">
        <f t="shared" si="2"/>
        <v>16275.089999999997</v>
      </c>
      <c r="Y13" s="2"/>
      <c r="Z13" s="19">
        <f t="shared" si="3"/>
        <v>0.17299822495767542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--65913.39</f>
        <v>65913.39</v>
      </c>
      <c r="E14" s="2"/>
      <c r="F14" s="19"/>
      <c r="G14" s="2"/>
      <c r="H14" s="2">
        <f>--74623.23</f>
        <v>74623.23</v>
      </c>
      <c r="I14" s="2"/>
      <c r="J14" s="19"/>
      <c r="K14" s="2"/>
      <c r="L14" s="2">
        <f t="shared" si="0"/>
        <v>-8709.8399999999965</v>
      </c>
      <c r="M14" s="2"/>
      <c r="N14" s="19">
        <f t="shared" si="1"/>
        <v>-0.11671754224522306</v>
      </c>
      <c r="O14" s="11"/>
      <c r="P14" s="2">
        <f>--396082.17</f>
        <v>396082.17</v>
      </c>
      <c r="Q14" s="2"/>
      <c r="R14" s="19"/>
      <c r="S14" s="2"/>
      <c r="T14" s="2">
        <f>--380459.46</f>
        <v>380459.46</v>
      </c>
      <c r="U14" s="2"/>
      <c r="V14" s="19"/>
      <c r="W14" s="2"/>
      <c r="X14" s="2">
        <f t="shared" si="2"/>
        <v>15622.709999999963</v>
      </c>
      <c r="Y14" s="2"/>
      <c r="Z14" s="19">
        <f t="shared" si="3"/>
        <v>4.1062745555071653E-2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30685.63</v>
      </c>
      <c r="E16" s="4"/>
      <c r="F16" s="12">
        <f t="shared" ref="F16:F18" si="4">IF(D$12=0,0,D16/D$12)</f>
        <v>0.37614997049456123</v>
      </c>
      <c r="G16" s="4"/>
      <c r="H16" s="4">
        <f>SUM(OSRRefH16x_0)</f>
        <v>31248.18</v>
      </c>
      <c r="I16" s="4"/>
      <c r="J16" s="12">
        <f t="shared" ref="J16:J18" si="5">IF(H$12=0,0,H16/H$12)</f>
        <v>0.32800640893623373</v>
      </c>
      <c r="K16" s="4"/>
      <c r="L16" s="4">
        <f t="shared" ref="L16:L18" si="6">+D16-H16</f>
        <v>-562.54999999999927</v>
      </c>
      <c r="M16" s="4"/>
      <c r="N16" s="12">
        <f t="shared" ref="N16:N18" si="7">IF(H16=0,0,L16/H16)</f>
        <v>-1.8002648474247117E-2</v>
      </c>
      <c r="O16" s="10"/>
      <c r="P16" s="4">
        <f>SUM(OSRRefP16x_0)</f>
        <v>194139.05</v>
      </c>
      <c r="Q16" s="4"/>
      <c r="R16" s="12">
        <f t="shared" ref="R16:R18" si="8">IF(P$12=0,0,P16/P$12)</f>
        <v>0.38334529705348114</v>
      </c>
      <c r="S16" s="4"/>
      <c r="T16" s="4">
        <f>SUM(OSRRefT16x_0)</f>
        <v>153078.72</v>
      </c>
      <c r="U16" s="4"/>
      <c r="V16" s="12">
        <f t="shared" ref="V16:V18" si="9">IF(T$12=0,0,T16/T$12)</f>
        <v>0.32258604398245028</v>
      </c>
      <c r="W16" s="4"/>
      <c r="X16" s="4">
        <f t="shared" ref="X16:X18" si="10">+P16-T16</f>
        <v>41060.329999999987</v>
      </c>
      <c r="Y16" s="4"/>
      <c r="Z16" s="12">
        <f t="shared" ref="Z16:Z18" si="11">IF(T16=0,0,X16/T16)</f>
        <v>0.26823016288612805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31975.63</v>
      </c>
      <c r="E17" s="2"/>
      <c r="F17" s="19">
        <f t="shared" si="4"/>
        <v>0.39196302246507586</v>
      </c>
      <c r="G17" s="2"/>
      <c r="H17" s="2">
        <v>29196.18</v>
      </c>
      <c r="I17" s="2"/>
      <c r="J17" s="19">
        <f t="shared" si="5"/>
        <v>0.30646694164126964</v>
      </c>
      <c r="K17" s="2"/>
      <c r="L17" s="2">
        <f t="shared" si="6"/>
        <v>2779.4500000000007</v>
      </c>
      <c r="M17" s="2"/>
      <c r="N17" s="19">
        <f t="shared" si="7"/>
        <v>9.5199097964185755E-2</v>
      </c>
      <c r="O17" s="11"/>
      <c r="P17" s="2">
        <v>202741.05</v>
      </c>
      <c r="Q17" s="2"/>
      <c r="R17" s="19">
        <f t="shared" si="8"/>
        <v>0.40033073221067411</v>
      </c>
      <c r="S17" s="2"/>
      <c r="T17" s="2">
        <v>182470.72</v>
      </c>
      <c r="U17" s="2"/>
      <c r="V17" s="19">
        <f t="shared" si="9"/>
        <v>0.38452443100797662</v>
      </c>
      <c r="W17" s="2"/>
      <c r="X17" s="2">
        <f t="shared" si="10"/>
        <v>20270.329999999987</v>
      </c>
      <c r="Y17" s="2"/>
      <c r="Z17" s="19">
        <f t="shared" si="11"/>
        <v>0.1110881241658935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-1290</v>
      </c>
      <c r="E18" s="2"/>
      <c r="F18" s="19">
        <f t="shared" si="4"/>
        <v>-1.5813051970514667E-2</v>
      </c>
      <c r="G18" s="2"/>
      <c r="H18" s="2">
        <v>2052</v>
      </c>
      <c r="I18" s="2"/>
      <c r="J18" s="19">
        <f t="shared" si="5"/>
        <v>2.1539467294964112E-2</v>
      </c>
      <c r="K18" s="2"/>
      <c r="L18" s="2">
        <f t="shared" si="6"/>
        <v>-3342</v>
      </c>
      <c r="M18" s="2"/>
      <c r="N18" s="19">
        <f t="shared" si="7"/>
        <v>-1.628654970760234</v>
      </c>
      <c r="O18" s="11"/>
      <c r="P18" s="2">
        <v>-8602</v>
      </c>
      <c r="Q18" s="2"/>
      <c r="R18" s="19">
        <f t="shared" si="8"/>
        <v>-1.6985435157192974E-2</v>
      </c>
      <c r="S18" s="2"/>
      <c r="T18" s="2">
        <v>-29392</v>
      </c>
      <c r="U18" s="2"/>
      <c r="V18" s="19">
        <f t="shared" si="9"/>
        <v>-6.1938387025526336E-2</v>
      </c>
      <c r="W18" s="2"/>
      <c r="X18" s="2">
        <f t="shared" si="10"/>
        <v>20790</v>
      </c>
      <c r="Y18" s="2"/>
      <c r="Z18" s="19">
        <f t="shared" si="11"/>
        <v>-0.70733532934131738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50892.549999999988</v>
      </c>
      <c r="E20" s="14"/>
      <c r="F20" s="21">
        <f>IF(D$12=0,0,D20/D$12)</f>
        <v>0.62385002950543877</v>
      </c>
      <c r="G20" s="14"/>
      <c r="H20" s="20">
        <f>H12-H16</f>
        <v>64018.799999999996</v>
      </c>
      <c r="I20" s="14"/>
      <c r="J20" s="21">
        <f>IF(H$12=0,0,H20/H$12)</f>
        <v>0.67199359106376622</v>
      </c>
      <c r="K20" s="15"/>
      <c r="L20" s="20">
        <f>+D20-H20</f>
        <v>-13126.250000000007</v>
      </c>
      <c r="M20" s="15"/>
      <c r="N20" s="21">
        <f>IF(H20=0,0,L20/H20)</f>
        <v>-0.20503742650596399</v>
      </c>
      <c r="O20" s="28"/>
      <c r="P20" s="20">
        <f>P12-P16</f>
        <v>312294.84000000003</v>
      </c>
      <c r="Q20" s="14"/>
      <c r="R20" s="21">
        <f>IF(P$12=0,0,P20/P$12)</f>
        <v>0.61665470294651892</v>
      </c>
      <c r="S20" s="14"/>
      <c r="T20" s="20">
        <f>T12-T16</f>
        <v>321457.37</v>
      </c>
      <c r="U20" s="14"/>
      <c r="V20" s="21">
        <f>IF(T$12=0,0,T20/T$12)</f>
        <v>0.67741395601754961</v>
      </c>
      <c r="W20" s="15"/>
      <c r="X20" s="20">
        <f>+P20-T20</f>
        <v>-9162.5299999999697</v>
      </c>
      <c r="Y20" s="15"/>
      <c r="Z20" s="21">
        <f>IF(T20=0,0,X20/T20)</f>
        <v>-2.8503095138244831E-2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55764.12</v>
      </c>
      <c r="E22" s="22"/>
      <c r="F22" s="33">
        <f t="shared" ref="F22:F31" si="12">IF(D$12=0,0,D22/D$12)</f>
        <v>0.683566610581408</v>
      </c>
      <c r="G22" s="22"/>
      <c r="H22" s="22">
        <f>SUM(OSRRefH22x_0)</f>
        <v>49811.62</v>
      </c>
      <c r="I22" s="22"/>
      <c r="J22" s="33">
        <f t="shared" ref="J22:J31" si="13">IF(H$12=0,0,H22/H$12)</f>
        <v>0.5228634307500879</v>
      </c>
      <c r="K22" s="4"/>
      <c r="L22" s="22">
        <f t="shared" ref="L22:L31" si="14">+D22-H22</f>
        <v>5952.5</v>
      </c>
      <c r="M22" s="4"/>
      <c r="N22" s="33">
        <f t="shared" ref="N22:N31" si="15">IF(H22=0,0,L22/H22)</f>
        <v>0.11950022906301783</v>
      </c>
      <c r="O22" s="10"/>
      <c r="P22" s="22">
        <f>SUM(OSRRefP22x_0)</f>
        <v>338285.95999999996</v>
      </c>
      <c r="Q22" s="22"/>
      <c r="R22" s="33">
        <f t="shared" ref="R22:R31" si="16">IF(P$12=0,0,P22/P$12)</f>
        <v>0.6679765447766538</v>
      </c>
      <c r="S22" s="22"/>
      <c r="T22" s="22">
        <f>SUM(OSRRefT22x_0)</f>
        <v>279405.01999999996</v>
      </c>
      <c r="U22" s="22"/>
      <c r="V22" s="33">
        <f t="shared" ref="V22:V31" si="17">IF(T$12=0,0,T22/T$12)</f>
        <v>0.58879614404038261</v>
      </c>
      <c r="W22" s="4"/>
      <c r="X22" s="22">
        <f t="shared" ref="X22:X31" si="18">+P22-T22</f>
        <v>58880.94</v>
      </c>
      <c r="Y22" s="4"/>
      <c r="Z22" s="33">
        <f t="shared" ref="Z22:Z31" si="19">IF(T22=0,0,X22/T22)</f>
        <v>0.21073687222942528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5560.14</v>
      </c>
      <c r="E23" s="1"/>
      <c r="F23" s="5">
        <f t="shared" si="12"/>
        <v>6.8157195956075514E-2</v>
      </c>
      <c r="G23" s="1"/>
      <c r="H23" s="1">
        <f>SUM(OSRRefH22_0x_0)</f>
        <v>5054.42</v>
      </c>
      <c r="I23" s="1"/>
      <c r="J23" s="5">
        <f t="shared" si="13"/>
        <v>5.3055318852345275E-2</v>
      </c>
      <c r="K23" s="1"/>
      <c r="L23" s="1">
        <f t="shared" si="14"/>
        <v>505.72000000000025</v>
      </c>
      <c r="M23" s="1"/>
      <c r="N23" s="5">
        <f t="shared" si="15"/>
        <v>0.10005500136514185</v>
      </c>
      <c r="O23" s="13"/>
      <c r="P23" s="1">
        <f>SUM(OSRRefP22_0x_0)</f>
        <v>31394.36</v>
      </c>
      <c r="Q23" s="1"/>
      <c r="R23" s="5">
        <f t="shared" si="16"/>
        <v>6.1991033025060781E-2</v>
      </c>
      <c r="S23" s="1"/>
      <c r="T23" s="1">
        <f>SUM(OSRRefT22_0x_0)</f>
        <v>19488.129999999997</v>
      </c>
      <c r="U23" s="1"/>
      <c r="V23" s="5">
        <f t="shared" si="17"/>
        <v>4.1067751032381958E-2</v>
      </c>
      <c r="W23" s="1"/>
      <c r="X23" s="1">
        <f t="shared" si="18"/>
        <v>11906.230000000003</v>
      </c>
      <c r="Y23" s="1"/>
      <c r="Z23" s="5">
        <f t="shared" si="19"/>
        <v>0.61094779232281415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763.34</v>
      </c>
      <c r="E24" s="2"/>
      <c r="F24" s="7">
        <f t="shared" si="12"/>
        <v>9.3571589854051663E-3</v>
      </c>
      <c r="G24" s="2"/>
      <c r="H24" s="6">
        <v>669.58</v>
      </c>
      <c r="I24" s="2"/>
      <c r="J24" s="7">
        <f t="shared" si="13"/>
        <v>7.0284583388704044E-3</v>
      </c>
      <c r="K24" s="2"/>
      <c r="L24" s="6">
        <f t="shared" si="14"/>
        <v>93.759999999999991</v>
      </c>
      <c r="M24" s="2"/>
      <c r="N24" s="7">
        <f t="shared" si="15"/>
        <v>0.14002807730218941</v>
      </c>
      <c r="O24" s="11"/>
      <c r="P24" s="6">
        <v>6437.62</v>
      </c>
      <c r="Q24" s="2"/>
      <c r="R24" s="7">
        <f t="shared" si="16"/>
        <v>1.2711669039368594E-2</v>
      </c>
      <c r="S24" s="2"/>
      <c r="T24" s="6">
        <v>4468.83</v>
      </c>
      <c r="U24" s="2"/>
      <c r="V24" s="7">
        <f t="shared" si="17"/>
        <v>9.4172605501933477E-3</v>
      </c>
      <c r="W24" s="2"/>
      <c r="X24" s="6">
        <f t="shared" si="18"/>
        <v>1968.79</v>
      </c>
      <c r="Y24" s="2"/>
      <c r="Z24" s="7">
        <f t="shared" si="19"/>
        <v>0.44056050465110552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1436</v>
      </c>
      <c r="E25" s="2"/>
      <c r="F25" s="7">
        <f t="shared" si="12"/>
        <v>1.7602746224541908E-2</v>
      </c>
      <c r="G25" s="2"/>
      <c r="H25" s="6">
        <v>1252.8599999999999</v>
      </c>
      <c r="I25" s="2"/>
      <c r="J25" s="7">
        <f t="shared" si="13"/>
        <v>1.3151041420647531E-2</v>
      </c>
      <c r="K25" s="2"/>
      <c r="L25" s="6">
        <f t="shared" si="14"/>
        <v>183.1400000000001</v>
      </c>
      <c r="M25" s="2"/>
      <c r="N25" s="7">
        <f t="shared" si="15"/>
        <v>0.14617754577526629</v>
      </c>
      <c r="O25" s="11"/>
      <c r="P25" s="6">
        <v>5067.8900000000003</v>
      </c>
      <c r="Q25" s="2"/>
      <c r="R25" s="7">
        <f t="shared" si="16"/>
        <v>1.0007011971493457E-2</v>
      </c>
      <c r="S25" s="2"/>
      <c r="T25" s="6">
        <v>5443.36</v>
      </c>
      <c r="U25" s="2"/>
      <c r="V25" s="7">
        <f t="shared" si="17"/>
        <v>1.1470908355990373E-2</v>
      </c>
      <c r="W25" s="2"/>
      <c r="X25" s="6">
        <f t="shared" si="18"/>
        <v>-375.46999999999935</v>
      </c>
      <c r="Y25" s="2"/>
      <c r="Z25" s="7">
        <f t="shared" si="19"/>
        <v>-6.8977616766114927E-2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1376.23</v>
      </c>
      <c r="E26" s="2"/>
      <c r="F26" s="7">
        <f t="shared" si="12"/>
        <v>1.6870074816574727E-2</v>
      </c>
      <c r="G26" s="2"/>
      <c r="H26" s="6">
        <v>1395.26</v>
      </c>
      <c r="I26" s="2"/>
      <c r="J26" s="7">
        <f t="shared" si="13"/>
        <v>1.464578807893354E-2</v>
      </c>
      <c r="K26" s="2"/>
      <c r="L26" s="6">
        <f t="shared" si="14"/>
        <v>-19.029999999999973</v>
      </c>
      <c r="M26" s="2"/>
      <c r="N26" s="7">
        <f t="shared" si="15"/>
        <v>-1.3639035018562829E-2</v>
      </c>
      <c r="O26" s="11"/>
      <c r="P26" s="6">
        <v>8257.3799999999992</v>
      </c>
      <c r="Q26" s="2"/>
      <c r="R26" s="7">
        <f t="shared" si="16"/>
        <v>1.6304951471553374E-2</v>
      </c>
      <c r="S26" s="2"/>
      <c r="T26" s="6">
        <v>6099.53</v>
      </c>
      <c r="U26" s="2"/>
      <c r="V26" s="7">
        <f t="shared" si="17"/>
        <v>1.2853669359479064E-2</v>
      </c>
      <c r="W26" s="2"/>
      <c r="X26" s="6">
        <f t="shared" si="18"/>
        <v>2157.8499999999995</v>
      </c>
      <c r="Y26" s="2"/>
      <c r="Z26" s="7">
        <f t="shared" si="19"/>
        <v>0.35377315957131117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96.23</v>
      </c>
      <c r="E27" s="2"/>
      <c r="F27" s="7">
        <f t="shared" si="12"/>
        <v>1.1796046442811058E-3</v>
      </c>
      <c r="G27" s="2"/>
      <c r="H27" s="6">
        <v>93.07</v>
      </c>
      <c r="I27" s="2"/>
      <c r="J27" s="7">
        <f t="shared" si="13"/>
        <v>9.7693870426038493E-4</v>
      </c>
      <c r="K27" s="2"/>
      <c r="L27" s="6">
        <f t="shared" si="14"/>
        <v>3.1600000000000108</v>
      </c>
      <c r="M27" s="2"/>
      <c r="N27" s="7">
        <f t="shared" si="15"/>
        <v>3.395293864832933E-2</v>
      </c>
      <c r="O27" s="11"/>
      <c r="P27" s="6">
        <v>443.72</v>
      </c>
      <c r="Q27" s="2"/>
      <c r="R27" s="7">
        <f t="shared" si="16"/>
        <v>8.7616569262376979E-4</v>
      </c>
      <c r="S27" s="2"/>
      <c r="T27" s="6">
        <v>404.36</v>
      </c>
      <c r="U27" s="2"/>
      <c r="V27" s="7">
        <f t="shared" si="17"/>
        <v>8.5211643228231594E-4</v>
      </c>
      <c r="W27" s="2"/>
      <c r="X27" s="6">
        <f t="shared" si="18"/>
        <v>39.360000000000014</v>
      </c>
      <c r="Y27" s="2"/>
      <c r="Z27" s="7">
        <f t="shared" si="19"/>
        <v>9.7339004847165927E-2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696.67</v>
      </c>
      <c r="E28" s="2"/>
      <c r="F28" s="7">
        <f t="shared" si="12"/>
        <v>8.539906136665467E-3</v>
      </c>
      <c r="G28" s="2"/>
      <c r="H28" s="6">
        <v>600.69000000000005</v>
      </c>
      <c r="I28" s="2"/>
      <c r="J28" s="7">
        <f t="shared" si="13"/>
        <v>6.305332655658866E-3</v>
      </c>
      <c r="K28" s="2"/>
      <c r="L28" s="6">
        <f t="shared" si="14"/>
        <v>95.979999999999905</v>
      </c>
      <c r="M28" s="2"/>
      <c r="N28" s="7">
        <f t="shared" si="15"/>
        <v>0.15978291631290664</v>
      </c>
      <c r="O28" s="11"/>
      <c r="P28" s="6">
        <v>4180.0200000000004</v>
      </c>
      <c r="Q28" s="2"/>
      <c r="R28" s="7">
        <f t="shared" si="16"/>
        <v>8.2538315119471961E-3</v>
      </c>
      <c r="S28" s="2"/>
      <c r="T28" s="6">
        <v>3344.97</v>
      </c>
      <c r="U28" s="2"/>
      <c r="V28" s="7">
        <f t="shared" si="17"/>
        <v>7.0489264578380111E-3</v>
      </c>
      <c r="W28" s="2"/>
      <c r="X28" s="6">
        <f t="shared" si="18"/>
        <v>835.05000000000064</v>
      </c>
      <c r="Y28" s="2"/>
      <c r="Z28" s="7">
        <f t="shared" si="19"/>
        <v>0.24964349456048954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384</v>
      </c>
      <c r="E29" s="2"/>
      <c r="F29" s="7">
        <f t="shared" si="12"/>
        <v>4.7071410516880867E-3</v>
      </c>
      <c r="G29" s="2"/>
      <c r="H29" s="6">
        <v>338</v>
      </c>
      <c r="I29" s="2"/>
      <c r="J29" s="7">
        <f t="shared" si="13"/>
        <v>3.5479239501451606E-3</v>
      </c>
      <c r="K29" s="2"/>
      <c r="L29" s="6">
        <f t="shared" si="14"/>
        <v>46</v>
      </c>
      <c r="M29" s="2"/>
      <c r="N29" s="7">
        <f t="shared" si="15"/>
        <v>0.13609467455621302</v>
      </c>
      <c r="O29" s="11"/>
      <c r="P29" s="6">
        <v>2496</v>
      </c>
      <c r="Q29" s="2"/>
      <c r="R29" s="7">
        <f t="shared" si="16"/>
        <v>4.9285801153631324E-3</v>
      </c>
      <c r="S29" s="2"/>
      <c r="T29" s="6">
        <v>2218.8200000000002</v>
      </c>
      <c r="U29" s="2"/>
      <c r="V29" s="7">
        <f t="shared" si="17"/>
        <v>4.6757665997542988E-3</v>
      </c>
      <c r="W29" s="2"/>
      <c r="X29" s="6">
        <f t="shared" si="18"/>
        <v>277.17999999999984</v>
      </c>
      <c r="Y29" s="2"/>
      <c r="Z29" s="7">
        <f t="shared" si="19"/>
        <v>0.12492225597389595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460.04</v>
      </c>
      <c r="E30" s="2"/>
      <c r="F30" s="7">
        <f t="shared" si="12"/>
        <v>5.6392530453609046E-3</v>
      </c>
      <c r="G30" s="2"/>
      <c r="H30" s="6">
        <v>404.96</v>
      </c>
      <c r="I30" s="2"/>
      <c r="J30" s="7">
        <f t="shared" si="13"/>
        <v>4.2507907776650417E-3</v>
      </c>
      <c r="K30" s="2"/>
      <c r="L30" s="6">
        <f t="shared" si="14"/>
        <v>55.080000000000041</v>
      </c>
      <c r="M30" s="2"/>
      <c r="N30" s="7">
        <f t="shared" si="15"/>
        <v>0.13601343342552361</v>
      </c>
      <c r="O30" s="11"/>
      <c r="P30" s="6">
        <v>2990.26</v>
      </c>
      <c r="Q30" s="2"/>
      <c r="R30" s="7">
        <f t="shared" si="16"/>
        <v>5.9045416569574365E-3</v>
      </c>
      <c r="S30" s="2"/>
      <c r="T30" s="6">
        <v>-4234.63</v>
      </c>
      <c r="U30" s="2"/>
      <c r="V30" s="7">
        <f t="shared" si="17"/>
        <v>-8.9237259067060631E-3</v>
      </c>
      <c r="W30" s="2"/>
      <c r="X30" s="6">
        <f t="shared" si="18"/>
        <v>7224.89</v>
      </c>
      <c r="Y30" s="2"/>
      <c r="Z30" s="7">
        <f t="shared" si="19"/>
        <v>-1.7061443384664068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347.63</v>
      </c>
      <c r="E31" s="2"/>
      <c r="F31" s="7">
        <f t="shared" si="12"/>
        <v>4.2613110515581495E-3</v>
      </c>
      <c r="G31" s="2"/>
      <c r="H31" s="6">
        <v>300</v>
      </c>
      <c r="I31" s="2"/>
      <c r="J31" s="7">
        <f t="shared" si="13"/>
        <v>3.1490449261643437E-3</v>
      </c>
      <c r="K31" s="2"/>
      <c r="L31" s="6">
        <f t="shared" si="14"/>
        <v>47.629999999999995</v>
      </c>
      <c r="M31" s="2"/>
      <c r="N31" s="7">
        <f t="shared" si="15"/>
        <v>0.15876666666666664</v>
      </c>
      <c r="O31" s="11"/>
      <c r="P31" s="6">
        <v>1521.47</v>
      </c>
      <c r="Q31" s="2"/>
      <c r="R31" s="7">
        <f t="shared" si="16"/>
        <v>3.0042815657538241E-3</v>
      </c>
      <c r="S31" s="2"/>
      <c r="T31" s="6">
        <v>1742.89</v>
      </c>
      <c r="U31" s="2"/>
      <c r="V31" s="7">
        <f t="shared" si="17"/>
        <v>3.6728291835506125E-3</v>
      </c>
      <c r="W31" s="2"/>
      <c r="X31" s="6">
        <f t="shared" si="18"/>
        <v>-221.42000000000007</v>
      </c>
      <c r="Y31" s="2"/>
      <c r="Z31" s="7">
        <f t="shared" si="19"/>
        <v>-0.12704186724348643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23591.66</v>
      </c>
      <c r="E32" s="1"/>
      <c r="F32" s="5">
        <f t="shared" ref="F32:F36" si="20">IF(D$12=0,0,D32/D$12)</f>
        <v>0.28919081058194729</v>
      </c>
      <c r="G32" s="1"/>
      <c r="H32" s="1">
        <f>SUM(OSRRefH22_1x_0)</f>
        <v>23868.47</v>
      </c>
      <c r="I32" s="1"/>
      <c r="J32" s="5">
        <f t="shared" ref="J32:J36" si="21">IF(H$12=0,0,H32/H$12)</f>
        <v>0.25054294782935288</v>
      </c>
      <c r="K32" s="1"/>
      <c r="L32" s="1">
        <f t="shared" ref="L32:L36" si="22">+D32-H32</f>
        <v>-276.81000000000131</v>
      </c>
      <c r="M32" s="1"/>
      <c r="N32" s="5">
        <f t="shared" ref="N32:N36" si="23">IF(H32=0,0,L32/H32)</f>
        <v>-1.1597308080492854E-2</v>
      </c>
      <c r="O32" s="13"/>
      <c r="P32" s="1">
        <f>SUM(OSRRefP22_1x_0)</f>
        <v>157380.87</v>
      </c>
      <c r="Q32" s="1"/>
      <c r="R32" s="5">
        <f t="shared" ref="R32:R36" si="24">IF(P$12=0,0,P32/P$12)</f>
        <v>0.31076291122618194</v>
      </c>
      <c r="S32" s="1"/>
      <c r="T32" s="1">
        <f>SUM(OSRRefT22_1x_0)</f>
        <v>145806.85999999999</v>
      </c>
      <c r="U32" s="1"/>
      <c r="V32" s="5">
        <f t="shared" ref="V32:V36" si="25">IF(T$12=0,0,T32/T$12)</f>
        <v>0.307261898668234</v>
      </c>
      <c r="W32" s="1"/>
      <c r="X32" s="1">
        <f t="shared" ref="X32:X36" si="26">+P32-T32</f>
        <v>11574.010000000009</v>
      </c>
      <c r="Y32" s="1"/>
      <c r="Z32" s="5">
        <f t="shared" ref="Z32:Z36" si="27">IF(T32=0,0,X32/T32)</f>
        <v>7.9379049792307518E-2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9682.65</v>
      </c>
      <c r="E33" s="2"/>
      <c r="F33" s="7">
        <f t="shared" si="20"/>
        <v>0.11869166485449908</v>
      </c>
      <c r="G33" s="2"/>
      <c r="H33" s="6">
        <v>8538.81</v>
      </c>
      <c r="I33" s="2"/>
      <c r="J33" s="7">
        <f t="shared" si="21"/>
        <v>8.9630321019937856E-2</v>
      </c>
      <c r="K33" s="2"/>
      <c r="L33" s="6">
        <f t="shared" si="22"/>
        <v>1143.8400000000001</v>
      </c>
      <c r="M33" s="2"/>
      <c r="N33" s="7">
        <f t="shared" si="23"/>
        <v>0.13395777631777733</v>
      </c>
      <c r="O33" s="11"/>
      <c r="P33" s="6">
        <v>62751.5</v>
      </c>
      <c r="Q33" s="2"/>
      <c r="R33" s="7">
        <f t="shared" si="24"/>
        <v>0.12390857175849744</v>
      </c>
      <c r="S33" s="2"/>
      <c r="T33" s="6">
        <v>46662.049999999996</v>
      </c>
      <c r="U33" s="2"/>
      <c r="V33" s="7">
        <f t="shared" si="25"/>
        <v>9.8331930875900281E-2</v>
      </c>
      <c r="W33" s="2"/>
      <c r="X33" s="6">
        <f t="shared" si="26"/>
        <v>16089.450000000004</v>
      </c>
      <c r="Y33" s="2"/>
      <c r="Z33" s="7">
        <f t="shared" si="27"/>
        <v>0.34480803993823689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45.5</v>
      </c>
      <c r="Q34" s="2"/>
      <c r="R34" s="7">
        <f t="shared" si="24"/>
        <v>8.9843908352973771E-5</v>
      </c>
      <c r="S34" s="2"/>
      <c r="T34" s="6"/>
      <c r="U34" s="2"/>
      <c r="V34" s="7">
        <f t="shared" si="25"/>
        <v>0</v>
      </c>
      <c r="W34" s="2"/>
      <c r="X34" s="6">
        <f t="shared" si="26"/>
        <v>45.5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12742.01</v>
      </c>
      <c r="E35" s="2"/>
      <c r="F35" s="7">
        <f t="shared" si="20"/>
        <v>0.15619384987505239</v>
      </c>
      <c r="G35" s="2"/>
      <c r="H35" s="6">
        <v>14650.41</v>
      </c>
      <c r="I35" s="2"/>
      <c r="J35" s="7">
        <f t="shared" si="21"/>
        <v>0.15378266425575787</v>
      </c>
      <c r="K35" s="2"/>
      <c r="L35" s="6">
        <f t="shared" si="22"/>
        <v>-1908.3999999999996</v>
      </c>
      <c r="M35" s="2"/>
      <c r="N35" s="7">
        <f t="shared" si="23"/>
        <v>-0.13026256603057523</v>
      </c>
      <c r="O35" s="11"/>
      <c r="P35" s="6">
        <v>90119.87</v>
      </c>
      <c r="Q35" s="2"/>
      <c r="R35" s="7">
        <f t="shared" si="24"/>
        <v>0.17794991958377823</v>
      </c>
      <c r="S35" s="2"/>
      <c r="T35" s="6">
        <v>93577.75</v>
      </c>
      <c r="U35" s="2"/>
      <c r="V35" s="7">
        <f t="shared" si="25"/>
        <v>0.19719838379415988</v>
      </c>
      <c r="W35" s="2"/>
      <c r="X35" s="6">
        <f t="shared" si="26"/>
        <v>-3457.8800000000047</v>
      </c>
      <c r="Y35" s="2"/>
      <c r="Z35" s="7">
        <f t="shared" si="27"/>
        <v>-3.6951946376141812E-2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>
        <v>1167</v>
      </c>
      <c r="E36" s="2"/>
      <c r="F36" s="7">
        <f t="shared" si="20"/>
        <v>1.4305295852395825E-2</v>
      </c>
      <c r="G36" s="2"/>
      <c r="H36" s="6">
        <v>679.25</v>
      </c>
      <c r="I36" s="2"/>
      <c r="J36" s="7">
        <f t="shared" si="21"/>
        <v>7.129962553657102E-3</v>
      </c>
      <c r="K36" s="2"/>
      <c r="L36" s="6">
        <f t="shared" si="22"/>
        <v>487.75</v>
      </c>
      <c r="M36" s="2"/>
      <c r="N36" s="7">
        <f t="shared" si="23"/>
        <v>0.71807140228192856</v>
      </c>
      <c r="O36" s="11"/>
      <c r="P36" s="6">
        <v>4464</v>
      </c>
      <c r="Q36" s="2"/>
      <c r="R36" s="7">
        <f t="shared" si="24"/>
        <v>8.8145759755532942E-3</v>
      </c>
      <c r="S36" s="2"/>
      <c r="T36" s="6">
        <v>5567.06</v>
      </c>
      <c r="U36" s="2"/>
      <c r="V36" s="7">
        <f t="shared" si="25"/>
        <v>1.1731583998173881E-2</v>
      </c>
      <c r="W36" s="2"/>
      <c r="X36" s="6">
        <f t="shared" si="26"/>
        <v>-1103.0600000000004</v>
      </c>
      <c r="Y36" s="2"/>
      <c r="Z36" s="7">
        <f t="shared" si="27"/>
        <v>-0.19814049067191666</v>
      </c>
    </row>
    <row r="37" spans="1:26" s="27" customFormat="1" outlineLevel="1" collapsed="1" x14ac:dyDescent="0.25">
      <c r="A37" s="25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656.8</v>
      </c>
      <c r="E37" s="1"/>
      <c r="F37" s="5">
        <f t="shared" ref="F37:F45" si="28">IF(D$12=0,0,D37/D$12)</f>
        <v>8.051172507158165E-3</v>
      </c>
      <c r="G37" s="1"/>
      <c r="H37" s="1">
        <f>SUM(OSRRefH22_2x_0)</f>
        <v>7.94</v>
      </c>
      <c r="I37" s="1"/>
      <c r="J37" s="5">
        <f t="shared" ref="J37:J45" si="29">IF(H$12=0,0,H37/H$12)</f>
        <v>8.3344722379149642E-5</v>
      </c>
      <c r="K37" s="1"/>
      <c r="L37" s="1">
        <f t="shared" ref="L37:L45" si="30">+D37-H37</f>
        <v>648.8599999999999</v>
      </c>
      <c r="M37" s="1"/>
      <c r="N37" s="5">
        <f t="shared" ref="N37:N45" si="31">IF(H37=0,0,L37/H37)</f>
        <v>81.720403022670013</v>
      </c>
      <c r="O37" s="13"/>
      <c r="P37" s="1">
        <f>SUM(OSRRefP22_2x_0)</f>
        <v>1121.74</v>
      </c>
      <c r="Q37" s="1"/>
      <c r="R37" s="5">
        <f t="shared" ref="R37:R45" si="32">IF(P$12=0,0,P37/P$12)</f>
        <v>2.214978148480545E-3</v>
      </c>
      <c r="S37" s="1"/>
      <c r="T37" s="1">
        <f>SUM(OSRRefT22_2x_0)</f>
        <v>797.1</v>
      </c>
      <c r="U37" s="1"/>
      <c r="V37" s="5">
        <f t="shared" ref="V37:V45" si="33">IF(T$12=0,0,T37/T$12)</f>
        <v>1.6797457913053568E-3</v>
      </c>
      <c r="W37" s="1"/>
      <c r="X37" s="1">
        <f t="shared" ref="X37:X45" si="34">+P37-T37</f>
        <v>324.64</v>
      </c>
      <c r="Y37" s="1"/>
      <c r="Z37" s="5">
        <f t="shared" ref="Z37:Z45" si="35">IF(T37=0,0,X37/T37)</f>
        <v>0.40727637686613971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6">
        <v>656.8</v>
      </c>
      <c r="E38" s="2"/>
      <c r="F38" s="7">
        <f t="shared" si="28"/>
        <v>8.051172507158165E-3</v>
      </c>
      <c r="G38" s="2"/>
      <c r="H38" s="6">
        <v>7.94</v>
      </c>
      <c r="I38" s="2"/>
      <c r="J38" s="7">
        <f t="shared" si="29"/>
        <v>8.3344722379149642E-5</v>
      </c>
      <c r="K38" s="2"/>
      <c r="L38" s="6">
        <f t="shared" si="30"/>
        <v>648.8599999999999</v>
      </c>
      <c r="M38" s="2"/>
      <c r="N38" s="7">
        <f t="shared" si="31"/>
        <v>81.720403022670013</v>
      </c>
      <c r="O38" s="11"/>
      <c r="P38" s="6">
        <v>1121.74</v>
      </c>
      <c r="Q38" s="2"/>
      <c r="R38" s="7">
        <f t="shared" si="32"/>
        <v>2.214978148480545E-3</v>
      </c>
      <c r="S38" s="2"/>
      <c r="T38" s="6">
        <v>797.1</v>
      </c>
      <c r="U38" s="2"/>
      <c r="V38" s="7">
        <f t="shared" si="33"/>
        <v>1.6797457913053568E-3</v>
      </c>
      <c r="W38" s="2"/>
      <c r="X38" s="6">
        <f t="shared" si="34"/>
        <v>324.64</v>
      </c>
      <c r="Y38" s="2"/>
      <c r="Z38" s="7">
        <f t="shared" si="35"/>
        <v>0.40727637686613971</v>
      </c>
    </row>
    <row r="39" spans="1:26" s="27" customFormat="1" outlineLevel="1" collapsed="1" x14ac:dyDescent="0.25">
      <c r="A39" s="25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-14.33</v>
      </c>
      <c r="E39" s="1"/>
      <c r="F39" s="5">
        <f t="shared" si="28"/>
        <v>-1.7565971685075594E-4</v>
      </c>
      <c r="G39" s="1"/>
      <c r="H39" s="1">
        <f>SUM(OSRRefH22_3x_0)</f>
        <v>-1.02</v>
      </c>
      <c r="I39" s="1"/>
      <c r="J39" s="5">
        <f t="shared" si="29"/>
        <v>-1.0706752748958769E-5</v>
      </c>
      <c r="K39" s="1"/>
      <c r="L39" s="1">
        <f t="shared" si="30"/>
        <v>-13.31</v>
      </c>
      <c r="M39" s="1"/>
      <c r="N39" s="5">
        <f t="shared" si="31"/>
        <v>13.049019607843137</v>
      </c>
      <c r="O39" s="13"/>
      <c r="P39" s="1">
        <f>SUM(OSRRefP22_3x_0)</f>
        <v>-3.01</v>
      </c>
      <c r="Q39" s="1"/>
      <c r="R39" s="5">
        <f t="shared" si="32"/>
        <v>-5.9435200910428794E-6</v>
      </c>
      <c r="S39" s="1"/>
      <c r="T39" s="1">
        <f>SUM(OSRRefT22_3x_0)</f>
        <v>66.849999999999994</v>
      </c>
      <c r="U39" s="1"/>
      <c r="V39" s="5">
        <f t="shared" si="33"/>
        <v>1.4087442748558912E-4</v>
      </c>
      <c r="W39" s="1"/>
      <c r="X39" s="1">
        <f t="shared" si="34"/>
        <v>-69.86</v>
      </c>
      <c r="Y39" s="1"/>
      <c r="Z39" s="5">
        <f t="shared" si="35"/>
        <v>-1.0450261780104713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6">
        <v>-14.33</v>
      </c>
      <c r="E40" s="2"/>
      <c r="F40" s="7">
        <f t="shared" si="28"/>
        <v>-1.7565971685075594E-4</v>
      </c>
      <c r="G40" s="2"/>
      <c r="H40" s="6">
        <v>-1.02</v>
      </c>
      <c r="I40" s="2"/>
      <c r="J40" s="7">
        <f t="shared" si="29"/>
        <v>-1.0706752748958769E-5</v>
      </c>
      <c r="K40" s="2"/>
      <c r="L40" s="6">
        <f t="shared" si="30"/>
        <v>-13.31</v>
      </c>
      <c r="M40" s="2"/>
      <c r="N40" s="7">
        <f t="shared" si="31"/>
        <v>13.049019607843137</v>
      </c>
      <c r="O40" s="11"/>
      <c r="P40" s="6">
        <v>-3.01</v>
      </c>
      <c r="Q40" s="2"/>
      <c r="R40" s="7">
        <f t="shared" si="32"/>
        <v>-5.9435200910428794E-6</v>
      </c>
      <c r="S40" s="2"/>
      <c r="T40" s="6">
        <v>66.849999999999994</v>
      </c>
      <c r="U40" s="2"/>
      <c r="V40" s="7">
        <f t="shared" si="33"/>
        <v>1.4087442748558912E-4</v>
      </c>
      <c r="W40" s="2"/>
      <c r="X40" s="6">
        <f t="shared" si="34"/>
        <v>-69.86</v>
      </c>
      <c r="Y40" s="2"/>
      <c r="Z40" s="7">
        <f t="shared" si="35"/>
        <v>-1.0450261780104713</v>
      </c>
    </row>
    <row r="41" spans="1:26" s="27" customFormat="1" outlineLevel="1" collapsed="1" x14ac:dyDescent="0.25">
      <c r="A41" s="25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5557.64</v>
      </c>
      <c r="E41" s="1"/>
      <c r="F41" s="5">
        <f t="shared" si="28"/>
        <v>6.8126550506520264E-2</v>
      </c>
      <c r="G41" s="1"/>
      <c r="H41" s="1">
        <f>SUM(OSRRefH22_4x_0)</f>
        <v>5315.12</v>
      </c>
      <c r="I41" s="1"/>
      <c r="J41" s="5">
        <f t="shared" si="29"/>
        <v>5.5791838893182087E-2</v>
      </c>
      <c r="K41" s="1"/>
      <c r="L41" s="1">
        <f t="shared" si="30"/>
        <v>242.52000000000044</v>
      </c>
      <c r="M41" s="1"/>
      <c r="N41" s="5">
        <f t="shared" si="31"/>
        <v>4.5628320715242636E-2</v>
      </c>
      <c r="O41" s="13"/>
      <c r="P41" s="1">
        <f>SUM(OSRRefP22_4x_0)</f>
        <v>17679.28</v>
      </c>
      <c r="Q41" s="1"/>
      <c r="R41" s="5">
        <f t="shared" si="32"/>
        <v>3.4909354111353014E-2</v>
      </c>
      <c r="S41" s="1"/>
      <c r="T41" s="1">
        <f>SUM(OSRRefT22_4x_0)</f>
        <v>15864.270000000002</v>
      </c>
      <c r="U41" s="1"/>
      <c r="V41" s="5">
        <f t="shared" si="33"/>
        <v>3.3431113743108559E-2</v>
      </c>
      <c r="W41" s="1"/>
      <c r="X41" s="1">
        <f t="shared" si="34"/>
        <v>1815.0099999999966</v>
      </c>
      <c r="Y41" s="1"/>
      <c r="Z41" s="5">
        <f t="shared" si="35"/>
        <v>0.11440866803199871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5557.64</v>
      </c>
      <c r="E42" s="2"/>
      <c r="F42" s="7">
        <f t="shared" si="28"/>
        <v>6.8126550506520264E-2</v>
      </c>
      <c r="G42" s="2"/>
      <c r="H42" s="6">
        <v>5315.12</v>
      </c>
      <c r="I42" s="2"/>
      <c r="J42" s="7">
        <f t="shared" si="29"/>
        <v>5.5791838893182087E-2</v>
      </c>
      <c r="K42" s="2"/>
      <c r="L42" s="6">
        <f t="shared" si="30"/>
        <v>242.52000000000044</v>
      </c>
      <c r="M42" s="2"/>
      <c r="N42" s="7">
        <f t="shared" si="31"/>
        <v>4.5628320715242636E-2</v>
      </c>
      <c r="O42" s="11"/>
      <c r="P42" s="6">
        <v>17679.28</v>
      </c>
      <c r="Q42" s="2"/>
      <c r="R42" s="7">
        <f t="shared" si="32"/>
        <v>3.4909354111353014E-2</v>
      </c>
      <c r="S42" s="2"/>
      <c r="T42" s="6">
        <v>15864.270000000002</v>
      </c>
      <c r="U42" s="2"/>
      <c r="V42" s="7">
        <f t="shared" si="33"/>
        <v>3.3431113743108559E-2</v>
      </c>
      <c r="W42" s="2"/>
      <c r="X42" s="6">
        <f t="shared" si="34"/>
        <v>1815.0099999999966</v>
      </c>
      <c r="Y42" s="2"/>
      <c r="Z42" s="7">
        <f t="shared" si="35"/>
        <v>0.11440866803199871</v>
      </c>
    </row>
    <row r="43" spans="1:26" s="27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5612.57</v>
      </c>
      <c r="E43" s="1"/>
      <c r="F43" s="5">
        <f t="shared" si="28"/>
        <v>6.8799892324148446E-2</v>
      </c>
      <c r="G43" s="1"/>
      <c r="H43" s="1">
        <f>SUM(OSRRefH22_5x_0)</f>
        <v>1313</v>
      </c>
      <c r="I43" s="1"/>
      <c r="J43" s="5">
        <f t="shared" si="29"/>
        <v>1.3782319960179278E-2</v>
      </c>
      <c r="K43" s="1"/>
      <c r="L43" s="1">
        <f t="shared" si="30"/>
        <v>4299.57</v>
      </c>
      <c r="M43" s="1"/>
      <c r="N43" s="5">
        <f t="shared" si="31"/>
        <v>3.2746153846153843</v>
      </c>
      <c r="O43" s="13"/>
      <c r="P43" s="1">
        <f>SUM(OSRRefP22_5x_0)</f>
        <v>33675.42</v>
      </c>
      <c r="Q43" s="1"/>
      <c r="R43" s="5">
        <f t="shared" si="32"/>
        <v>6.6495194466547253E-2</v>
      </c>
      <c r="S43" s="1"/>
      <c r="T43" s="1">
        <f>SUM(OSRRefT22_5x_0)</f>
        <v>7878</v>
      </c>
      <c r="U43" s="1"/>
      <c r="V43" s="5">
        <f t="shared" si="33"/>
        <v>1.6601477034128214E-2</v>
      </c>
      <c r="W43" s="1"/>
      <c r="X43" s="1">
        <f t="shared" si="34"/>
        <v>25797.42</v>
      </c>
      <c r="Y43" s="1"/>
      <c r="Z43" s="5">
        <f t="shared" si="35"/>
        <v>3.2746153846153843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28"/>
        <v>5.6712468946965973E-2</v>
      </c>
      <c r="G44" s="2"/>
      <c r="H44" s="6">
        <v>326.93</v>
      </c>
      <c r="I44" s="2"/>
      <c r="J44" s="7">
        <f t="shared" si="29"/>
        <v>3.4317241923696963E-3</v>
      </c>
      <c r="K44" s="2"/>
      <c r="L44" s="6">
        <f t="shared" si="30"/>
        <v>4299.57</v>
      </c>
      <c r="M44" s="2"/>
      <c r="N44" s="7">
        <f t="shared" si="31"/>
        <v>13.151347383231883</v>
      </c>
      <c r="O44" s="11"/>
      <c r="P44" s="6">
        <v>27759</v>
      </c>
      <c r="Q44" s="2"/>
      <c r="R44" s="7">
        <f t="shared" si="32"/>
        <v>5.4812682460883493E-2</v>
      </c>
      <c r="S44" s="2"/>
      <c r="T44" s="6">
        <v>1961.58</v>
      </c>
      <c r="U44" s="2"/>
      <c r="V44" s="7">
        <f t="shared" si="33"/>
        <v>4.1336792740042172E-3</v>
      </c>
      <c r="W44" s="2"/>
      <c r="X44" s="6">
        <f t="shared" si="34"/>
        <v>25797.42</v>
      </c>
      <c r="Y44" s="2"/>
      <c r="Z44" s="7">
        <f t="shared" si="35"/>
        <v>13.151347383231885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986.07</v>
      </c>
      <c r="E45" s="2"/>
      <c r="F45" s="7">
        <f t="shared" si="28"/>
        <v>1.2087423377182478E-2</v>
      </c>
      <c r="G45" s="2"/>
      <c r="H45" s="6">
        <v>986.07</v>
      </c>
      <c r="I45" s="2"/>
      <c r="J45" s="7">
        <f t="shared" si="29"/>
        <v>1.0350595767809582E-2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>
        <v>5916.42</v>
      </c>
      <c r="Q45" s="2"/>
      <c r="R45" s="7">
        <f t="shared" si="32"/>
        <v>1.168251200566376E-2</v>
      </c>
      <c r="S45" s="2"/>
      <c r="T45" s="6">
        <v>5916.42</v>
      </c>
      <c r="U45" s="2"/>
      <c r="V45" s="7">
        <f t="shared" si="33"/>
        <v>1.2467797760123998E-2</v>
      </c>
      <c r="W45" s="2"/>
      <c r="X45" s="6">
        <f t="shared" si="34"/>
        <v>0</v>
      </c>
      <c r="Y45" s="2"/>
      <c r="Z45" s="7">
        <f t="shared" si="35"/>
        <v>0</v>
      </c>
    </row>
    <row r="46" spans="1:26" s="27" customFormat="1" outlineLevel="1" collapsed="1" x14ac:dyDescent="0.25">
      <c r="A46" s="25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ref="F46:F56" si="36">IF(D$12=0,0,D46/D$12)</f>
        <v>0</v>
      </c>
      <c r="G46" s="1"/>
      <c r="H46" s="1">
        <f>SUM(OSRRefH22_6x_0)</f>
        <v>0</v>
      </c>
      <c r="I46" s="1"/>
      <c r="J46" s="5">
        <f t="shared" ref="J46:J56" si="37">IF(H$12=0,0,H46/H$12)</f>
        <v>0</v>
      </c>
      <c r="K46" s="1"/>
      <c r="L46" s="1">
        <f t="shared" ref="L46:L56" si="38">+D46-H46</f>
        <v>0</v>
      </c>
      <c r="M46" s="1"/>
      <c r="N46" s="5">
        <f t="shared" ref="N46:N56" si="39">IF(H46=0,0,L46/H46)</f>
        <v>0</v>
      </c>
      <c r="O46" s="13"/>
      <c r="P46" s="1">
        <f>SUM(OSRRefP22_6x_0)</f>
        <v>186.48</v>
      </c>
      <c r="Q46" s="1"/>
      <c r="R46" s="5">
        <f t="shared" ref="R46:R56" si="40">IF(P$12=0,0,P46/P$12)</f>
        <v>3.6822180284972633E-4</v>
      </c>
      <c r="S46" s="1"/>
      <c r="T46" s="1">
        <f>SUM(OSRRefT22_6x_0)</f>
        <v>92.52</v>
      </c>
      <c r="U46" s="1"/>
      <c r="V46" s="5">
        <f t="shared" ref="V46:V56" si="41">IF(T$12=0,0,T46/T$12)</f>
        <v>1.9496936471154384E-4</v>
      </c>
      <c r="W46" s="1"/>
      <c r="X46" s="1">
        <f t="shared" ref="X46:X56" si="42">+P46-T46</f>
        <v>93.96</v>
      </c>
      <c r="Y46" s="1"/>
      <c r="Z46" s="5">
        <f t="shared" ref="Z46:Z56" si="43">IF(T46=0,0,X46/T46)</f>
        <v>1.0155642023346303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6"/>
        <v>0</v>
      </c>
      <c r="G47" s="2"/>
      <c r="H47" s="6"/>
      <c r="I47" s="2"/>
      <c r="J47" s="7">
        <f t="shared" si="37"/>
        <v>0</v>
      </c>
      <c r="K47" s="2"/>
      <c r="L47" s="6">
        <f t="shared" si="38"/>
        <v>0</v>
      </c>
      <c r="M47" s="2"/>
      <c r="N47" s="7">
        <f t="shared" si="39"/>
        <v>0</v>
      </c>
      <c r="O47" s="11"/>
      <c r="P47" s="6">
        <v>186.48</v>
      </c>
      <c r="Q47" s="2"/>
      <c r="R47" s="7">
        <f t="shared" si="40"/>
        <v>3.6822180284972633E-4</v>
      </c>
      <c r="S47" s="2"/>
      <c r="T47" s="6">
        <v>92.52</v>
      </c>
      <c r="U47" s="2"/>
      <c r="V47" s="7">
        <f t="shared" si="41"/>
        <v>1.9496936471154384E-4</v>
      </c>
      <c r="W47" s="2"/>
      <c r="X47" s="6">
        <f t="shared" si="42"/>
        <v>93.96</v>
      </c>
      <c r="Y47" s="2"/>
      <c r="Z47" s="7">
        <f t="shared" si="43"/>
        <v>1.0155642023346303</v>
      </c>
    </row>
    <row r="48" spans="1:26" s="27" customFormat="1" outlineLevel="1" collapsed="1" x14ac:dyDescent="0.25">
      <c r="A48" s="25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320.51</v>
      </c>
      <c r="E48" s="1"/>
      <c r="F48" s="5">
        <f t="shared" si="36"/>
        <v>3.9288692147826784E-3</v>
      </c>
      <c r="G48" s="1"/>
      <c r="H48" s="1">
        <f>SUM(OSRRefH22_7x_0)</f>
        <v>241.31</v>
      </c>
      <c r="I48" s="1"/>
      <c r="J48" s="5">
        <f t="shared" si="37"/>
        <v>2.5329867704423927E-3</v>
      </c>
      <c r="K48" s="1"/>
      <c r="L48" s="1">
        <f t="shared" si="38"/>
        <v>79.199999999999989</v>
      </c>
      <c r="M48" s="1"/>
      <c r="N48" s="5">
        <f t="shared" si="39"/>
        <v>0.32820852844888315</v>
      </c>
      <c r="O48" s="13"/>
      <c r="P48" s="1">
        <f>SUM(OSRRefP22_7x_0)</f>
        <v>2256.02</v>
      </c>
      <c r="Q48" s="1"/>
      <c r="R48" s="5">
        <f t="shared" si="40"/>
        <v>4.454717673021448E-3</v>
      </c>
      <c r="S48" s="1"/>
      <c r="T48" s="1">
        <f>SUM(OSRRefT22_7x_0)</f>
        <v>1198.78</v>
      </c>
      <c r="U48" s="1"/>
      <c r="V48" s="5">
        <f t="shared" si="41"/>
        <v>2.5262146025605762E-3</v>
      </c>
      <c r="W48" s="1"/>
      <c r="X48" s="1">
        <f t="shared" si="42"/>
        <v>1057.24</v>
      </c>
      <c r="Y48" s="1"/>
      <c r="Z48" s="5">
        <f t="shared" si="43"/>
        <v>0.88192996212816366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>
        <v>320.51</v>
      </c>
      <c r="E49" s="2"/>
      <c r="F49" s="7">
        <f t="shared" si="36"/>
        <v>3.9288692147826784E-3</v>
      </c>
      <c r="G49" s="2"/>
      <c r="H49" s="6">
        <v>241.31</v>
      </c>
      <c r="I49" s="2"/>
      <c r="J49" s="7">
        <f t="shared" si="37"/>
        <v>2.5329867704423927E-3</v>
      </c>
      <c r="K49" s="2"/>
      <c r="L49" s="6">
        <f t="shared" si="38"/>
        <v>79.199999999999989</v>
      </c>
      <c r="M49" s="2"/>
      <c r="N49" s="7">
        <f t="shared" si="39"/>
        <v>0.32820852844888315</v>
      </c>
      <c r="O49" s="11"/>
      <c r="P49" s="6">
        <v>2256.02</v>
      </c>
      <c r="Q49" s="2"/>
      <c r="R49" s="7">
        <f t="shared" si="40"/>
        <v>4.454717673021448E-3</v>
      </c>
      <c r="S49" s="2"/>
      <c r="T49" s="6">
        <v>1198.78</v>
      </c>
      <c r="U49" s="2"/>
      <c r="V49" s="7">
        <f t="shared" si="41"/>
        <v>2.5262146025605762E-3</v>
      </c>
      <c r="W49" s="2"/>
      <c r="X49" s="6">
        <f t="shared" si="42"/>
        <v>1057.24</v>
      </c>
      <c r="Y49" s="2"/>
      <c r="Z49" s="7">
        <f t="shared" si="43"/>
        <v>0.88192996212816366</v>
      </c>
    </row>
    <row r="50" spans="1:26" s="27" customFormat="1" outlineLevel="1" collapsed="1" x14ac:dyDescent="0.25">
      <c r="A50" s="25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718.22</v>
      </c>
      <c r="E50" s="1"/>
      <c r="F50" s="5">
        <f t="shared" si="36"/>
        <v>8.8040699118318161E-3</v>
      </c>
      <c r="G50" s="1"/>
      <c r="H50" s="1">
        <f>SUM(OSRRefH22_8x_0)</f>
        <v>527.58000000000004</v>
      </c>
      <c r="I50" s="1"/>
      <c r="J50" s="5">
        <f t="shared" si="37"/>
        <v>5.5379104071526155E-3</v>
      </c>
      <c r="K50" s="1"/>
      <c r="L50" s="1">
        <f t="shared" si="38"/>
        <v>190.64</v>
      </c>
      <c r="M50" s="1"/>
      <c r="N50" s="5">
        <f t="shared" si="39"/>
        <v>0.36134804200310849</v>
      </c>
      <c r="O50" s="13"/>
      <c r="P50" s="1">
        <f>SUM(OSRRefP22_8x_0)</f>
        <v>6440</v>
      </c>
      <c r="Q50" s="1"/>
      <c r="R50" s="5">
        <f t="shared" si="40"/>
        <v>1.2716368566882441E-2</v>
      </c>
      <c r="S50" s="1"/>
      <c r="T50" s="1">
        <f>SUM(OSRRefT22_8x_0)</f>
        <v>4775.1899999999996</v>
      </c>
      <c r="U50" s="1"/>
      <c r="V50" s="5">
        <f t="shared" si="41"/>
        <v>1.0062859497156474E-2</v>
      </c>
      <c r="W50" s="1"/>
      <c r="X50" s="1">
        <f t="shared" si="42"/>
        <v>1664.8100000000004</v>
      </c>
      <c r="Y50" s="1"/>
      <c r="Z50" s="5">
        <f t="shared" si="43"/>
        <v>0.3486374364161427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>
        <v>718.22</v>
      </c>
      <c r="E51" s="2"/>
      <c r="F51" s="7">
        <f t="shared" si="36"/>
        <v>8.8040699118318161E-3</v>
      </c>
      <c r="G51" s="2"/>
      <c r="H51" s="6">
        <v>527.58000000000004</v>
      </c>
      <c r="I51" s="2"/>
      <c r="J51" s="7">
        <f t="shared" si="37"/>
        <v>5.5379104071526155E-3</v>
      </c>
      <c r="K51" s="2"/>
      <c r="L51" s="6">
        <f t="shared" si="38"/>
        <v>190.64</v>
      </c>
      <c r="M51" s="2"/>
      <c r="N51" s="7">
        <f t="shared" si="39"/>
        <v>0.36134804200310849</v>
      </c>
      <c r="O51" s="11"/>
      <c r="P51" s="6">
        <v>6440</v>
      </c>
      <c r="Q51" s="2"/>
      <c r="R51" s="7">
        <f t="shared" si="40"/>
        <v>1.2716368566882441E-2</v>
      </c>
      <c r="S51" s="2"/>
      <c r="T51" s="6">
        <v>4775.1899999999996</v>
      </c>
      <c r="U51" s="2"/>
      <c r="V51" s="7">
        <f t="shared" si="41"/>
        <v>1.0062859497156474E-2</v>
      </c>
      <c r="W51" s="2"/>
      <c r="X51" s="6">
        <f t="shared" si="42"/>
        <v>1664.8100000000004</v>
      </c>
      <c r="Y51" s="2"/>
      <c r="Z51" s="7">
        <f t="shared" si="43"/>
        <v>0.3486374364161427</v>
      </c>
    </row>
    <row r="52" spans="1:26" s="27" customFormat="1" outlineLevel="1" collapsed="1" x14ac:dyDescent="0.25">
      <c r="A52" s="25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1850</v>
      </c>
      <c r="E52" s="1"/>
      <c r="F52" s="5">
        <f t="shared" si="36"/>
        <v>2.2677632670893125E-2</v>
      </c>
      <c r="G52" s="1"/>
      <c r="H52" s="1">
        <f>SUM(OSRRefH22_9x_0)</f>
        <v>1850</v>
      </c>
      <c r="I52" s="1"/>
      <c r="J52" s="5">
        <f t="shared" si="37"/>
        <v>1.9419110378013454E-2</v>
      </c>
      <c r="K52" s="1"/>
      <c r="L52" s="1">
        <f t="shared" si="38"/>
        <v>0</v>
      </c>
      <c r="M52" s="1"/>
      <c r="N52" s="5">
        <f t="shared" si="39"/>
        <v>0</v>
      </c>
      <c r="O52" s="13"/>
      <c r="P52" s="1">
        <f>SUM(OSRRefP22_9x_0)</f>
        <v>11100</v>
      </c>
      <c r="Q52" s="1"/>
      <c r="R52" s="5">
        <f t="shared" si="40"/>
        <v>2.1917964455340853E-2</v>
      </c>
      <c r="S52" s="1"/>
      <c r="T52" s="1">
        <f>SUM(OSRRefT22_9x_0)</f>
        <v>11100</v>
      </c>
      <c r="U52" s="1"/>
      <c r="V52" s="5">
        <f t="shared" si="41"/>
        <v>2.339126619431622E-2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6"/>
      <c r="B53" s="11" t="str">
        <f>CONCATENATE("          ", "6273", " - ", "RENT")</f>
        <v xml:space="preserve">          6273 - RENT</v>
      </c>
      <c r="C53" s="11"/>
      <c r="D53" s="6">
        <v>1850</v>
      </c>
      <c r="E53" s="2"/>
      <c r="F53" s="7">
        <f t="shared" si="36"/>
        <v>2.2677632670893125E-2</v>
      </c>
      <c r="G53" s="2"/>
      <c r="H53" s="6">
        <v>1850</v>
      </c>
      <c r="I53" s="2"/>
      <c r="J53" s="7">
        <f t="shared" si="37"/>
        <v>1.9419110378013454E-2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11100</v>
      </c>
      <c r="Q53" s="2"/>
      <c r="R53" s="7">
        <f t="shared" si="40"/>
        <v>2.1917964455340853E-2</v>
      </c>
      <c r="S53" s="2"/>
      <c r="T53" s="6">
        <v>11100</v>
      </c>
      <c r="U53" s="2"/>
      <c r="V53" s="7">
        <f t="shared" si="41"/>
        <v>2.339126619431622E-2</v>
      </c>
      <c r="W53" s="2"/>
      <c r="X53" s="6">
        <f t="shared" si="42"/>
        <v>0</v>
      </c>
      <c r="Y53" s="2"/>
      <c r="Z53" s="7">
        <f t="shared" si="43"/>
        <v>0</v>
      </c>
    </row>
    <row r="54" spans="1:26" s="27" customFormat="1" outlineLevel="1" collapsed="1" x14ac:dyDescent="0.25">
      <c r="A54" s="25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1965.23</v>
      </c>
      <c r="E54" s="1"/>
      <c r="F54" s="5">
        <f t="shared" si="36"/>
        <v>2.4090142731794214E-2</v>
      </c>
      <c r="G54" s="1"/>
      <c r="H54" s="1">
        <f>SUM(OSRRefH22_10x_0)</f>
        <v>2161.34</v>
      </c>
      <c r="I54" s="1"/>
      <c r="J54" s="5">
        <f t="shared" si="37"/>
        <v>2.2687189202386812E-2</v>
      </c>
      <c r="K54" s="1"/>
      <c r="L54" s="1">
        <f t="shared" si="38"/>
        <v>-196.11000000000013</v>
      </c>
      <c r="M54" s="1"/>
      <c r="N54" s="5">
        <f t="shared" si="39"/>
        <v>-9.0735377127152655E-2</v>
      </c>
      <c r="O54" s="13"/>
      <c r="P54" s="1">
        <f>SUM(OSRRefP22_10x_0)</f>
        <v>17656.849999999999</v>
      </c>
      <c r="Q54" s="1"/>
      <c r="R54" s="5">
        <f t="shared" si="40"/>
        <v>3.4865064026422081E-2</v>
      </c>
      <c r="S54" s="1"/>
      <c r="T54" s="1">
        <f>SUM(OSRRefT22_10x_0)</f>
        <v>23522.34</v>
      </c>
      <c r="U54" s="1"/>
      <c r="V54" s="5">
        <f t="shared" si="41"/>
        <v>4.9569127608397497E-2</v>
      </c>
      <c r="W54" s="1"/>
      <c r="X54" s="1">
        <f t="shared" si="42"/>
        <v>-5865.4900000000016</v>
      </c>
      <c r="Y54" s="1"/>
      <c r="Z54" s="5">
        <f t="shared" si="43"/>
        <v>-0.24935826962793675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1869.35</v>
      </c>
      <c r="E55" s="2"/>
      <c r="F55" s="7">
        <f t="shared" si="36"/>
        <v>2.2914828450450845E-2</v>
      </c>
      <c r="G55" s="2"/>
      <c r="H55" s="6">
        <v>1855.22</v>
      </c>
      <c r="I55" s="2"/>
      <c r="J55" s="7">
        <f t="shared" si="37"/>
        <v>1.9473903759728715E-2</v>
      </c>
      <c r="K55" s="2"/>
      <c r="L55" s="6">
        <f t="shared" si="38"/>
        <v>14.129999999999882</v>
      </c>
      <c r="M55" s="2"/>
      <c r="N55" s="7">
        <f t="shared" si="39"/>
        <v>7.6163473873717838E-3</v>
      </c>
      <c r="O55" s="11"/>
      <c r="P55" s="6">
        <v>10920.41</v>
      </c>
      <c r="Q55" s="2"/>
      <c r="R55" s="7">
        <f t="shared" si="40"/>
        <v>2.1563347587184579E-2</v>
      </c>
      <c r="S55" s="2"/>
      <c r="T55" s="6">
        <v>10906.44</v>
      </c>
      <c r="U55" s="2"/>
      <c r="V55" s="7">
        <f t="shared" si="41"/>
        <v>2.2983373087598038E-2</v>
      </c>
      <c r="W55" s="2"/>
      <c r="X55" s="6">
        <f t="shared" si="42"/>
        <v>13.969999999999345</v>
      </c>
      <c r="Y55" s="2"/>
      <c r="Z55" s="7">
        <f t="shared" si="43"/>
        <v>1.2808945907188179E-3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95.88</v>
      </c>
      <c r="E56" s="2"/>
      <c r="F56" s="7">
        <f t="shared" si="36"/>
        <v>1.175314281343369E-3</v>
      </c>
      <c r="G56" s="2"/>
      <c r="H56" s="6">
        <v>306.12</v>
      </c>
      <c r="I56" s="2"/>
      <c r="J56" s="7">
        <f t="shared" si="37"/>
        <v>3.2132854426580966E-3</v>
      </c>
      <c r="K56" s="2"/>
      <c r="L56" s="6">
        <f t="shared" si="38"/>
        <v>-210.24</v>
      </c>
      <c r="M56" s="2"/>
      <c r="N56" s="7">
        <f t="shared" si="39"/>
        <v>-0.6867894943159546</v>
      </c>
      <c r="O56" s="11"/>
      <c r="P56" s="6">
        <v>6736.44</v>
      </c>
      <c r="Q56" s="2"/>
      <c r="R56" s="7">
        <f t="shared" si="40"/>
        <v>1.3301716439237507E-2</v>
      </c>
      <c r="S56" s="2"/>
      <c r="T56" s="6">
        <v>12615.9</v>
      </c>
      <c r="U56" s="2"/>
      <c r="V56" s="7">
        <f t="shared" si="41"/>
        <v>2.6585754520799459E-2</v>
      </c>
      <c r="W56" s="2"/>
      <c r="X56" s="6">
        <f t="shared" si="42"/>
        <v>-5879.46</v>
      </c>
      <c r="Y56" s="2"/>
      <c r="Z56" s="7">
        <f t="shared" si="43"/>
        <v>-0.46603571683351963</v>
      </c>
    </row>
    <row r="57" spans="1:26" s="27" customFormat="1" outlineLevel="1" collapsed="1" x14ac:dyDescent="0.25">
      <c r="A57" s="25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SUM(OSRRefD22_11x_0)</f>
        <v>6526.24</v>
      </c>
      <c r="E57" s="1"/>
      <c r="F57" s="5">
        <f t="shared" ref="F57:F62" si="44">IF(D$12=0,0,D57/D$12)</f>
        <v>7.9999823482210561E-2</v>
      </c>
      <c r="G57" s="1"/>
      <c r="H57" s="1">
        <f>SUM(OSRRefH22_11x_0)</f>
        <v>7621.36</v>
      </c>
      <c r="I57" s="1"/>
      <c r="J57" s="5">
        <f t="shared" ref="J57:J62" si="45">IF(H$12=0,0,H57/H$12)</f>
        <v>8.0000016794906273E-2</v>
      </c>
      <c r="K57" s="1"/>
      <c r="L57" s="1">
        <f t="shared" ref="L57:L62" si="46">+D57-H57</f>
        <v>-1095.1199999999999</v>
      </c>
      <c r="M57" s="1"/>
      <c r="N57" s="5">
        <f t="shared" ref="N57:N62" si="47">IF(H57=0,0,L57/H57)</f>
        <v>-0.14369088981494116</v>
      </c>
      <c r="O57" s="13"/>
      <c r="P57" s="1">
        <f>SUM(OSRRefP22_11x_0)</f>
        <v>43343.76</v>
      </c>
      <c r="Q57" s="1"/>
      <c r="R57" s="5">
        <f t="shared" ref="R57:R62" si="48">IF(P$12=0,0,P57/P$12)</f>
        <v>8.5586215409083302E-2</v>
      </c>
      <c r="S57" s="1"/>
      <c r="T57" s="1">
        <f>SUM(OSRRefT22_11x_0)</f>
        <v>37962.879999999997</v>
      </c>
      <c r="U57" s="1"/>
      <c r="V57" s="5">
        <f t="shared" ref="V57:V62" si="49">IF(T$12=0,0,T57/T$12)</f>
        <v>7.9999984827286777E-2</v>
      </c>
      <c r="W57" s="1"/>
      <c r="X57" s="1">
        <f t="shared" ref="X57:X62" si="50">+P57-T57</f>
        <v>5380.8800000000047</v>
      </c>
      <c r="Y57" s="1"/>
      <c r="Z57" s="5">
        <f t="shared" ref="Z57:Z62" si="51">IF(T57=0,0,X57/T57)</f>
        <v>0.14174056341352409</v>
      </c>
    </row>
    <row r="58" spans="1:26" s="24" customFormat="1" hidden="1" outlineLevel="2" x14ac:dyDescent="0.25">
      <c r="A58" s="26"/>
      <c r="B58" s="11" t="str">
        <f>CONCATENATE("          ", "6259", " - ", "ROYALTY &amp; COMMISSIONS")</f>
        <v xml:space="preserve">          6259 - ROYALTY &amp; COMMISSIONS</v>
      </c>
      <c r="C58" s="11"/>
      <c r="D58" s="6">
        <v>6526.24</v>
      </c>
      <c r="E58" s="2"/>
      <c r="F58" s="7">
        <f t="shared" si="44"/>
        <v>7.9999823482210561E-2</v>
      </c>
      <c r="G58" s="2"/>
      <c r="H58" s="6">
        <v>7621.36</v>
      </c>
      <c r="I58" s="2"/>
      <c r="J58" s="7">
        <f t="shared" si="45"/>
        <v>8.0000016794906273E-2</v>
      </c>
      <c r="K58" s="2"/>
      <c r="L58" s="6">
        <f t="shared" si="46"/>
        <v>-1095.1199999999999</v>
      </c>
      <c r="M58" s="2"/>
      <c r="N58" s="7">
        <f t="shared" si="47"/>
        <v>-0.14369088981494116</v>
      </c>
      <c r="O58" s="11"/>
      <c r="P58" s="6">
        <v>43343.76</v>
      </c>
      <c r="Q58" s="2"/>
      <c r="R58" s="7">
        <f t="shared" si="48"/>
        <v>8.5586215409083302E-2</v>
      </c>
      <c r="S58" s="2"/>
      <c r="T58" s="6">
        <v>37962.879999999997</v>
      </c>
      <c r="U58" s="2"/>
      <c r="V58" s="7">
        <f t="shared" si="49"/>
        <v>7.9999984827286777E-2</v>
      </c>
      <c r="W58" s="2"/>
      <c r="X58" s="6">
        <f t="shared" si="50"/>
        <v>5380.8800000000047</v>
      </c>
      <c r="Y58" s="2"/>
      <c r="Z58" s="7">
        <f t="shared" si="51"/>
        <v>0.14174056341352409</v>
      </c>
    </row>
    <row r="59" spans="1:26" s="27" customFormat="1" outlineLevel="1" collapsed="1" x14ac:dyDescent="0.25">
      <c r="A59" s="25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SUM(OSRRefD22_12x_0)</f>
        <v>667.26</v>
      </c>
      <c r="E59" s="1"/>
      <c r="F59" s="5">
        <f t="shared" si="44"/>
        <v>8.1793930680973768E-3</v>
      </c>
      <c r="G59" s="1"/>
      <c r="H59" s="1">
        <f>SUM(OSRRefH22_12x_0)</f>
        <v>164.68</v>
      </c>
      <c r="I59" s="1"/>
      <c r="J59" s="5">
        <f t="shared" si="45"/>
        <v>1.7286157281358138E-3</v>
      </c>
      <c r="K59" s="1"/>
      <c r="L59" s="1">
        <f t="shared" si="46"/>
        <v>502.58</v>
      </c>
      <c r="M59" s="1"/>
      <c r="N59" s="5">
        <f t="shared" si="47"/>
        <v>3.0518581491377215</v>
      </c>
      <c r="O59" s="13"/>
      <c r="P59" s="1">
        <f>SUM(OSRRefP22_12x_0)</f>
        <v>2736.12</v>
      </c>
      <c r="Q59" s="1"/>
      <c r="R59" s="5">
        <f t="shared" si="48"/>
        <v>5.402719000499749E-3</v>
      </c>
      <c r="S59" s="1"/>
      <c r="T59" s="1">
        <f>SUM(OSRRefT22_12x_0)</f>
        <v>1832.5800000000002</v>
      </c>
      <c r="U59" s="1"/>
      <c r="V59" s="5">
        <f t="shared" si="49"/>
        <v>3.8618348290432453E-3</v>
      </c>
      <c r="W59" s="1"/>
      <c r="X59" s="1">
        <f t="shared" si="50"/>
        <v>903.53999999999974</v>
      </c>
      <c r="Y59" s="1"/>
      <c r="Z59" s="5">
        <f t="shared" si="51"/>
        <v>0.4930425956847721</v>
      </c>
    </row>
    <row r="60" spans="1:26" s="24" customFormat="1" hidden="1" outlineLevel="2" x14ac:dyDescent="0.25">
      <c r="A60" s="26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193.92</v>
      </c>
      <c r="E60" s="2"/>
      <c r="F60" s="7">
        <f t="shared" si="44"/>
        <v>2.3771062311024834E-3</v>
      </c>
      <c r="G60" s="2"/>
      <c r="H60" s="6"/>
      <c r="I60" s="2"/>
      <c r="J60" s="7">
        <f t="shared" si="45"/>
        <v>0</v>
      </c>
      <c r="K60" s="2"/>
      <c r="L60" s="6">
        <f t="shared" si="46"/>
        <v>193.92</v>
      </c>
      <c r="M60" s="2"/>
      <c r="N60" s="7">
        <f t="shared" si="47"/>
        <v>0</v>
      </c>
      <c r="O60" s="11"/>
      <c r="P60" s="6">
        <v>678.72</v>
      </c>
      <c r="Q60" s="2"/>
      <c r="R60" s="7">
        <f t="shared" si="48"/>
        <v>1.3401946698314365E-3</v>
      </c>
      <c r="S60" s="2"/>
      <c r="T60" s="6">
        <v>290.88</v>
      </c>
      <c r="U60" s="2"/>
      <c r="V60" s="7">
        <f t="shared" si="49"/>
        <v>6.1297761356781104E-4</v>
      </c>
      <c r="W60" s="2"/>
      <c r="X60" s="6">
        <f t="shared" si="50"/>
        <v>387.84000000000003</v>
      </c>
      <c r="Y60" s="2"/>
      <c r="Z60" s="7">
        <f t="shared" si="51"/>
        <v>1.3333333333333335</v>
      </c>
    </row>
    <row r="61" spans="1:26" s="24" customFormat="1" hidden="1" outlineLevel="2" x14ac:dyDescent="0.25">
      <c r="A61" s="26"/>
      <c r="B61" s="11" t="str">
        <f>CONCATENATE("          ", "6284", " - ", "TRASH REMOVAL EXPENSE")</f>
        <v xml:space="preserve">          6284 - TRASH REMOVAL EXPENSE</v>
      </c>
      <c r="C61" s="11"/>
      <c r="D61" s="6">
        <v>312</v>
      </c>
      <c r="E61" s="2"/>
      <c r="F61" s="7">
        <f t="shared" si="44"/>
        <v>3.8245521044965704E-3</v>
      </c>
      <c r="G61" s="2"/>
      <c r="H61" s="6">
        <v>94</v>
      </c>
      <c r="I61" s="2"/>
      <c r="J61" s="7">
        <f t="shared" si="45"/>
        <v>9.8670074353149448E-4</v>
      </c>
      <c r="K61" s="2"/>
      <c r="L61" s="6">
        <f t="shared" si="46"/>
        <v>218</v>
      </c>
      <c r="M61" s="2"/>
      <c r="N61" s="7">
        <f t="shared" si="47"/>
        <v>2.3191489361702127</v>
      </c>
      <c r="O61" s="11"/>
      <c r="P61" s="6">
        <v>594</v>
      </c>
      <c r="Q61" s="2"/>
      <c r="R61" s="7">
        <f t="shared" si="48"/>
        <v>1.1729072870695916E-3</v>
      </c>
      <c r="S61" s="2"/>
      <c r="T61" s="6">
        <v>790.46</v>
      </c>
      <c r="U61" s="2"/>
      <c r="V61" s="7">
        <f t="shared" si="49"/>
        <v>1.6657531780143423E-3</v>
      </c>
      <c r="W61" s="2"/>
      <c r="X61" s="6">
        <f t="shared" si="50"/>
        <v>-196.46000000000004</v>
      </c>
      <c r="Y61" s="2"/>
      <c r="Z61" s="7">
        <f t="shared" si="51"/>
        <v>-0.24853882549401618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>
        <v>161.34</v>
      </c>
      <c r="E62" s="2"/>
      <c r="F62" s="7">
        <f t="shared" si="44"/>
        <v>1.9777347324983225E-3</v>
      </c>
      <c r="G62" s="2"/>
      <c r="H62" s="6">
        <v>70.680000000000007</v>
      </c>
      <c r="I62" s="2"/>
      <c r="J62" s="7">
        <f t="shared" si="45"/>
        <v>7.419149846043195E-4</v>
      </c>
      <c r="K62" s="2"/>
      <c r="L62" s="6">
        <f t="shared" si="46"/>
        <v>90.66</v>
      </c>
      <c r="M62" s="2"/>
      <c r="N62" s="7">
        <f t="shared" si="47"/>
        <v>1.2826825127334462</v>
      </c>
      <c r="O62" s="11"/>
      <c r="P62" s="6">
        <v>1463.4</v>
      </c>
      <c r="Q62" s="2"/>
      <c r="R62" s="7">
        <f t="shared" si="48"/>
        <v>2.8896170435987216E-3</v>
      </c>
      <c r="S62" s="2"/>
      <c r="T62" s="6">
        <v>751.24</v>
      </c>
      <c r="U62" s="2"/>
      <c r="V62" s="7">
        <f t="shared" si="49"/>
        <v>1.5831040374610916E-3</v>
      </c>
      <c r="W62" s="2"/>
      <c r="X62" s="6">
        <f t="shared" si="50"/>
        <v>712.16000000000008</v>
      </c>
      <c r="Y62" s="2"/>
      <c r="Z62" s="7">
        <f t="shared" si="51"/>
        <v>0.94797934082317248</v>
      </c>
    </row>
    <row r="63" spans="1:26" s="27" customFormat="1" outlineLevel="1" collapsed="1" x14ac:dyDescent="0.25">
      <c r="A63" s="25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SUM(OSRRefD22_13x_0)</f>
        <v>979</v>
      </c>
      <c r="E63" s="1"/>
      <c r="F63" s="5">
        <f t="shared" ref="F63:F65" si="52">IF(D$12=0,0,D63/D$12)</f>
        <v>1.20007580458402E-2</v>
      </c>
      <c r="G63" s="1"/>
      <c r="H63" s="1">
        <f>SUM(OSRRefH22_13x_0)</f>
        <v>30.68</v>
      </c>
      <c r="I63" s="1"/>
      <c r="J63" s="5">
        <f t="shared" ref="J63:J65" si="53">IF(H$12=0,0,H63/H$12)</f>
        <v>3.2204232778240688E-4</v>
      </c>
      <c r="K63" s="1"/>
      <c r="L63" s="1">
        <f t="shared" ref="L63:L65" si="54">+D63-H63</f>
        <v>948.32</v>
      </c>
      <c r="M63" s="1"/>
      <c r="N63" s="5">
        <f t="shared" ref="N63:N65" si="55">IF(H63=0,0,L63/H63)</f>
        <v>30.910039113428947</v>
      </c>
      <c r="O63" s="13"/>
      <c r="P63" s="1">
        <f>SUM(OSRRefP22_13x_0)</f>
        <v>1071.04</v>
      </c>
      <c r="Q63" s="1"/>
      <c r="R63" s="5">
        <f t="shared" ref="R63:R65" si="56">IF(P$12=0,0,P63/P$12)</f>
        <v>2.1148663648872311E-3</v>
      </c>
      <c r="S63" s="1"/>
      <c r="T63" s="1">
        <f>SUM(OSRRefT22_13x_0)</f>
        <v>122.72</v>
      </c>
      <c r="U63" s="1"/>
      <c r="V63" s="5">
        <f t="shared" ref="V63:V65" si="57">IF(T$12=0,0,T63/T$12)</f>
        <v>2.5861046733031409E-4</v>
      </c>
      <c r="W63" s="1"/>
      <c r="X63" s="1">
        <f t="shared" ref="X63:X65" si="58">+P63-T63</f>
        <v>948.31999999999994</v>
      </c>
      <c r="Y63" s="1"/>
      <c r="Z63" s="5">
        <f t="shared" ref="Z63:Z65" si="59">IF(T63=0,0,X63/T63)</f>
        <v>7.727509778357236</v>
      </c>
    </row>
    <row r="64" spans="1:26" s="24" customFormat="1" hidden="1" outlineLevel="2" x14ac:dyDescent="0.25">
      <c r="A64" s="26"/>
      <c r="B64" s="11" t="str">
        <f>CONCATENATE("          ", "6258", " - ", "MEMBERSHIP DUES")</f>
        <v xml:space="preserve">          6258 - MEMBERSHIP DUES</v>
      </c>
      <c r="C64" s="11"/>
      <c r="D64" s="6">
        <v>979</v>
      </c>
      <c r="E64" s="2"/>
      <c r="F64" s="7">
        <f t="shared" si="52"/>
        <v>1.20007580458402E-2</v>
      </c>
      <c r="G64" s="2"/>
      <c r="H64" s="6"/>
      <c r="I64" s="2"/>
      <c r="J64" s="7">
        <f t="shared" si="53"/>
        <v>0</v>
      </c>
      <c r="K64" s="2"/>
      <c r="L64" s="6">
        <f t="shared" si="54"/>
        <v>979</v>
      </c>
      <c r="M64" s="2"/>
      <c r="N64" s="7">
        <f t="shared" si="55"/>
        <v>0</v>
      </c>
      <c r="O64" s="11"/>
      <c r="P64" s="6">
        <v>979</v>
      </c>
      <c r="Q64" s="2"/>
      <c r="R64" s="7">
        <f t="shared" si="56"/>
        <v>1.9331249731332158E-3</v>
      </c>
      <c r="S64" s="2"/>
      <c r="T64" s="6"/>
      <c r="U64" s="2"/>
      <c r="V64" s="7">
        <f t="shared" si="57"/>
        <v>0</v>
      </c>
      <c r="W64" s="2"/>
      <c r="X64" s="6">
        <f t="shared" si="58"/>
        <v>979</v>
      </c>
      <c r="Y64" s="2"/>
      <c r="Z64" s="7">
        <f t="shared" si="59"/>
        <v>0</v>
      </c>
    </row>
    <row r="65" spans="1:26" s="24" customFormat="1" hidden="1" outlineLevel="2" x14ac:dyDescent="0.25">
      <c r="A65" s="26"/>
      <c r="B65" s="11" t="str">
        <f>CONCATENATE("          ", "6275", " - ", "SUBSCRIPTIONS")</f>
        <v xml:space="preserve">          6275 - SUBSCRIPTIONS</v>
      </c>
      <c r="C65" s="11"/>
      <c r="D65" s="6"/>
      <c r="E65" s="2"/>
      <c r="F65" s="7">
        <f t="shared" si="52"/>
        <v>0</v>
      </c>
      <c r="G65" s="2"/>
      <c r="H65" s="6">
        <v>30.68</v>
      </c>
      <c r="I65" s="2"/>
      <c r="J65" s="7">
        <f t="shared" si="53"/>
        <v>3.2204232778240688E-4</v>
      </c>
      <c r="K65" s="2"/>
      <c r="L65" s="6">
        <f t="shared" si="54"/>
        <v>-30.68</v>
      </c>
      <c r="M65" s="2"/>
      <c r="N65" s="7">
        <f t="shared" si="55"/>
        <v>-1</v>
      </c>
      <c r="O65" s="11"/>
      <c r="P65" s="6">
        <v>92.04</v>
      </c>
      <c r="Q65" s="2"/>
      <c r="R65" s="7">
        <f t="shared" si="56"/>
        <v>1.8174139175401553E-4</v>
      </c>
      <c r="S65" s="2"/>
      <c r="T65" s="6">
        <v>122.72</v>
      </c>
      <c r="U65" s="2"/>
      <c r="V65" s="7">
        <f t="shared" si="57"/>
        <v>2.5861046733031409E-4</v>
      </c>
      <c r="W65" s="2"/>
      <c r="X65" s="6">
        <f t="shared" si="58"/>
        <v>-30.679999999999993</v>
      </c>
      <c r="Y65" s="2"/>
      <c r="Z65" s="7">
        <f t="shared" si="59"/>
        <v>-0.24999999999999994</v>
      </c>
    </row>
    <row r="66" spans="1:26" s="27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SUM(OSRRefD22_14x_0)</f>
        <v>934.18000000000006</v>
      </c>
      <c r="E66" s="1"/>
      <c r="F66" s="5">
        <f t="shared" ref="F66:F73" si="60">IF(D$12=0,0,D66/D$12)</f>
        <v>1.1451346426213482E-2</v>
      </c>
      <c r="G66" s="1"/>
      <c r="H66" s="1">
        <f>SUM(OSRRefH22_14x_0)</f>
        <v>1259.9899999999998</v>
      </c>
      <c r="I66" s="1"/>
      <c r="J66" s="5">
        <f t="shared" ref="J66:J73" si="61">IF(H$12=0,0,H66/H$12)</f>
        <v>1.3225883721726036E-2</v>
      </c>
      <c r="K66" s="1"/>
      <c r="L66" s="1">
        <f t="shared" ref="L66:L73" si="62">+D66-H66</f>
        <v>-325.80999999999972</v>
      </c>
      <c r="M66" s="1"/>
      <c r="N66" s="5">
        <f t="shared" ref="N66:N73" si="63">IF(H66=0,0,L66/H66)</f>
        <v>-0.25858141731283563</v>
      </c>
      <c r="O66" s="13"/>
      <c r="P66" s="1">
        <f>SUM(OSRRefP22_14x_0)</f>
        <v>9205.0800000000017</v>
      </c>
      <c r="Q66" s="1"/>
      <c r="R66" s="5">
        <f t="shared" ref="R66:R73" si="64">IF(P$12=0,0,P66/P$12)</f>
        <v>1.8176271734105319E-2</v>
      </c>
      <c r="S66" s="1"/>
      <c r="T66" s="1">
        <f>SUM(OSRRefT22_14x_0)</f>
        <v>6885.9400000000005</v>
      </c>
      <c r="U66" s="1"/>
      <c r="V66" s="5">
        <f t="shared" ref="V66:V73" si="65">IF(T$12=0,0,T66/T$12)</f>
        <v>1.45108878863144E-2</v>
      </c>
      <c r="W66" s="1"/>
      <c r="X66" s="1">
        <f t="shared" ref="X66:X73" si="66">+P66-T66</f>
        <v>2319.1400000000012</v>
      </c>
      <c r="Y66" s="1"/>
      <c r="Z66" s="5">
        <f t="shared" ref="Z66:Z73" si="67">IF(T66=0,0,X66/T66)</f>
        <v>0.33679352419568004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6">
        <v>15.21</v>
      </c>
      <c r="E67" s="2"/>
      <c r="F67" s="7">
        <f t="shared" si="60"/>
        <v>1.8644691509420782E-4</v>
      </c>
      <c r="G67" s="2"/>
      <c r="H67" s="6">
        <v>129.25</v>
      </c>
      <c r="I67" s="2"/>
      <c r="J67" s="7">
        <f t="shared" si="61"/>
        <v>1.3567135223558047E-3</v>
      </c>
      <c r="K67" s="2"/>
      <c r="L67" s="6">
        <f t="shared" si="62"/>
        <v>-114.03999999999999</v>
      </c>
      <c r="M67" s="2"/>
      <c r="N67" s="7">
        <f t="shared" si="63"/>
        <v>-0.88232108317214697</v>
      </c>
      <c r="O67" s="11"/>
      <c r="P67" s="6">
        <v>1073.1400000000001</v>
      </c>
      <c r="Q67" s="2"/>
      <c r="R67" s="7">
        <f t="shared" si="64"/>
        <v>2.1190130068112151E-3</v>
      </c>
      <c r="S67" s="2"/>
      <c r="T67" s="6">
        <v>433.08</v>
      </c>
      <c r="U67" s="2"/>
      <c r="V67" s="7">
        <f t="shared" si="65"/>
        <v>9.1263869940851061E-4</v>
      </c>
      <c r="W67" s="2"/>
      <c r="X67" s="6">
        <f t="shared" si="66"/>
        <v>640.06000000000017</v>
      </c>
      <c r="Y67" s="2"/>
      <c r="Z67" s="7">
        <f t="shared" si="67"/>
        <v>1.4779255564791729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60"/>
        <v>0</v>
      </c>
      <c r="G68" s="2"/>
      <c r="H68" s="6">
        <v>606.04</v>
      </c>
      <c r="I68" s="2"/>
      <c r="J68" s="7">
        <f t="shared" si="61"/>
        <v>6.3614906235087958E-3</v>
      </c>
      <c r="K68" s="2"/>
      <c r="L68" s="6">
        <f t="shared" si="62"/>
        <v>-606.04</v>
      </c>
      <c r="M68" s="2"/>
      <c r="N68" s="7">
        <f t="shared" si="63"/>
        <v>-1</v>
      </c>
      <c r="O68" s="11"/>
      <c r="P68" s="6">
        <v>3472.75</v>
      </c>
      <c r="Q68" s="2"/>
      <c r="R68" s="7">
        <f t="shared" si="64"/>
        <v>6.8572622578635086E-3</v>
      </c>
      <c r="S68" s="2"/>
      <c r="T68" s="6">
        <v>1548.43</v>
      </c>
      <c r="U68" s="2"/>
      <c r="V68" s="7">
        <f t="shared" si="65"/>
        <v>3.2630394876815376E-3</v>
      </c>
      <c r="W68" s="2"/>
      <c r="X68" s="6">
        <f t="shared" si="66"/>
        <v>1924.32</v>
      </c>
      <c r="Y68" s="2"/>
      <c r="Z68" s="7">
        <f t="shared" si="67"/>
        <v>1.2427555653145443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>
        <v>153.91</v>
      </c>
      <c r="E69" s="2"/>
      <c r="F69" s="7">
        <f t="shared" si="60"/>
        <v>1.8866564564200871E-3</v>
      </c>
      <c r="G69" s="2"/>
      <c r="H69" s="6">
        <v>181.32</v>
      </c>
      <c r="I69" s="2"/>
      <c r="J69" s="7">
        <f t="shared" si="61"/>
        <v>1.9032827533737294E-3</v>
      </c>
      <c r="K69" s="2"/>
      <c r="L69" s="6">
        <f t="shared" si="62"/>
        <v>-27.409999999999997</v>
      </c>
      <c r="M69" s="2"/>
      <c r="N69" s="7">
        <f t="shared" si="63"/>
        <v>-0.15116920361791306</v>
      </c>
      <c r="O69" s="11"/>
      <c r="P69" s="6">
        <v>1169</v>
      </c>
      <c r="Q69" s="2"/>
      <c r="R69" s="7">
        <f t="shared" si="64"/>
        <v>2.3082973376840955E-3</v>
      </c>
      <c r="S69" s="2"/>
      <c r="T69" s="6">
        <v>555.44000000000005</v>
      </c>
      <c r="U69" s="2"/>
      <c r="V69" s="7">
        <f t="shared" si="65"/>
        <v>1.1704905310784687E-3</v>
      </c>
      <c r="W69" s="2"/>
      <c r="X69" s="6">
        <f t="shared" si="66"/>
        <v>613.55999999999995</v>
      </c>
      <c r="Y69" s="2"/>
      <c r="Z69" s="7">
        <f t="shared" si="67"/>
        <v>1.104637764655048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6">
        <v>617.37</v>
      </c>
      <c r="E70" s="2"/>
      <c r="F70" s="7">
        <f t="shared" si="60"/>
        <v>7.5678324767725885E-3</v>
      </c>
      <c r="G70" s="2"/>
      <c r="H70" s="6">
        <v>343.38</v>
      </c>
      <c r="I70" s="2"/>
      <c r="J70" s="7">
        <f t="shared" si="61"/>
        <v>3.6043968224877079E-3</v>
      </c>
      <c r="K70" s="2"/>
      <c r="L70" s="6">
        <f t="shared" si="62"/>
        <v>273.99</v>
      </c>
      <c r="M70" s="2"/>
      <c r="N70" s="7">
        <f t="shared" si="63"/>
        <v>0.79792067097676045</v>
      </c>
      <c r="O70" s="11"/>
      <c r="P70" s="6">
        <v>3668.76</v>
      </c>
      <c r="Q70" s="2"/>
      <c r="R70" s="7">
        <f t="shared" si="64"/>
        <v>7.2443019166825509E-3</v>
      </c>
      <c r="S70" s="2"/>
      <c r="T70" s="6">
        <v>3876.98</v>
      </c>
      <c r="U70" s="2"/>
      <c r="V70" s="7">
        <f t="shared" si="65"/>
        <v>8.1700424513549644E-3</v>
      </c>
      <c r="W70" s="2"/>
      <c r="X70" s="6">
        <f t="shared" si="66"/>
        <v>-208.2199999999998</v>
      </c>
      <c r="Y70" s="2"/>
      <c r="Z70" s="7">
        <f t="shared" si="67"/>
        <v>-5.370675113103493E-2</v>
      </c>
    </row>
    <row r="71" spans="1:26" s="24" customFormat="1" hidden="1" outlineLevel="2" x14ac:dyDescent="0.25">
      <c r="A71" s="26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60"/>
        <v>0</v>
      </c>
      <c r="G71" s="2"/>
      <c r="H71" s="6"/>
      <c r="I71" s="2"/>
      <c r="J71" s="7">
        <f t="shared" si="61"/>
        <v>0</v>
      </c>
      <c r="K71" s="2"/>
      <c r="L71" s="6">
        <f t="shared" si="62"/>
        <v>0</v>
      </c>
      <c r="M71" s="2"/>
      <c r="N71" s="7">
        <f t="shared" si="63"/>
        <v>0</v>
      </c>
      <c r="O71" s="11"/>
      <c r="P71" s="6">
        <v>66.930000000000007</v>
      </c>
      <c r="Q71" s="2"/>
      <c r="R71" s="7">
        <f t="shared" si="64"/>
        <v>1.3215940189152824E-4</v>
      </c>
      <c r="S71" s="2"/>
      <c r="T71" s="6"/>
      <c r="U71" s="2"/>
      <c r="V71" s="7">
        <f t="shared" si="65"/>
        <v>0</v>
      </c>
      <c r="W71" s="2"/>
      <c r="X71" s="6">
        <f t="shared" si="66"/>
        <v>66.930000000000007</v>
      </c>
      <c r="Y71" s="2"/>
      <c r="Z71" s="7">
        <f t="shared" si="67"/>
        <v>0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6">
        <v>147.69</v>
      </c>
      <c r="E72" s="2"/>
      <c r="F72" s="7">
        <f t="shared" si="60"/>
        <v>1.8104105779265976E-3</v>
      </c>
      <c r="G72" s="2"/>
      <c r="H72" s="6"/>
      <c r="I72" s="2"/>
      <c r="J72" s="7">
        <f t="shared" si="61"/>
        <v>0</v>
      </c>
      <c r="K72" s="2"/>
      <c r="L72" s="6">
        <f t="shared" si="62"/>
        <v>147.69</v>
      </c>
      <c r="M72" s="2"/>
      <c r="N72" s="7">
        <f t="shared" si="63"/>
        <v>0</v>
      </c>
      <c r="O72" s="11"/>
      <c r="P72" s="6">
        <v>-379.58</v>
      </c>
      <c r="Q72" s="2"/>
      <c r="R72" s="7">
        <f t="shared" si="64"/>
        <v>-7.4951540071696218E-4</v>
      </c>
      <c r="S72" s="2"/>
      <c r="T72" s="6">
        <v>108.18</v>
      </c>
      <c r="U72" s="2"/>
      <c r="V72" s="7">
        <f t="shared" si="65"/>
        <v>2.2797001593703864E-4</v>
      </c>
      <c r="W72" s="2"/>
      <c r="X72" s="6">
        <f t="shared" si="66"/>
        <v>-487.76</v>
      </c>
      <c r="Y72" s="2"/>
      <c r="Z72" s="7">
        <f t="shared" si="67"/>
        <v>-4.5087816601959689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60"/>
        <v>0</v>
      </c>
      <c r="G73" s="2"/>
      <c r="H73" s="6"/>
      <c r="I73" s="2"/>
      <c r="J73" s="7">
        <f t="shared" si="61"/>
        <v>0</v>
      </c>
      <c r="K73" s="2"/>
      <c r="L73" s="6">
        <f t="shared" si="62"/>
        <v>0</v>
      </c>
      <c r="M73" s="2"/>
      <c r="N73" s="7">
        <f t="shared" si="63"/>
        <v>0</v>
      </c>
      <c r="O73" s="11"/>
      <c r="P73" s="6">
        <v>134.08000000000001</v>
      </c>
      <c r="Q73" s="2"/>
      <c r="R73" s="7">
        <f t="shared" si="64"/>
        <v>2.6475321388937854E-4</v>
      </c>
      <c r="S73" s="2"/>
      <c r="T73" s="6">
        <v>363.83</v>
      </c>
      <c r="U73" s="2"/>
      <c r="V73" s="7">
        <f t="shared" si="65"/>
        <v>7.6670670085388017E-4</v>
      </c>
      <c r="W73" s="2"/>
      <c r="X73" s="6">
        <f t="shared" si="66"/>
        <v>-229.74999999999997</v>
      </c>
      <c r="Y73" s="2"/>
      <c r="Z73" s="7">
        <f t="shared" si="67"/>
        <v>-0.63147623890278426</v>
      </c>
    </row>
    <row r="74" spans="1:26" s="27" customFormat="1" outlineLevel="1" collapsed="1" x14ac:dyDescent="0.25">
      <c r="A74" s="25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SUM(OSRRefD22_15x_0)</f>
        <v>73</v>
      </c>
      <c r="E74" s="1"/>
      <c r="F74" s="5">
        <f t="shared" ref="F74:F79" si="68">IF(D$12=0,0,D74/D$12)</f>
        <v>8.9484712701362059E-4</v>
      </c>
      <c r="G74" s="1"/>
      <c r="H74" s="1">
        <f>SUM(OSRRefH22_15x_0)</f>
        <v>90.75</v>
      </c>
      <c r="I74" s="1"/>
      <c r="J74" s="5">
        <f t="shared" ref="J74:J79" si="69">IF(H$12=0,0,H74/H$12)</f>
        <v>9.5258609016471397E-4</v>
      </c>
      <c r="K74" s="1"/>
      <c r="L74" s="1">
        <f t="shared" ref="L74:L79" si="70">+D74-H74</f>
        <v>-17.75</v>
      </c>
      <c r="M74" s="1"/>
      <c r="N74" s="5">
        <f t="shared" ref="N74:N79" si="71">IF(H74=0,0,L74/H74)</f>
        <v>-0.19559228650137742</v>
      </c>
      <c r="O74" s="13"/>
      <c r="P74" s="1">
        <f>SUM(OSRRefP22_15x_0)</f>
        <v>492.3</v>
      </c>
      <c r="Q74" s="1"/>
      <c r="R74" s="5">
        <f t="shared" ref="R74:R79" si="72">IF(P$12=0,0,P74/P$12)</f>
        <v>9.7209134246525246E-4</v>
      </c>
      <c r="S74" s="1"/>
      <c r="T74" s="1">
        <f>SUM(OSRRefT22_15x_0)</f>
        <v>485.8</v>
      </c>
      <c r="U74" s="1"/>
      <c r="V74" s="5">
        <f t="shared" ref="V74:V79" si="73">IF(T$12=0,0,T74/T$12)</f>
        <v>1.023736677225119E-3</v>
      </c>
      <c r="W74" s="1"/>
      <c r="X74" s="1">
        <f t="shared" ref="X74:X79" si="74">+P74-T74</f>
        <v>6.5</v>
      </c>
      <c r="Y74" s="1"/>
      <c r="Z74" s="5">
        <f t="shared" ref="Z74:Z79" si="75">IF(T74=0,0,X74/T74)</f>
        <v>1.3379991766158913E-2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6">
        <v>73</v>
      </c>
      <c r="E75" s="2"/>
      <c r="F75" s="7">
        <f t="shared" si="68"/>
        <v>8.9484712701362059E-4</v>
      </c>
      <c r="G75" s="2"/>
      <c r="H75" s="6">
        <v>90.75</v>
      </c>
      <c r="I75" s="2"/>
      <c r="J75" s="7">
        <f t="shared" si="69"/>
        <v>9.5258609016471397E-4</v>
      </c>
      <c r="K75" s="2"/>
      <c r="L75" s="6">
        <f t="shared" si="70"/>
        <v>-17.75</v>
      </c>
      <c r="M75" s="2"/>
      <c r="N75" s="7">
        <f t="shared" si="71"/>
        <v>-0.19559228650137742</v>
      </c>
      <c r="O75" s="11"/>
      <c r="P75" s="6">
        <v>492.3</v>
      </c>
      <c r="Q75" s="2"/>
      <c r="R75" s="7">
        <f t="shared" si="72"/>
        <v>9.7209134246525246E-4</v>
      </c>
      <c r="S75" s="2"/>
      <c r="T75" s="6">
        <v>485.8</v>
      </c>
      <c r="U75" s="2"/>
      <c r="V75" s="7">
        <f t="shared" si="73"/>
        <v>1.023736677225119E-3</v>
      </c>
      <c r="W75" s="2"/>
      <c r="X75" s="6">
        <f t="shared" si="74"/>
        <v>6.5</v>
      </c>
      <c r="Y75" s="2"/>
      <c r="Z75" s="7">
        <f t="shared" si="75"/>
        <v>1.3379991766158913E-2</v>
      </c>
    </row>
    <row r="76" spans="1:26" s="27" customFormat="1" outlineLevel="1" collapsed="1" x14ac:dyDescent="0.25">
      <c r="A76" s="25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SUM(OSRRefD22_16x_0)</f>
        <v>0</v>
      </c>
      <c r="E76" s="1"/>
      <c r="F76" s="5">
        <f t="shared" si="68"/>
        <v>0</v>
      </c>
      <c r="G76" s="1"/>
      <c r="H76" s="1">
        <f>SUM(OSRRefH22_16x_0)</f>
        <v>0</v>
      </c>
      <c r="I76" s="1"/>
      <c r="J76" s="5">
        <f t="shared" si="69"/>
        <v>0</v>
      </c>
      <c r="K76" s="1"/>
      <c r="L76" s="1">
        <f t="shared" si="70"/>
        <v>0</v>
      </c>
      <c r="M76" s="1"/>
      <c r="N76" s="5">
        <f t="shared" si="71"/>
        <v>0</v>
      </c>
      <c r="O76" s="13"/>
      <c r="P76" s="1">
        <f>SUM(OSRRefP22_16x_0)</f>
        <v>465.65</v>
      </c>
      <c r="Q76" s="1"/>
      <c r="R76" s="5">
        <f t="shared" si="72"/>
        <v>9.1946848185851067E-4</v>
      </c>
      <c r="S76" s="1"/>
      <c r="T76" s="1">
        <f>SUM(OSRRefT22_16x_0)</f>
        <v>235.16</v>
      </c>
      <c r="U76" s="1"/>
      <c r="V76" s="5">
        <f t="shared" si="73"/>
        <v>4.9555767191490109E-4</v>
      </c>
      <c r="W76" s="1"/>
      <c r="X76" s="1">
        <f t="shared" si="74"/>
        <v>230.48999999999998</v>
      </c>
      <c r="Y76" s="1"/>
      <c r="Z76" s="5">
        <f t="shared" si="75"/>
        <v>0.98014118047286947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68"/>
        <v>0</v>
      </c>
      <c r="G77" s="2"/>
      <c r="H77" s="6"/>
      <c r="I77" s="2"/>
      <c r="J77" s="7">
        <f t="shared" si="69"/>
        <v>0</v>
      </c>
      <c r="K77" s="2"/>
      <c r="L77" s="6">
        <f t="shared" si="70"/>
        <v>0</v>
      </c>
      <c r="M77" s="2"/>
      <c r="N77" s="7">
        <f t="shared" si="71"/>
        <v>0</v>
      </c>
      <c r="O77" s="11"/>
      <c r="P77" s="6">
        <v>465.65</v>
      </c>
      <c r="Q77" s="2"/>
      <c r="R77" s="7">
        <f t="shared" si="72"/>
        <v>9.1946848185851067E-4</v>
      </c>
      <c r="S77" s="2"/>
      <c r="T77" s="6">
        <v>235.16</v>
      </c>
      <c r="U77" s="2"/>
      <c r="V77" s="7">
        <f t="shared" si="73"/>
        <v>4.9555767191490109E-4</v>
      </c>
      <c r="W77" s="2"/>
      <c r="X77" s="6">
        <f t="shared" si="74"/>
        <v>230.48999999999998</v>
      </c>
      <c r="Y77" s="2"/>
      <c r="Z77" s="7">
        <f t="shared" si="75"/>
        <v>0.98014118047286947</v>
      </c>
    </row>
    <row r="78" spans="1:26" s="27" customFormat="1" outlineLevel="1" collapsed="1" x14ac:dyDescent="0.25">
      <c r="A78" s="25"/>
      <c r="B78" s="13" t="str">
        <f>CONCATENATE("     ","Utilities                                         ")</f>
        <v xml:space="preserve">     Utilities                                         </v>
      </c>
      <c r="C78" s="13"/>
      <c r="D78" s="1">
        <f>SUM(OSRRefD22_17x_0)</f>
        <v>766</v>
      </c>
      <c r="E78" s="1"/>
      <c r="F78" s="5">
        <f t="shared" si="68"/>
        <v>9.3897657437319645E-3</v>
      </c>
      <c r="G78" s="1"/>
      <c r="H78" s="1">
        <f>SUM(OSRRefH22_17x_0)</f>
        <v>306</v>
      </c>
      <c r="I78" s="1"/>
      <c r="J78" s="5">
        <f t="shared" si="69"/>
        <v>3.2120258246876305E-3</v>
      </c>
      <c r="K78" s="1"/>
      <c r="L78" s="1">
        <f t="shared" si="70"/>
        <v>460</v>
      </c>
      <c r="M78" s="1"/>
      <c r="N78" s="5">
        <f t="shared" si="71"/>
        <v>1.5032679738562091</v>
      </c>
      <c r="O78" s="13"/>
      <c r="P78" s="1">
        <f>SUM(OSRRefP22_17x_0)</f>
        <v>2084</v>
      </c>
      <c r="Q78" s="1"/>
      <c r="R78" s="5">
        <f t="shared" si="72"/>
        <v>4.1150484617054357E-3</v>
      </c>
      <c r="S78" s="1"/>
      <c r="T78" s="1">
        <f>SUM(OSRRefT22_17x_0)</f>
        <v>1289.9000000000001</v>
      </c>
      <c r="U78" s="1"/>
      <c r="V78" s="5">
        <f t="shared" si="73"/>
        <v>2.7182337174818465E-3</v>
      </c>
      <c r="W78" s="1"/>
      <c r="X78" s="1">
        <f t="shared" si="74"/>
        <v>794.09999999999991</v>
      </c>
      <c r="Y78" s="1"/>
      <c r="Z78" s="5">
        <f t="shared" si="75"/>
        <v>0.61562911853632052</v>
      </c>
    </row>
    <row r="79" spans="1:26" s="24" customFormat="1" hidden="1" outlineLevel="2" x14ac:dyDescent="0.25">
      <c r="A79" s="26"/>
      <c r="B79" s="11" t="str">
        <f>CONCATENATE("          ", "6274", " - ", "UTILITIES")</f>
        <v xml:space="preserve">          6274 - UTILITIES</v>
      </c>
      <c r="C79" s="11"/>
      <c r="D79" s="6">
        <v>766</v>
      </c>
      <c r="E79" s="2"/>
      <c r="F79" s="7">
        <f t="shared" si="68"/>
        <v>9.3897657437319645E-3</v>
      </c>
      <c r="G79" s="2"/>
      <c r="H79" s="6">
        <v>306</v>
      </c>
      <c r="I79" s="2"/>
      <c r="J79" s="7">
        <f t="shared" si="69"/>
        <v>3.2120258246876305E-3</v>
      </c>
      <c r="K79" s="2"/>
      <c r="L79" s="6">
        <f t="shared" si="70"/>
        <v>460</v>
      </c>
      <c r="M79" s="2"/>
      <c r="N79" s="7">
        <f t="shared" si="71"/>
        <v>1.5032679738562091</v>
      </c>
      <c r="O79" s="11"/>
      <c r="P79" s="6">
        <v>2084</v>
      </c>
      <c r="Q79" s="2"/>
      <c r="R79" s="7">
        <f t="shared" si="72"/>
        <v>4.1150484617054357E-3</v>
      </c>
      <c r="S79" s="2"/>
      <c r="T79" s="6">
        <v>1289.9000000000001</v>
      </c>
      <c r="U79" s="2"/>
      <c r="V79" s="7">
        <f t="shared" si="73"/>
        <v>2.7182337174818465E-3</v>
      </c>
      <c r="W79" s="2"/>
      <c r="X79" s="6">
        <f t="shared" si="74"/>
        <v>794.09999999999991</v>
      </c>
      <c r="Y79" s="2"/>
      <c r="Z79" s="7">
        <f t="shared" si="75"/>
        <v>0.61562911853632052</v>
      </c>
    </row>
    <row r="80" spans="1:26" s="61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8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3</v>
      </c>
      <c r="C83" s="29"/>
      <c r="D83" s="20">
        <f>+D20-D22+D81</f>
        <v>-4871.5700000000143</v>
      </c>
      <c r="E83" s="14"/>
      <c r="F83" s="21">
        <f>IF(D$12=0,0,D83/D$12)</f>
        <v>-5.971658107596927E-2</v>
      </c>
      <c r="G83" s="14"/>
      <c r="H83" s="20">
        <f>+H20-H22+H81</f>
        <v>14207.179999999993</v>
      </c>
      <c r="I83" s="14"/>
      <c r="J83" s="21">
        <f>IF(H$12=0,0,H83/H$12)</f>
        <v>0.1491301603136784</v>
      </c>
      <c r="K83" s="15"/>
      <c r="L83" s="20">
        <f>+D83-H83</f>
        <v>-19078.750000000007</v>
      </c>
      <c r="M83" s="15"/>
      <c r="N83" s="21">
        <f>IF(H83=0,0,L83/H83)</f>
        <v>-1.3428949305914346</v>
      </c>
      <c r="O83" s="28"/>
      <c r="P83" s="20">
        <f>+P20-P22+P81</f>
        <v>-25991.119999999937</v>
      </c>
      <c r="Q83" s="14"/>
      <c r="R83" s="21">
        <f>IF(P$12=0,0,P83/P$12)</f>
        <v>-5.1321841830134898E-2</v>
      </c>
      <c r="S83" s="14"/>
      <c r="T83" s="20">
        <f>+T20-T22+T81</f>
        <v>42052.350000000035</v>
      </c>
      <c r="U83" s="14"/>
      <c r="V83" s="21">
        <f>IF(T$12=0,0,T83/T$12)</f>
        <v>8.8617811977167074E-2</v>
      </c>
      <c r="W83" s="15"/>
      <c r="X83" s="20">
        <f>+P83-T83</f>
        <v>-68043.469999999972</v>
      </c>
      <c r="Y83" s="15"/>
      <c r="Z83" s="21">
        <f>IF(T83=0,0,X83/T83)</f>
        <v>-1.6180658155846206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9709.41</v>
      </c>
      <c r="E85" s="4"/>
      <c r="F85" s="12">
        <f>IF(D$12=0,0,D85/D$12)</f>
        <v>0.1190196937465386</v>
      </c>
      <c r="G85" s="4"/>
      <c r="H85" s="4">
        <v>11302.03</v>
      </c>
      <c r="I85" s="4"/>
      <c r="J85" s="12">
        <f>IF(H$12=0,0,H85/H$12)</f>
        <v>0.11863533408952399</v>
      </c>
      <c r="K85" s="4"/>
      <c r="L85" s="4">
        <f>+D85-H85</f>
        <v>-1592.6200000000008</v>
      </c>
      <c r="M85" s="4"/>
      <c r="N85" s="12">
        <f>IF(H85=0,0,L85/H85)</f>
        <v>-0.14091450827860133</v>
      </c>
      <c r="O85" s="10"/>
      <c r="P85" s="4">
        <v>54698.76</v>
      </c>
      <c r="Q85" s="4"/>
      <c r="R85" s="12">
        <f>IF(P$12=0,0,P85/P$12)</f>
        <v>0.10800770066947929</v>
      </c>
      <c r="S85" s="4"/>
      <c r="T85" s="4">
        <v>51209.630000000005</v>
      </c>
      <c r="U85" s="4"/>
      <c r="V85" s="12">
        <f>IF(T$12=0,0,T85/T$12)</f>
        <v>0.10791514297679657</v>
      </c>
      <c r="W85" s="4"/>
      <c r="X85" s="4">
        <f>+P85-T85</f>
        <v>3489.1299999999974</v>
      </c>
      <c r="Y85" s="4"/>
      <c r="Z85" s="12">
        <f>IF(T85=0,0,X85/T85)</f>
        <v>6.8134255217231543E-2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4</v>
      </c>
      <c r="C87" s="29"/>
      <c r="D87" s="32">
        <f>+D83-D85</f>
        <v>-14580.980000000014</v>
      </c>
      <c r="E87" s="14"/>
      <c r="F87" s="30">
        <f>IF(D$12=0,0,D87/D$12)</f>
        <v>-0.17873627482250787</v>
      </c>
      <c r="G87" s="14"/>
      <c r="H87" s="32">
        <f>+H83-H85</f>
        <v>2905.1499999999924</v>
      </c>
      <c r="I87" s="14"/>
      <c r="J87" s="30">
        <f>IF(H$12=0,0,H87/H$12)</f>
        <v>3.0494826224154396E-2</v>
      </c>
      <c r="K87" s="15"/>
      <c r="L87" s="32">
        <f>D87-H87</f>
        <v>-17486.130000000005</v>
      </c>
      <c r="M87" s="15"/>
      <c r="N87" s="30">
        <f>IF(H87=0,0,L87/H87)</f>
        <v>-6.0190110665542402</v>
      </c>
      <c r="O87" s="28"/>
      <c r="P87" s="32">
        <f>+P83-P85</f>
        <v>-80689.879999999946</v>
      </c>
      <c r="Q87" s="14"/>
      <c r="R87" s="30">
        <f>IF(P$12=0,0,P87/P$12)</f>
        <v>-0.1593295424996142</v>
      </c>
      <c r="S87" s="14"/>
      <c r="T87" s="32">
        <f>+T83-T85</f>
        <v>-9157.2799999999697</v>
      </c>
      <c r="U87" s="14"/>
      <c r="V87" s="30">
        <f>IF(T$12=0,0,T87/T$12)</f>
        <v>-1.9297330999629488E-2</v>
      </c>
      <c r="W87" s="15"/>
      <c r="X87" s="32">
        <f>P87-T87</f>
        <v>-71532.599999999977</v>
      </c>
      <c r="Y87" s="15"/>
      <c r="Z87" s="30">
        <f>IF(T87=0,0,X87/T87)</f>
        <v>7.8115553963622615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5</v>
      </c>
      <c r="C90" s="29"/>
      <c r="D90" s="36">
        <f>SUM(D87:D89)</f>
        <v>-14580.980000000014</v>
      </c>
      <c r="E90" s="14"/>
      <c r="F90" s="31">
        <f>IF(D$12=0,0,D90/D$12)</f>
        <v>-0.17873627482250787</v>
      </c>
      <c r="G90" s="14"/>
      <c r="H90" s="36">
        <f>SUM(H87:H89)</f>
        <v>2905.1499999999924</v>
      </c>
      <c r="I90" s="14"/>
      <c r="J90" s="31">
        <f>IF(H$12=0,0,H90/H$12)</f>
        <v>3.0494826224154396E-2</v>
      </c>
      <c r="K90" s="15"/>
      <c r="L90" s="36">
        <f>+D90-H90</f>
        <v>-17486.130000000005</v>
      </c>
      <c r="M90" s="15"/>
      <c r="N90" s="31">
        <f>IF(H90=0,0,L90/H90)</f>
        <v>-6.0190110665542402</v>
      </c>
      <c r="O90" s="28"/>
      <c r="P90" s="36">
        <f>SUM(P87:P89)</f>
        <v>-80689.879999999946</v>
      </c>
      <c r="Q90" s="14"/>
      <c r="R90" s="31">
        <f>IF(P$12=0,0,P90/P$12)</f>
        <v>-0.1593295424996142</v>
      </c>
      <c r="S90" s="14"/>
      <c r="T90" s="36">
        <f>SUM(T87:T89)</f>
        <v>-9157.2799999999697</v>
      </c>
      <c r="U90" s="14"/>
      <c r="V90" s="31">
        <f>IF(T$12=0,0,T90/T$12)</f>
        <v>-1.9297330999629488E-2</v>
      </c>
      <c r="W90" s="15"/>
      <c r="X90" s="36">
        <f>+P90-T90</f>
        <v>-71532.599999999977</v>
      </c>
      <c r="Y90" s="15"/>
      <c r="Z90" s="31">
        <f>IF(T90=0,0,X90/T90)</f>
        <v>7.8115553963622615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62">
        <v>43847.453961261577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6" t="s">
        <v>313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4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","406", " - ", "OPA! Greek")</f>
        <v>Department 406 - OPA! Greek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14206.51</v>
      </c>
      <c r="E12" s="4"/>
      <c r="F12" s="12"/>
      <c r="G12" s="4"/>
      <c r="H12" s="4">
        <f>SUM(OSRRefH13x_0)</f>
        <v>16450.129999999997</v>
      </c>
      <c r="I12" s="4"/>
      <c r="J12" s="12"/>
      <c r="K12" s="4"/>
      <c r="L12" s="4">
        <f t="shared" ref="L12:L14" si="0">+D12-H12</f>
        <v>-2243.6199999999972</v>
      </c>
      <c r="M12" s="4"/>
      <c r="N12" s="12">
        <f t="shared" ref="N12:N14" si="1">IF(H12=0,0,L12/H12)</f>
        <v>-0.13638919570848362</v>
      </c>
      <c r="O12" s="10"/>
      <c r="P12" s="4">
        <f>SUM(OSRRefP13x_0)</f>
        <v>137877.57999999999</v>
      </c>
      <c r="Q12" s="4"/>
      <c r="R12" s="12"/>
      <c r="S12" s="4"/>
      <c r="T12" s="4">
        <f>SUM(OSRRefT13x_0)</f>
        <v>126057.06</v>
      </c>
      <c r="U12" s="4"/>
      <c r="V12" s="12"/>
      <c r="W12" s="4"/>
      <c r="X12" s="4">
        <f t="shared" ref="X12:X14" si="2">+P12-T12</f>
        <v>11820.51999999999</v>
      </c>
      <c r="Y12" s="4"/>
      <c r="Z12" s="12">
        <f t="shared" ref="Z12:Z14" si="3">IF(T12=0,0,X12/T12)</f>
        <v>9.3771185842347823E-2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--3574.53</f>
        <v>3574.53</v>
      </c>
      <c r="E13" s="2"/>
      <c r="F13" s="19"/>
      <c r="G13" s="2"/>
      <c r="H13" s="2">
        <f>--3893.41</f>
        <v>3893.41</v>
      </c>
      <c r="I13" s="2"/>
      <c r="J13" s="19"/>
      <c r="K13" s="2"/>
      <c r="L13" s="2">
        <f t="shared" si="0"/>
        <v>-318.87999999999965</v>
      </c>
      <c r="M13" s="2"/>
      <c r="N13" s="19">
        <f t="shared" si="1"/>
        <v>-8.1902496783025594E-2</v>
      </c>
      <c r="O13" s="11"/>
      <c r="P13" s="2">
        <f>--34071.43</f>
        <v>34071.43</v>
      </c>
      <c r="Q13" s="2"/>
      <c r="R13" s="19"/>
      <c r="S13" s="2"/>
      <c r="T13" s="2">
        <f>--34644.52</f>
        <v>34644.519999999997</v>
      </c>
      <c r="U13" s="2"/>
      <c r="V13" s="19"/>
      <c r="W13" s="2"/>
      <c r="X13" s="2">
        <f t="shared" si="2"/>
        <v>-573.08999999999651</v>
      </c>
      <c r="Y13" s="2"/>
      <c r="Z13" s="19">
        <f t="shared" si="3"/>
        <v>-1.6542010107226095E-2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--10631.98</f>
        <v>10631.98</v>
      </c>
      <c r="E14" s="2"/>
      <c r="F14" s="19"/>
      <c r="G14" s="2"/>
      <c r="H14" s="2">
        <f>--12556.72</f>
        <v>12556.72</v>
      </c>
      <c r="I14" s="2"/>
      <c r="J14" s="19"/>
      <c r="K14" s="2"/>
      <c r="L14" s="2">
        <f t="shared" si="0"/>
        <v>-1924.7399999999998</v>
      </c>
      <c r="M14" s="2"/>
      <c r="N14" s="19">
        <f t="shared" si="1"/>
        <v>-0.15328366006409316</v>
      </c>
      <c r="O14" s="11"/>
      <c r="P14" s="2">
        <f>--103806.15</f>
        <v>103806.15</v>
      </c>
      <c r="Q14" s="2"/>
      <c r="R14" s="19"/>
      <c r="S14" s="2"/>
      <c r="T14" s="2">
        <f>--91412.54</f>
        <v>91412.54</v>
      </c>
      <c r="U14" s="2"/>
      <c r="V14" s="19"/>
      <c r="W14" s="2"/>
      <c r="X14" s="2">
        <f t="shared" si="2"/>
        <v>12393.61</v>
      </c>
      <c r="Y14" s="2"/>
      <c r="Z14" s="19">
        <f t="shared" si="3"/>
        <v>0.1355788822846406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5340.37</v>
      </c>
      <c r="E16" s="4"/>
      <c r="F16" s="12">
        <f t="shared" ref="F16:F18" si="4">IF(D$12=0,0,D16/D$12)</f>
        <v>0.37591005813531964</v>
      </c>
      <c r="G16" s="4"/>
      <c r="H16" s="4">
        <f>SUM(OSRRefH16x_0)</f>
        <v>5264.4699999999993</v>
      </c>
      <c r="I16" s="4"/>
      <c r="J16" s="12">
        <f t="shared" ref="J16:J18" si="5">IF(H$12=0,0,H16/H$12)</f>
        <v>0.32002604234738574</v>
      </c>
      <c r="K16" s="4"/>
      <c r="L16" s="4">
        <f t="shared" ref="L16:L18" si="6">+D16-H16</f>
        <v>75.900000000000546</v>
      </c>
      <c r="M16" s="4"/>
      <c r="N16" s="12">
        <f t="shared" ref="N16:N18" si="7">IF(H16=0,0,L16/H16)</f>
        <v>1.4417405740748937E-2</v>
      </c>
      <c r="O16" s="10"/>
      <c r="P16" s="4">
        <f>SUM(OSRRefP16x_0)</f>
        <v>48420.54</v>
      </c>
      <c r="Q16" s="4"/>
      <c r="R16" s="12">
        <f t="shared" ref="R16:R18" si="8">IF(P$12=0,0,P16/P$12)</f>
        <v>0.3511850149966369</v>
      </c>
      <c r="S16" s="4"/>
      <c r="T16" s="4">
        <f>SUM(OSRRefT16x_0)</f>
        <v>40338.89</v>
      </c>
      <c r="U16" s="4"/>
      <c r="V16" s="12">
        <f t="shared" ref="V16:V18" si="9">IF(T$12=0,0,T16/T$12)</f>
        <v>0.32000500408307159</v>
      </c>
      <c r="W16" s="4"/>
      <c r="X16" s="4">
        <f t="shared" ref="X16:X18" si="10">+P16-T16</f>
        <v>8081.6500000000015</v>
      </c>
      <c r="Y16" s="4"/>
      <c r="Z16" s="12">
        <f t="shared" ref="Z16:Z18" si="11">IF(T16=0,0,X16/T16)</f>
        <v>0.20034388650753657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3673.37</v>
      </c>
      <c r="E17" s="2"/>
      <c r="F17" s="19">
        <f t="shared" si="4"/>
        <v>0.2585694868056968</v>
      </c>
      <c r="G17" s="2"/>
      <c r="H17" s="2">
        <v>4004.47</v>
      </c>
      <c r="I17" s="2"/>
      <c r="J17" s="19">
        <f t="shared" si="5"/>
        <v>0.24343090297766645</v>
      </c>
      <c r="K17" s="2"/>
      <c r="L17" s="2">
        <f t="shared" si="6"/>
        <v>-331.09999999999991</v>
      </c>
      <c r="M17" s="2"/>
      <c r="N17" s="19">
        <f t="shared" si="7"/>
        <v>-8.268260219205037E-2</v>
      </c>
      <c r="O17" s="11"/>
      <c r="P17" s="2">
        <v>49253.16</v>
      </c>
      <c r="Q17" s="2"/>
      <c r="R17" s="19">
        <f t="shared" si="8"/>
        <v>0.35722385031707121</v>
      </c>
      <c r="S17" s="2"/>
      <c r="T17" s="2">
        <v>44015.89</v>
      </c>
      <c r="U17" s="2"/>
      <c r="V17" s="19">
        <f t="shared" si="9"/>
        <v>0.34917433422610367</v>
      </c>
      <c r="W17" s="2"/>
      <c r="X17" s="2">
        <f t="shared" si="10"/>
        <v>5237.2700000000041</v>
      </c>
      <c r="Y17" s="2"/>
      <c r="Z17" s="19">
        <f t="shared" si="11"/>
        <v>0.11898589350345987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1667</v>
      </c>
      <c r="E18" s="2"/>
      <c r="F18" s="19">
        <f t="shared" si="4"/>
        <v>0.11734057132962282</v>
      </c>
      <c r="G18" s="2"/>
      <c r="H18" s="2">
        <v>1260</v>
      </c>
      <c r="I18" s="2"/>
      <c r="J18" s="19">
        <f t="shared" si="5"/>
        <v>7.6595139369719276E-2</v>
      </c>
      <c r="K18" s="2"/>
      <c r="L18" s="2">
        <f t="shared" si="6"/>
        <v>407</v>
      </c>
      <c r="M18" s="2"/>
      <c r="N18" s="19">
        <f t="shared" si="7"/>
        <v>0.32301587301587303</v>
      </c>
      <c r="O18" s="11"/>
      <c r="P18" s="2">
        <v>-832.62</v>
      </c>
      <c r="Q18" s="2"/>
      <c r="R18" s="19">
        <f t="shared" si="8"/>
        <v>-6.0388353204342583E-3</v>
      </c>
      <c r="S18" s="2"/>
      <c r="T18" s="2">
        <v>-3677</v>
      </c>
      <c r="U18" s="2"/>
      <c r="V18" s="19">
        <f t="shared" si="9"/>
        <v>-2.9169330143032052E-2</v>
      </c>
      <c r="W18" s="2"/>
      <c r="X18" s="2">
        <f t="shared" si="10"/>
        <v>2844.38</v>
      </c>
      <c r="Y18" s="2"/>
      <c r="Z18" s="19">
        <f t="shared" si="11"/>
        <v>-0.77355996736469956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8866.14</v>
      </c>
      <c r="E20" s="14"/>
      <c r="F20" s="21">
        <f>IF(D$12=0,0,D20/D$12)</f>
        <v>0.62408994186468025</v>
      </c>
      <c r="G20" s="14"/>
      <c r="H20" s="20">
        <f>H12-H16</f>
        <v>11185.659999999998</v>
      </c>
      <c r="I20" s="14"/>
      <c r="J20" s="21">
        <f>IF(H$12=0,0,H20/H$12)</f>
        <v>0.67997395765261426</v>
      </c>
      <c r="K20" s="15"/>
      <c r="L20" s="20">
        <f>+D20-H20</f>
        <v>-2319.5199999999986</v>
      </c>
      <c r="M20" s="15"/>
      <c r="N20" s="21">
        <f>IF(H20=0,0,L20/H20)</f>
        <v>-0.20736550190154171</v>
      </c>
      <c r="O20" s="28"/>
      <c r="P20" s="20">
        <f>P12-P16</f>
        <v>89457.039999999979</v>
      </c>
      <c r="Q20" s="14"/>
      <c r="R20" s="21">
        <f>IF(P$12=0,0,P20/P$12)</f>
        <v>0.64881498500336299</v>
      </c>
      <c r="S20" s="14"/>
      <c r="T20" s="20">
        <f>T12-T16</f>
        <v>85718.17</v>
      </c>
      <c r="U20" s="14"/>
      <c r="V20" s="21">
        <f>IF(T$12=0,0,T20/T$12)</f>
        <v>0.67999499591692836</v>
      </c>
      <c r="W20" s="15"/>
      <c r="X20" s="20">
        <f>+P20-T20</f>
        <v>3738.8699999999808</v>
      </c>
      <c r="Y20" s="15"/>
      <c r="Z20" s="21">
        <f>IF(T20=0,0,X20/T20)</f>
        <v>4.3618173369776567E-2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17790.14</v>
      </c>
      <c r="E22" s="22"/>
      <c r="F22" s="33">
        <f t="shared" ref="F22:F31" si="12">IF(D$12=0,0,D22/D$12)</f>
        <v>1.2522526644474963</v>
      </c>
      <c r="G22" s="22"/>
      <c r="H22" s="22">
        <f>SUM(OSRRefH22x_0)</f>
        <v>16220.429999999997</v>
      </c>
      <c r="I22" s="22"/>
      <c r="J22" s="33">
        <f t="shared" ref="J22:J31" si="13">IF(H$12=0,0,H22/H$12)</f>
        <v>0.98603658451331389</v>
      </c>
      <c r="K22" s="4"/>
      <c r="L22" s="22">
        <f t="shared" ref="L22:L31" si="14">+D22-H22</f>
        <v>1569.7100000000028</v>
      </c>
      <c r="M22" s="4"/>
      <c r="N22" s="33">
        <f t="shared" ref="N22:N31" si="15">IF(H22=0,0,L22/H22)</f>
        <v>9.6773636703836027E-2</v>
      </c>
      <c r="O22" s="10"/>
      <c r="P22" s="22">
        <f>SUM(OSRRefP22x_0)</f>
        <v>127228.37999999999</v>
      </c>
      <c r="Q22" s="22"/>
      <c r="R22" s="33">
        <f t="shared" ref="R22:R31" si="16">IF(P$12=0,0,P22/P$12)</f>
        <v>0.92276336732919162</v>
      </c>
      <c r="S22" s="22"/>
      <c r="T22" s="22">
        <f>SUM(OSRRefT22x_0)</f>
        <v>103709.97000000002</v>
      </c>
      <c r="U22" s="22"/>
      <c r="V22" s="33">
        <f t="shared" ref="V22:V31" si="17">IF(T$12=0,0,T22/T$12)</f>
        <v>0.82272242427357911</v>
      </c>
      <c r="W22" s="4"/>
      <c r="X22" s="22">
        <f t="shared" ref="X22:X31" si="18">+P22-T22</f>
        <v>23518.409999999974</v>
      </c>
      <c r="Y22" s="4"/>
      <c r="Z22" s="33">
        <f t="shared" ref="Z22:Z31" si="19">IF(T22=0,0,X22/T22)</f>
        <v>0.22677096522156906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2267.5500000000002</v>
      </c>
      <c r="E23" s="1"/>
      <c r="F23" s="5">
        <f t="shared" si="12"/>
        <v>0.15961344482212733</v>
      </c>
      <c r="G23" s="1"/>
      <c r="H23" s="1">
        <f>SUM(OSRRefH22_0x_0)</f>
        <v>1914.1100000000001</v>
      </c>
      <c r="I23" s="1"/>
      <c r="J23" s="5">
        <f t="shared" si="13"/>
        <v>0.11635835096743918</v>
      </c>
      <c r="K23" s="1"/>
      <c r="L23" s="1">
        <f t="shared" si="14"/>
        <v>353.44000000000005</v>
      </c>
      <c r="M23" s="1"/>
      <c r="N23" s="5">
        <f t="shared" si="15"/>
        <v>0.18464978501757998</v>
      </c>
      <c r="O23" s="13"/>
      <c r="P23" s="1">
        <f>SUM(OSRRefP22_0x_0)</f>
        <v>13167.43</v>
      </c>
      <c r="Q23" s="1"/>
      <c r="R23" s="5">
        <f t="shared" si="16"/>
        <v>9.550087838791485E-2</v>
      </c>
      <c r="S23" s="1"/>
      <c r="T23" s="1">
        <f>SUM(OSRRefT22_0x_0)</f>
        <v>11882.32</v>
      </c>
      <c r="U23" s="1"/>
      <c r="V23" s="5">
        <f t="shared" si="17"/>
        <v>9.4261440017718953E-2</v>
      </c>
      <c r="W23" s="1"/>
      <c r="X23" s="1">
        <f t="shared" si="18"/>
        <v>1285.1100000000006</v>
      </c>
      <c r="Y23" s="1"/>
      <c r="Z23" s="5">
        <f t="shared" si="19"/>
        <v>0.10815312161261442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632.82000000000005</v>
      </c>
      <c r="E24" s="2"/>
      <c r="F24" s="7">
        <f t="shared" si="12"/>
        <v>4.4544367335819991E-2</v>
      </c>
      <c r="G24" s="2"/>
      <c r="H24" s="6">
        <v>498.26</v>
      </c>
      <c r="I24" s="2"/>
      <c r="J24" s="7">
        <f t="shared" si="13"/>
        <v>3.0289122335203433E-2</v>
      </c>
      <c r="K24" s="2"/>
      <c r="L24" s="6">
        <f t="shared" si="14"/>
        <v>134.56000000000006</v>
      </c>
      <c r="M24" s="2"/>
      <c r="N24" s="7">
        <f t="shared" si="15"/>
        <v>0.27005980813230052</v>
      </c>
      <c r="O24" s="11"/>
      <c r="P24" s="6">
        <v>4544.87</v>
      </c>
      <c r="Q24" s="2"/>
      <c r="R24" s="7">
        <f t="shared" si="16"/>
        <v>3.2963082177682554E-2</v>
      </c>
      <c r="S24" s="2"/>
      <c r="T24" s="6">
        <v>3400.12</v>
      </c>
      <c r="U24" s="2"/>
      <c r="V24" s="7">
        <f t="shared" si="17"/>
        <v>2.6972864510722366E-2</v>
      </c>
      <c r="W24" s="2"/>
      <c r="X24" s="6">
        <f t="shared" si="18"/>
        <v>1144.75</v>
      </c>
      <c r="Y24" s="2"/>
      <c r="Z24" s="7">
        <f t="shared" si="19"/>
        <v>0.33667929367198807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683.91</v>
      </c>
      <c r="E25" s="2"/>
      <c r="F25" s="7">
        <f t="shared" si="12"/>
        <v>4.8140605961633082E-2</v>
      </c>
      <c r="G25" s="2"/>
      <c r="H25" s="6">
        <v>525.19000000000005</v>
      </c>
      <c r="I25" s="2"/>
      <c r="J25" s="7">
        <f t="shared" si="13"/>
        <v>3.1926191464748309E-2</v>
      </c>
      <c r="K25" s="2"/>
      <c r="L25" s="6">
        <f t="shared" si="14"/>
        <v>158.71999999999991</v>
      </c>
      <c r="M25" s="2"/>
      <c r="N25" s="7">
        <f t="shared" si="15"/>
        <v>0.30221443668005843</v>
      </c>
      <c r="O25" s="11"/>
      <c r="P25" s="6">
        <v>2539.6</v>
      </c>
      <c r="Q25" s="2"/>
      <c r="R25" s="7">
        <f t="shared" si="16"/>
        <v>1.8419238283700658E-2</v>
      </c>
      <c r="S25" s="2"/>
      <c r="T25" s="6">
        <v>2500.36</v>
      </c>
      <c r="U25" s="2"/>
      <c r="V25" s="7">
        <f t="shared" si="17"/>
        <v>1.9835144497261797E-2</v>
      </c>
      <c r="W25" s="2"/>
      <c r="X25" s="6">
        <f t="shared" si="18"/>
        <v>39.239999999999782</v>
      </c>
      <c r="Y25" s="2"/>
      <c r="Z25" s="7">
        <f t="shared" si="19"/>
        <v>1.5693740101425307E-2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34.97</v>
      </c>
      <c r="E26" s="2"/>
      <c r="F26" s="7">
        <f t="shared" si="12"/>
        <v>2.4615475581265208E-3</v>
      </c>
      <c r="G26" s="2"/>
      <c r="H26" s="6">
        <v>32.14</v>
      </c>
      <c r="I26" s="2"/>
      <c r="J26" s="7">
        <f t="shared" si="13"/>
        <v>1.9537839518593472E-3</v>
      </c>
      <c r="K26" s="2"/>
      <c r="L26" s="6">
        <f t="shared" si="14"/>
        <v>2.8299999999999983</v>
      </c>
      <c r="M26" s="2"/>
      <c r="N26" s="7">
        <f t="shared" si="15"/>
        <v>8.805227131300554E-2</v>
      </c>
      <c r="O26" s="11"/>
      <c r="P26" s="6">
        <v>209.82</v>
      </c>
      <c r="Q26" s="2"/>
      <c r="R26" s="7">
        <f t="shared" si="16"/>
        <v>1.5217847600748433E-3</v>
      </c>
      <c r="S26" s="2"/>
      <c r="T26" s="6">
        <v>189.42</v>
      </c>
      <c r="U26" s="2"/>
      <c r="V26" s="7">
        <f t="shared" si="17"/>
        <v>1.5026528462586705E-3</v>
      </c>
      <c r="W26" s="2"/>
      <c r="X26" s="6">
        <f t="shared" si="18"/>
        <v>20.400000000000006</v>
      </c>
      <c r="Y26" s="2"/>
      <c r="Z26" s="7">
        <f t="shared" si="19"/>
        <v>0.10769718086791261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45.83</v>
      </c>
      <c r="E27" s="2"/>
      <c r="F27" s="7">
        <f t="shared" si="12"/>
        <v>3.2259858332553174E-3</v>
      </c>
      <c r="G27" s="2"/>
      <c r="H27" s="6">
        <v>39.01</v>
      </c>
      <c r="I27" s="2"/>
      <c r="J27" s="7">
        <f t="shared" si="13"/>
        <v>2.3714098308037688E-3</v>
      </c>
      <c r="K27" s="2"/>
      <c r="L27" s="6">
        <f t="shared" si="14"/>
        <v>6.82</v>
      </c>
      <c r="M27" s="2"/>
      <c r="N27" s="7">
        <f t="shared" si="15"/>
        <v>0.17482696744424508</v>
      </c>
      <c r="O27" s="11"/>
      <c r="P27" s="6">
        <v>220.68</v>
      </c>
      <c r="Q27" s="2"/>
      <c r="R27" s="7">
        <f t="shared" si="16"/>
        <v>1.6005502852603013E-3</v>
      </c>
      <c r="S27" s="2"/>
      <c r="T27" s="6">
        <v>185.73</v>
      </c>
      <c r="U27" s="2"/>
      <c r="V27" s="7">
        <f t="shared" si="17"/>
        <v>1.4733803882146703E-3</v>
      </c>
      <c r="W27" s="2"/>
      <c r="X27" s="6">
        <f t="shared" si="18"/>
        <v>34.950000000000017</v>
      </c>
      <c r="Y27" s="2"/>
      <c r="Z27" s="7">
        <f t="shared" si="19"/>
        <v>0.18817638507510914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315.45</v>
      </c>
      <c r="E28" s="2"/>
      <c r="F28" s="7">
        <f t="shared" si="12"/>
        <v>2.2204609013754959E-2</v>
      </c>
      <c r="G28" s="2"/>
      <c r="H28" s="6">
        <v>300</v>
      </c>
      <c r="I28" s="2"/>
      <c r="J28" s="7">
        <f t="shared" si="13"/>
        <v>1.8236937945171255E-2</v>
      </c>
      <c r="K28" s="2"/>
      <c r="L28" s="6">
        <f t="shared" si="14"/>
        <v>15.449999999999989</v>
      </c>
      <c r="M28" s="2"/>
      <c r="N28" s="7">
        <f t="shared" si="15"/>
        <v>5.1499999999999962E-2</v>
      </c>
      <c r="O28" s="11"/>
      <c r="P28" s="6">
        <v>1892.7</v>
      </c>
      <c r="Q28" s="2"/>
      <c r="R28" s="7">
        <f t="shared" si="16"/>
        <v>1.37273949832888E-2</v>
      </c>
      <c r="S28" s="2"/>
      <c r="T28" s="6">
        <v>1830.25</v>
      </c>
      <c r="U28" s="2"/>
      <c r="V28" s="7">
        <f t="shared" si="17"/>
        <v>1.4519218518978628E-2</v>
      </c>
      <c r="W28" s="2"/>
      <c r="X28" s="6">
        <f t="shared" si="18"/>
        <v>62.450000000000045</v>
      </c>
      <c r="Y28" s="2"/>
      <c r="Z28" s="7">
        <f t="shared" si="19"/>
        <v>3.412102171834451E-2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173.88</v>
      </c>
      <c r="E29" s="2"/>
      <c r="F29" s="7">
        <f t="shared" si="12"/>
        <v>1.2239459233830123E-2</v>
      </c>
      <c r="G29" s="2"/>
      <c r="H29" s="6">
        <v>168.8</v>
      </c>
      <c r="I29" s="2"/>
      <c r="J29" s="7">
        <f t="shared" si="13"/>
        <v>1.0261317083816361E-2</v>
      </c>
      <c r="K29" s="2"/>
      <c r="L29" s="6">
        <f t="shared" si="14"/>
        <v>5.0799999999999841</v>
      </c>
      <c r="M29" s="2"/>
      <c r="N29" s="7">
        <f t="shared" si="15"/>
        <v>3.0094786729857725E-2</v>
      </c>
      <c r="O29" s="11"/>
      <c r="P29" s="6">
        <v>1200.17</v>
      </c>
      <c r="Q29" s="2"/>
      <c r="R29" s="7">
        <f t="shared" si="16"/>
        <v>8.7046059265037876E-3</v>
      </c>
      <c r="S29" s="2"/>
      <c r="T29" s="6">
        <v>1148.67</v>
      </c>
      <c r="U29" s="2"/>
      <c r="V29" s="7">
        <f t="shared" si="17"/>
        <v>9.1123020003798291E-3</v>
      </c>
      <c r="W29" s="2"/>
      <c r="X29" s="6">
        <f t="shared" si="18"/>
        <v>51.5</v>
      </c>
      <c r="Y29" s="2"/>
      <c r="Z29" s="7">
        <f t="shared" si="19"/>
        <v>4.4834460724141829E-2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208.3</v>
      </c>
      <c r="E30" s="2"/>
      <c r="F30" s="7">
        <f t="shared" si="12"/>
        <v>1.4662292146346992E-2</v>
      </c>
      <c r="G30" s="2"/>
      <c r="H30" s="6">
        <v>202.24</v>
      </c>
      <c r="I30" s="2"/>
      <c r="J30" s="7">
        <f t="shared" si="13"/>
        <v>1.229412776677145E-2</v>
      </c>
      <c r="K30" s="2"/>
      <c r="L30" s="6">
        <f t="shared" si="14"/>
        <v>6.0600000000000023</v>
      </c>
      <c r="M30" s="2"/>
      <c r="N30" s="7">
        <f t="shared" si="15"/>
        <v>2.9964398734177226E-2</v>
      </c>
      <c r="O30" s="11"/>
      <c r="P30" s="6">
        <v>1475.78</v>
      </c>
      <c r="Q30" s="2"/>
      <c r="R30" s="7">
        <f t="shared" si="16"/>
        <v>1.070355310848943E-2</v>
      </c>
      <c r="S30" s="2"/>
      <c r="T30" s="6">
        <v>1732.69</v>
      </c>
      <c r="U30" s="2"/>
      <c r="V30" s="7">
        <f t="shared" si="17"/>
        <v>1.374528328679092E-2</v>
      </c>
      <c r="W30" s="2"/>
      <c r="X30" s="6">
        <f t="shared" si="18"/>
        <v>-256.91000000000008</v>
      </c>
      <c r="Y30" s="2"/>
      <c r="Z30" s="7">
        <f t="shared" si="19"/>
        <v>-0.14827233954140676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172.39</v>
      </c>
      <c r="E31" s="2"/>
      <c r="F31" s="7">
        <f t="shared" si="12"/>
        <v>1.2134577739360334E-2</v>
      </c>
      <c r="G31" s="2"/>
      <c r="H31" s="6">
        <v>148.47</v>
      </c>
      <c r="I31" s="2"/>
      <c r="J31" s="7">
        <f t="shared" si="13"/>
        <v>9.0254605890652557E-3</v>
      </c>
      <c r="K31" s="2"/>
      <c r="L31" s="6">
        <f t="shared" si="14"/>
        <v>23.919999999999987</v>
      </c>
      <c r="M31" s="2"/>
      <c r="N31" s="7">
        <f t="shared" si="15"/>
        <v>0.16110998854987532</v>
      </c>
      <c r="O31" s="11"/>
      <c r="P31" s="6">
        <v>1083.81</v>
      </c>
      <c r="Q31" s="2"/>
      <c r="R31" s="7">
        <f t="shared" si="16"/>
        <v>7.8606688629144789E-3</v>
      </c>
      <c r="S31" s="2"/>
      <c r="T31" s="6">
        <v>895.08</v>
      </c>
      <c r="U31" s="2"/>
      <c r="V31" s="7">
        <f t="shared" si="17"/>
        <v>7.1005939691120836E-3</v>
      </c>
      <c r="W31" s="2"/>
      <c r="X31" s="6">
        <f t="shared" si="18"/>
        <v>188.7299999999999</v>
      </c>
      <c r="Y31" s="2"/>
      <c r="Z31" s="7">
        <f t="shared" si="19"/>
        <v>0.21085266121463991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10216.66</v>
      </c>
      <c r="E32" s="1"/>
      <c r="F32" s="5">
        <f t="shared" ref="F32:F37" si="20">IF(D$12=0,0,D32/D$12)</f>
        <v>0.71915340220786106</v>
      </c>
      <c r="G32" s="1"/>
      <c r="H32" s="1">
        <f>SUM(OSRRefH22_1x_0)</f>
        <v>9754.11</v>
      </c>
      <c r="I32" s="1"/>
      <c r="J32" s="5">
        <f t="shared" ref="J32:J37" si="21">IF(H$12=0,0,H32/H$12)</f>
        <v>0.59295032926791469</v>
      </c>
      <c r="K32" s="1"/>
      <c r="L32" s="1">
        <f t="shared" ref="L32:L37" si="22">+D32-H32</f>
        <v>462.54999999999927</v>
      </c>
      <c r="M32" s="1"/>
      <c r="N32" s="5">
        <f t="shared" ref="N32:N37" si="23">IF(H32=0,0,L32/H32)</f>
        <v>4.7421035850528571E-2</v>
      </c>
      <c r="O32" s="13"/>
      <c r="P32" s="1">
        <f>SUM(OSRRefP22_1x_0)</f>
        <v>76252.760000000009</v>
      </c>
      <c r="Q32" s="1"/>
      <c r="R32" s="5">
        <f t="shared" ref="R32:R37" si="24">IF(P$12=0,0,P32/P$12)</f>
        <v>0.55304684053781639</v>
      </c>
      <c r="S32" s="1"/>
      <c r="T32" s="1">
        <f>SUM(OSRRefT22_1x_0)</f>
        <v>62322.84</v>
      </c>
      <c r="U32" s="1"/>
      <c r="V32" s="5">
        <f t="shared" ref="V32:V37" si="25">IF(T$12=0,0,T32/T$12)</f>
        <v>0.49440182088968282</v>
      </c>
      <c r="W32" s="1"/>
      <c r="X32" s="1">
        <f t="shared" ref="X32:X37" si="26">+P32-T32</f>
        <v>13929.920000000013</v>
      </c>
      <c r="Y32" s="1"/>
      <c r="Z32" s="5">
        <f t="shared" ref="Z32:Z37" si="27">IF(T32=0,0,X32/T32)</f>
        <v>0.22351227896546458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4193.78</v>
      </c>
      <c r="E33" s="2"/>
      <c r="F33" s="7">
        <f t="shared" si="20"/>
        <v>0.29520128448155103</v>
      </c>
      <c r="G33" s="2"/>
      <c r="H33" s="6">
        <v>4513.8599999999997</v>
      </c>
      <c r="I33" s="2"/>
      <c r="J33" s="7">
        <f t="shared" si="21"/>
        <v>0.27439661571063573</v>
      </c>
      <c r="K33" s="2"/>
      <c r="L33" s="6">
        <f t="shared" si="22"/>
        <v>-320.07999999999993</v>
      </c>
      <c r="M33" s="2"/>
      <c r="N33" s="7">
        <f t="shared" si="23"/>
        <v>-7.0910484596332174E-2</v>
      </c>
      <c r="O33" s="11"/>
      <c r="P33" s="6">
        <v>26977.31</v>
      </c>
      <c r="Q33" s="2"/>
      <c r="R33" s="7">
        <f t="shared" si="24"/>
        <v>0.19566132506822359</v>
      </c>
      <c r="S33" s="2"/>
      <c r="T33" s="6">
        <v>26670.84</v>
      </c>
      <c r="U33" s="2"/>
      <c r="V33" s="7">
        <f t="shared" si="25"/>
        <v>0.21157751894261217</v>
      </c>
      <c r="W33" s="2"/>
      <c r="X33" s="6">
        <f t="shared" si="26"/>
        <v>306.47000000000116</v>
      </c>
      <c r="Y33" s="2"/>
      <c r="Z33" s="7">
        <f t="shared" si="27"/>
        <v>1.1490826685623743E-2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3616.88</v>
      </c>
      <c r="E34" s="2"/>
      <c r="F34" s="7">
        <f t="shared" si="20"/>
        <v>0.25459314075026168</v>
      </c>
      <c r="G34" s="2"/>
      <c r="H34" s="6">
        <v>1999.25</v>
      </c>
      <c r="I34" s="2"/>
      <c r="J34" s="7">
        <f t="shared" si="21"/>
        <v>0.12153399395627879</v>
      </c>
      <c r="K34" s="2"/>
      <c r="L34" s="6">
        <f t="shared" si="22"/>
        <v>1617.63</v>
      </c>
      <c r="M34" s="2"/>
      <c r="N34" s="7">
        <f t="shared" si="23"/>
        <v>0.8091184194072778</v>
      </c>
      <c r="O34" s="11"/>
      <c r="P34" s="6">
        <v>25509.95</v>
      </c>
      <c r="Q34" s="2"/>
      <c r="R34" s="7">
        <f t="shared" si="24"/>
        <v>0.18501884062659066</v>
      </c>
      <c r="S34" s="2"/>
      <c r="T34" s="6">
        <v>11868</v>
      </c>
      <c r="U34" s="2"/>
      <c r="V34" s="7">
        <f t="shared" si="25"/>
        <v>9.4147840668344959E-2</v>
      </c>
      <c r="W34" s="2"/>
      <c r="X34" s="6">
        <f t="shared" si="26"/>
        <v>13641.95</v>
      </c>
      <c r="Y34" s="2"/>
      <c r="Z34" s="7">
        <f t="shared" si="27"/>
        <v>1.1494733737782272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110.5</v>
      </c>
      <c r="Q35" s="2"/>
      <c r="R35" s="7">
        <f t="shared" si="24"/>
        <v>8.0143559235663995E-4</v>
      </c>
      <c r="S35" s="2"/>
      <c r="T35" s="6"/>
      <c r="U35" s="2"/>
      <c r="V35" s="7">
        <f t="shared" si="25"/>
        <v>0</v>
      </c>
      <c r="W35" s="2"/>
      <c r="X35" s="6">
        <f t="shared" si="26"/>
        <v>110.5</v>
      </c>
      <c r="Y35" s="2"/>
      <c r="Z35" s="7">
        <f t="shared" si="27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2304</v>
      </c>
      <c r="E36" s="2"/>
      <c r="F36" s="7">
        <f t="shared" si="20"/>
        <v>0.16217916997207618</v>
      </c>
      <c r="G36" s="2"/>
      <c r="H36" s="6">
        <v>2563</v>
      </c>
      <c r="I36" s="2"/>
      <c r="J36" s="7">
        <f t="shared" si="21"/>
        <v>0.15580423984491309</v>
      </c>
      <c r="K36" s="2"/>
      <c r="L36" s="6">
        <f t="shared" si="22"/>
        <v>-259</v>
      </c>
      <c r="M36" s="2"/>
      <c r="N36" s="7">
        <f t="shared" si="23"/>
        <v>-0.10105345298478345</v>
      </c>
      <c r="O36" s="11"/>
      <c r="P36" s="6">
        <v>22023</v>
      </c>
      <c r="Q36" s="2"/>
      <c r="R36" s="7">
        <f t="shared" si="24"/>
        <v>0.15972865204045503</v>
      </c>
      <c r="S36" s="2"/>
      <c r="T36" s="6">
        <v>18564.25</v>
      </c>
      <c r="U36" s="2"/>
      <c r="V36" s="7">
        <f t="shared" si="25"/>
        <v>0.14726862581120009</v>
      </c>
      <c r="W36" s="2"/>
      <c r="X36" s="6">
        <f t="shared" si="26"/>
        <v>3458.75</v>
      </c>
      <c r="Y36" s="2"/>
      <c r="Z36" s="7">
        <f t="shared" si="27"/>
        <v>0.1863124015244354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102</v>
      </c>
      <c r="E37" s="2"/>
      <c r="F37" s="7">
        <f t="shared" si="20"/>
        <v>7.1798070039721228E-3</v>
      </c>
      <c r="G37" s="2"/>
      <c r="H37" s="6">
        <v>678</v>
      </c>
      <c r="I37" s="2"/>
      <c r="J37" s="7">
        <f t="shared" si="21"/>
        <v>4.121547975608704E-2</v>
      </c>
      <c r="K37" s="2"/>
      <c r="L37" s="6">
        <f t="shared" si="22"/>
        <v>-576</v>
      </c>
      <c r="M37" s="2"/>
      <c r="N37" s="7">
        <f t="shared" si="23"/>
        <v>-0.84955752212389379</v>
      </c>
      <c r="O37" s="11"/>
      <c r="P37" s="6">
        <v>1632</v>
      </c>
      <c r="Q37" s="2"/>
      <c r="R37" s="7">
        <f t="shared" si="24"/>
        <v>1.1836587210190375E-2</v>
      </c>
      <c r="S37" s="2"/>
      <c r="T37" s="6">
        <v>5219.75</v>
      </c>
      <c r="U37" s="2"/>
      <c r="V37" s="7">
        <f t="shared" si="25"/>
        <v>4.1407835467525578E-2</v>
      </c>
      <c r="W37" s="2"/>
      <c r="X37" s="6">
        <f t="shared" si="26"/>
        <v>-3587.75</v>
      </c>
      <c r="Y37" s="2"/>
      <c r="Z37" s="7">
        <f t="shared" si="27"/>
        <v>-0.68734134776569755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5" si="28">IF(D$12=0,0,D38/D$12)</f>
        <v>0</v>
      </c>
      <c r="G38" s="1"/>
      <c r="H38" s="1">
        <f>SUM(OSRRefH22_2x_0)</f>
        <v>75.88</v>
      </c>
      <c r="I38" s="1"/>
      <c r="J38" s="5">
        <f t="shared" ref="J38:J55" si="29">IF(H$12=0,0,H38/H$12)</f>
        <v>4.6127295042653164E-3</v>
      </c>
      <c r="K38" s="1"/>
      <c r="L38" s="1">
        <f t="shared" ref="L38:L55" si="30">+D38-H38</f>
        <v>-75.88</v>
      </c>
      <c r="M38" s="1"/>
      <c r="N38" s="5">
        <f t="shared" ref="N38:N55" si="31">IF(H38=0,0,L38/H38)</f>
        <v>-1</v>
      </c>
      <c r="O38" s="13"/>
      <c r="P38" s="1">
        <f>SUM(OSRRefP22_2x_0)</f>
        <v>2424.71</v>
      </c>
      <c r="Q38" s="1"/>
      <c r="R38" s="5">
        <f t="shared" ref="R38:R55" si="32">IF(P$12=0,0,P38/P$12)</f>
        <v>1.7585962851973471E-2</v>
      </c>
      <c r="S38" s="1"/>
      <c r="T38" s="1">
        <f>SUM(OSRRefT22_2x_0)</f>
        <v>964.43</v>
      </c>
      <c r="U38" s="1"/>
      <c r="V38" s="5">
        <f t="shared" ref="V38:V55" si="33">IF(T$12=0,0,T38/T$12)</f>
        <v>7.6507416561991844E-3</v>
      </c>
      <c r="W38" s="1"/>
      <c r="X38" s="1">
        <f t="shared" ref="X38:X55" si="34">+P38-T38</f>
        <v>1460.2800000000002</v>
      </c>
      <c r="Y38" s="1"/>
      <c r="Z38" s="5">
        <f t="shared" ref="Z38:Z55" si="35">IF(T38=0,0,X38/T38)</f>
        <v>1.5141378845535707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8"/>
        <v>0</v>
      </c>
      <c r="G39" s="2"/>
      <c r="H39" s="6">
        <v>75.88</v>
      </c>
      <c r="I39" s="2"/>
      <c r="J39" s="7">
        <f t="shared" si="29"/>
        <v>4.6127295042653164E-3</v>
      </c>
      <c r="K39" s="2"/>
      <c r="L39" s="6">
        <f t="shared" si="30"/>
        <v>-75.88</v>
      </c>
      <c r="M39" s="2"/>
      <c r="N39" s="7">
        <f t="shared" si="31"/>
        <v>-1</v>
      </c>
      <c r="O39" s="11"/>
      <c r="P39" s="6">
        <v>2424.71</v>
      </c>
      <c r="Q39" s="2"/>
      <c r="R39" s="7">
        <f t="shared" si="32"/>
        <v>1.7585962851973471E-2</v>
      </c>
      <c r="S39" s="2"/>
      <c r="T39" s="6">
        <v>964.43</v>
      </c>
      <c r="U39" s="2"/>
      <c r="V39" s="7">
        <f t="shared" si="33"/>
        <v>7.6507416561991844E-3</v>
      </c>
      <c r="W39" s="2"/>
      <c r="X39" s="6">
        <f t="shared" si="34"/>
        <v>1460.2800000000002</v>
      </c>
      <c r="Y39" s="2"/>
      <c r="Z39" s="7">
        <f t="shared" si="35"/>
        <v>1.5141378845535707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-0.71</v>
      </c>
      <c r="E40" s="1"/>
      <c r="F40" s="5">
        <f t="shared" si="28"/>
        <v>-4.9977087968825556E-5</v>
      </c>
      <c r="G40" s="1"/>
      <c r="H40" s="1">
        <f>SUM(OSRRefH22_3x_0)</f>
        <v>11.03</v>
      </c>
      <c r="I40" s="1"/>
      <c r="J40" s="5">
        <f t="shared" si="29"/>
        <v>6.7051141845079652E-4</v>
      </c>
      <c r="K40" s="1"/>
      <c r="L40" s="1">
        <f t="shared" si="30"/>
        <v>-11.739999999999998</v>
      </c>
      <c r="M40" s="1"/>
      <c r="N40" s="5">
        <f t="shared" si="31"/>
        <v>-1.0643699002719855</v>
      </c>
      <c r="O40" s="13"/>
      <c r="P40" s="1">
        <f>SUM(OSRRefP22_3x_0)</f>
        <v>-9.43</v>
      </c>
      <c r="Q40" s="1"/>
      <c r="R40" s="5">
        <f t="shared" si="32"/>
        <v>-6.8394005754960306E-5</v>
      </c>
      <c r="S40" s="1"/>
      <c r="T40" s="1">
        <f>SUM(OSRRefT22_3x_0)</f>
        <v>-34.369999999999997</v>
      </c>
      <c r="U40" s="1"/>
      <c r="V40" s="5">
        <f t="shared" si="33"/>
        <v>-2.7265430432853183E-4</v>
      </c>
      <c r="W40" s="1"/>
      <c r="X40" s="1">
        <f t="shared" si="34"/>
        <v>24.939999999999998</v>
      </c>
      <c r="Y40" s="1"/>
      <c r="Z40" s="5">
        <f t="shared" si="35"/>
        <v>-0.72563281931917367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-0.71</v>
      </c>
      <c r="E41" s="2"/>
      <c r="F41" s="7">
        <f t="shared" si="28"/>
        <v>-4.9977087968825556E-5</v>
      </c>
      <c r="G41" s="2"/>
      <c r="H41" s="6">
        <v>11.03</v>
      </c>
      <c r="I41" s="2"/>
      <c r="J41" s="7">
        <f t="shared" si="29"/>
        <v>6.7051141845079652E-4</v>
      </c>
      <c r="K41" s="2"/>
      <c r="L41" s="6">
        <f t="shared" si="30"/>
        <v>-11.739999999999998</v>
      </c>
      <c r="M41" s="2"/>
      <c r="N41" s="7">
        <f t="shared" si="31"/>
        <v>-1.0643699002719855</v>
      </c>
      <c r="O41" s="11"/>
      <c r="P41" s="6">
        <v>-9.43</v>
      </c>
      <c r="Q41" s="2"/>
      <c r="R41" s="7">
        <f t="shared" si="32"/>
        <v>-6.8394005754960306E-5</v>
      </c>
      <c r="S41" s="2"/>
      <c r="T41" s="6">
        <v>-34.369999999999997</v>
      </c>
      <c r="U41" s="2"/>
      <c r="V41" s="7">
        <f t="shared" si="33"/>
        <v>-2.7265430432853183E-4</v>
      </c>
      <c r="W41" s="2"/>
      <c r="X41" s="6">
        <f t="shared" si="34"/>
        <v>24.939999999999998</v>
      </c>
      <c r="Y41" s="2"/>
      <c r="Z41" s="7">
        <f t="shared" si="35"/>
        <v>-0.72563281931917367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943.36</v>
      </c>
      <c r="E42" s="1"/>
      <c r="F42" s="5">
        <f t="shared" si="28"/>
        <v>6.6403360149677862E-2</v>
      </c>
      <c r="G42" s="1"/>
      <c r="H42" s="1">
        <f>SUM(OSRRefH22_4x_0)</f>
        <v>1183.54</v>
      </c>
      <c r="I42" s="1"/>
      <c r="J42" s="5">
        <f t="shared" si="29"/>
        <v>7.1947151785426627E-2</v>
      </c>
      <c r="K42" s="1"/>
      <c r="L42" s="1">
        <f t="shared" si="30"/>
        <v>-240.17999999999995</v>
      </c>
      <c r="M42" s="1"/>
      <c r="N42" s="5">
        <f t="shared" si="31"/>
        <v>-0.20293357216486133</v>
      </c>
      <c r="O42" s="13"/>
      <c r="P42" s="1">
        <f>SUM(OSRRefP22_4x_0)</f>
        <v>5322.62</v>
      </c>
      <c r="Q42" s="1"/>
      <c r="R42" s="5">
        <f t="shared" si="32"/>
        <v>3.8603955770038903E-2</v>
      </c>
      <c r="S42" s="1"/>
      <c r="T42" s="1">
        <f>SUM(OSRRefT22_4x_0)</f>
        <v>5034.96</v>
      </c>
      <c r="U42" s="1"/>
      <c r="V42" s="5">
        <f t="shared" si="33"/>
        <v>3.9941912019842443E-2</v>
      </c>
      <c r="W42" s="1"/>
      <c r="X42" s="1">
        <f t="shared" si="34"/>
        <v>287.65999999999985</v>
      </c>
      <c r="Y42" s="1"/>
      <c r="Z42" s="5">
        <f t="shared" si="35"/>
        <v>5.7132529354751549E-2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943.36</v>
      </c>
      <c r="E43" s="2"/>
      <c r="F43" s="7">
        <f t="shared" si="28"/>
        <v>6.6403360149677862E-2</v>
      </c>
      <c r="G43" s="2"/>
      <c r="H43" s="6">
        <v>1183.54</v>
      </c>
      <c r="I43" s="2"/>
      <c r="J43" s="7">
        <f t="shared" si="29"/>
        <v>7.1947151785426627E-2</v>
      </c>
      <c r="K43" s="2"/>
      <c r="L43" s="6">
        <f t="shared" si="30"/>
        <v>-240.17999999999995</v>
      </c>
      <c r="M43" s="2"/>
      <c r="N43" s="7">
        <f t="shared" si="31"/>
        <v>-0.20293357216486133</v>
      </c>
      <c r="O43" s="11"/>
      <c r="P43" s="6">
        <v>5322.62</v>
      </c>
      <c r="Q43" s="2"/>
      <c r="R43" s="7">
        <f t="shared" si="32"/>
        <v>3.8603955770038903E-2</v>
      </c>
      <c r="S43" s="2"/>
      <c r="T43" s="6">
        <v>5034.96</v>
      </c>
      <c r="U43" s="2"/>
      <c r="V43" s="7">
        <f t="shared" si="33"/>
        <v>3.9941912019842443E-2</v>
      </c>
      <c r="W43" s="2"/>
      <c r="X43" s="6">
        <f t="shared" si="34"/>
        <v>287.65999999999985</v>
      </c>
      <c r="Y43" s="2"/>
      <c r="Z43" s="7">
        <f t="shared" si="35"/>
        <v>5.7132529354751549E-2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2775.32</v>
      </c>
      <c r="E44" s="1"/>
      <c r="F44" s="5">
        <f t="shared" si="28"/>
        <v>0.19535550955160699</v>
      </c>
      <c r="G44" s="1"/>
      <c r="H44" s="1">
        <f>SUM(OSRRefH22_5x_0)</f>
        <v>2776.01</v>
      </c>
      <c r="I44" s="1"/>
      <c r="J44" s="5">
        <f t="shared" si="29"/>
        <v>0.1687530736839162</v>
      </c>
      <c r="K44" s="1"/>
      <c r="L44" s="1">
        <f t="shared" si="30"/>
        <v>-0.69000000000005457</v>
      </c>
      <c r="M44" s="1"/>
      <c r="N44" s="5">
        <f t="shared" si="31"/>
        <v>-2.4855818242731638E-4</v>
      </c>
      <c r="O44" s="13"/>
      <c r="P44" s="1">
        <f>SUM(OSRRefP22_5x_0)</f>
        <v>16651.919999999998</v>
      </c>
      <c r="Q44" s="1"/>
      <c r="R44" s="5">
        <f t="shared" si="32"/>
        <v>0.12077322505950569</v>
      </c>
      <c r="S44" s="1"/>
      <c r="T44" s="1">
        <f>SUM(OSRRefT22_5x_0)</f>
        <v>16656.060000000001</v>
      </c>
      <c r="U44" s="1"/>
      <c r="V44" s="5">
        <f t="shared" si="33"/>
        <v>0.13213111586134091</v>
      </c>
      <c r="W44" s="1"/>
      <c r="X44" s="1">
        <f t="shared" si="34"/>
        <v>-4.1400000000030559</v>
      </c>
      <c r="Y44" s="1"/>
      <c r="Z44" s="5">
        <f t="shared" si="35"/>
        <v>-2.485581824274802E-4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2775.32</v>
      </c>
      <c r="E45" s="2"/>
      <c r="F45" s="7">
        <f t="shared" si="28"/>
        <v>0.19535550955160699</v>
      </c>
      <c r="G45" s="2"/>
      <c r="H45" s="6">
        <v>2776.01</v>
      </c>
      <c r="I45" s="2"/>
      <c r="J45" s="7">
        <f t="shared" si="29"/>
        <v>0.1687530736839162</v>
      </c>
      <c r="K45" s="2"/>
      <c r="L45" s="6">
        <f t="shared" si="30"/>
        <v>-0.69000000000005457</v>
      </c>
      <c r="M45" s="2"/>
      <c r="N45" s="7">
        <f t="shared" si="31"/>
        <v>-2.4855818242731638E-4</v>
      </c>
      <c r="O45" s="11"/>
      <c r="P45" s="6">
        <v>16651.919999999998</v>
      </c>
      <c r="Q45" s="2"/>
      <c r="R45" s="7">
        <f t="shared" si="32"/>
        <v>0.12077322505950569</v>
      </c>
      <c r="S45" s="2"/>
      <c r="T45" s="6">
        <v>16656.060000000001</v>
      </c>
      <c r="U45" s="2"/>
      <c r="V45" s="7">
        <f t="shared" si="33"/>
        <v>0.13213111586134091</v>
      </c>
      <c r="W45" s="2"/>
      <c r="X45" s="6">
        <f t="shared" si="34"/>
        <v>-4.1400000000030559</v>
      </c>
      <c r="Y45" s="2"/>
      <c r="Z45" s="7">
        <f t="shared" si="35"/>
        <v>-2.485581824274802E-4</v>
      </c>
    </row>
    <row r="46" spans="1:26" s="27" customFormat="1" outlineLevel="1" collapsed="1" x14ac:dyDescent="0.25">
      <c r="A46" s="25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107.51</v>
      </c>
      <c r="E46" s="1"/>
      <c r="F46" s="5">
        <f t="shared" si="28"/>
        <v>7.5676573627161074E-3</v>
      </c>
      <c r="G46" s="1"/>
      <c r="H46" s="1">
        <f>SUM(OSRRefH22_6x_0)</f>
        <v>74.48</v>
      </c>
      <c r="I46" s="1"/>
      <c r="J46" s="5">
        <f t="shared" si="29"/>
        <v>4.5276237938545174E-3</v>
      </c>
      <c r="K46" s="1"/>
      <c r="L46" s="1">
        <f t="shared" si="30"/>
        <v>33.03</v>
      </c>
      <c r="M46" s="1"/>
      <c r="N46" s="5">
        <f t="shared" si="31"/>
        <v>0.44347475832438238</v>
      </c>
      <c r="O46" s="13"/>
      <c r="P46" s="1">
        <f>SUM(OSRRefP22_6x_0)</f>
        <v>107.51</v>
      </c>
      <c r="Q46" s="1"/>
      <c r="R46" s="5">
        <f t="shared" si="32"/>
        <v>7.7974968809287211E-4</v>
      </c>
      <c r="S46" s="1"/>
      <c r="T46" s="1">
        <f>SUM(OSRRefT22_6x_0)</f>
        <v>108.69</v>
      </c>
      <c r="U46" s="1"/>
      <c r="V46" s="5">
        <f t="shared" si="33"/>
        <v>8.6222858124725425E-4</v>
      </c>
      <c r="W46" s="1"/>
      <c r="X46" s="1">
        <f t="shared" si="34"/>
        <v>-1.1799999999999926</v>
      </c>
      <c r="Y46" s="1"/>
      <c r="Z46" s="5">
        <f t="shared" si="35"/>
        <v>-1.0856564541356082E-2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>
        <v>107.51</v>
      </c>
      <c r="E47" s="2"/>
      <c r="F47" s="7">
        <f t="shared" si="28"/>
        <v>7.5676573627161074E-3</v>
      </c>
      <c r="G47" s="2"/>
      <c r="H47" s="6">
        <v>74.48</v>
      </c>
      <c r="I47" s="2"/>
      <c r="J47" s="7">
        <f t="shared" si="29"/>
        <v>4.5276237938545174E-3</v>
      </c>
      <c r="K47" s="2"/>
      <c r="L47" s="6">
        <f t="shared" si="30"/>
        <v>33.03</v>
      </c>
      <c r="M47" s="2"/>
      <c r="N47" s="7">
        <f t="shared" si="31"/>
        <v>0.44347475832438238</v>
      </c>
      <c r="O47" s="11"/>
      <c r="P47" s="6">
        <v>107.51</v>
      </c>
      <c r="Q47" s="2"/>
      <c r="R47" s="7">
        <f t="shared" si="32"/>
        <v>7.7974968809287211E-4</v>
      </c>
      <c r="S47" s="2"/>
      <c r="T47" s="6">
        <v>108.69</v>
      </c>
      <c r="U47" s="2"/>
      <c r="V47" s="7">
        <f t="shared" si="33"/>
        <v>8.6222858124725425E-4</v>
      </c>
      <c r="W47" s="2"/>
      <c r="X47" s="6">
        <f t="shared" si="34"/>
        <v>-1.1799999999999926</v>
      </c>
      <c r="Y47" s="2"/>
      <c r="Z47" s="7">
        <f t="shared" si="35"/>
        <v>-1.0856564541356082E-2</v>
      </c>
    </row>
    <row r="48" spans="1:26" s="27" customFormat="1" outlineLevel="1" collapsed="1" x14ac:dyDescent="0.25">
      <c r="A48" s="25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188.13</v>
      </c>
      <c r="E48" s="1"/>
      <c r="F48" s="5">
        <f t="shared" si="28"/>
        <v>1.3242520506443877E-2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188.13</v>
      </c>
      <c r="M48" s="1"/>
      <c r="N48" s="5">
        <f t="shared" si="31"/>
        <v>0</v>
      </c>
      <c r="O48" s="13"/>
      <c r="P48" s="1">
        <f>SUM(OSRRefP22_7x_0)</f>
        <v>710.89</v>
      </c>
      <c r="Q48" s="1"/>
      <c r="R48" s="5">
        <f t="shared" si="32"/>
        <v>5.1559506628996539E-3</v>
      </c>
      <c r="S48" s="1"/>
      <c r="T48" s="1">
        <f>SUM(OSRRefT22_7x_0)</f>
        <v>0</v>
      </c>
      <c r="U48" s="1"/>
      <c r="V48" s="5">
        <f t="shared" si="33"/>
        <v>0</v>
      </c>
      <c r="W48" s="1"/>
      <c r="X48" s="1">
        <f t="shared" si="34"/>
        <v>710.89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>
        <v>188.13</v>
      </c>
      <c r="E49" s="2"/>
      <c r="F49" s="7">
        <f t="shared" si="28"/>
        <v>1.3242520506443877E-2</v>
      </c>
      <c r="G49" s="2"/>
      <c r="H49" s="6"/>
      <c r="I49" s="2"/>
      <c r="J49" s="7">
        <f t="shared" si="29"/>
        <v>0</v>
      </c>
      <c r="K49" s="2"/>
      <c r="L49" s="6">
        <f t="shared" si="30"/>
        <v>188.13</v>
      </c>
      <c r="M49" s="2"/>
      <c r="N49" s="7">
        <f t="shared" si="31"/>
        <v>0</v>
      </c>
      <c r="O49" s="11"/>
      <c r="P49" s="6">
        <v>710.89</v>
      </c>
      <c r="Q49" s="2"/>
      <c r="R49" s="7">
        <f t="shared" si="32"/>
        <v>5.1559506628996539E-3</v>
      </c>
      <c r="S49" s="2"/>
      <c r="T49" s="6"/>
      <c r="U49" s="2"/>
      <c r="V49" s="7">
        <f t="shared" si="33"/>
        <v>0</v>
      </c>
      <c r="W49" s="2"/>
      <c r="X49" s="6">
        <f t="shared" si="34"/>
        <v>710.89</v>
      </c>
      <c r="Y49" s="2"/>
      <c r="Z49" s="7">
        <f t="shared" si="35"/>
        <v>0</v>
      </c>
    </row>
    <row r="50" spans="1:26" s="27" customFormat="1" outlineLevel="1" collapsed="1" x14ac:dyDescent="0.25">
      <c r="A50" s="25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28"/>
        <v>0</v>
      </c>
      <c r="G50" s="1"/>
      <c r="H50" s="1">
        <f>SUM(OSRRefH22_8x_0)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SUM(OSRRefP22_8x_0)</f>
        <v>749.55</v>
      </c>
      <c r="Q50" s="1"/>
      <c r="R50" s="5">
        <f t="shared" si="32"/>
        <v>5.4363443280626188E-3</v>
      </c>
      <c r="S50" s="1"/>
      <c r="T50" s="1">
        <f>SUM(OSRRefT22_8x_0)</f>
        <v>769.2</v>
      </c>
      <c r="U50" s="1"/>
      <c r="V50" s="5">
        <f t="shared" si="33"/>
        <v>6.1019985711232676E-3</v>
      </c>
      <c r="W50" s="1"/>
      <c r="X50" s="1">
        <f t="shared" si="34"/>
        <v>-19.650000000000091</v>
      </c>
      <c r="Y50" s="1"/>
      <c r="Z50" s="5">
        <f t="shared" si="35"/>
        <v>-2.5546021840873751E-2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749.55</v>
      </c>
      <c r="Q51" s="2"/>
      <c r="R51" s="7">
        <f t="shared" si="32"/>
        <v>5.4363443280626188E-3</v>
      </c>
      <c r="S51" s="2"/>
      <c r="T51" s="6">
        <v>769.2</v>
      </c>
      <c r="U51" s="2"/>
      <c r="V51" s="7">
        <f t="shared" si="33"/>
        <v>6.1019985711232676E-3</v>
      </c>
      <c r="W51" s="2"/>
      <c r="X51" s="6">
        <f t="shared" si="34"/>
        <v>-19.650000000000091</v>
      </c>
      <c r="Y51" s="2"/>
      <c r="Z51" s="7">
        <f t="shared" si="35"/>
        <v>-2.5546021840873751E-2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793.54</v>
      </c>
      <c r="E52" s="1"/>
      <c r="F52" s="5">
        <f t="shared" si="28"/>
        <v>5.5857490685608212E-2</v>
      </c>
      <c r="G52" s="1"/>
      <c r="H52" s="1">
        <f>SUM(OSRRefH22_9x_0)</f>
        <v>65.989999999999995</v>
      </c>
      <c r="I52" s="1"/>
      <c r="J52" s="5">
        <f t="shared" si="29"/>
        <v>4.0115184500061707E-3</v>
      </c>
      <c r="K52" s="1"/>
      <c r="L52" s="1">
        <f t="shared" si="30"/>
        <v>727.55</v>
      </c>
      <c r="M52" s="1"/>
      <c r="N52" s="5">
        <f t="shared" si="31"/>
        <v>11.025155326564631</v>
      </c>
      <c r="O52" s="13"/>
      <c r="P52" s="1">
        <f>SUM(OSRRefP22_9x_0)</f>
        <v>5425.2999999999993</v>
      </c>
      <c r="Q52" s="1"/>
      <c r="R52" s="5">
        <f t="shared" si="32"/>
        <v>3.9348674382013372E-2</v>
      </c>
      <c r="S52" s="1"/>
      <c r="T52" s="1">
        <f>SUM(OSRRefT22_9x_0)</f>
        <v>1586.97</v>
      </c>
      <c r="U52" s="1"/>
      <c r="V52" s="5">
        <f t="shared" si="33"/>
        <v>1.2589298846093984E-2</v>
      </c>
      <c r="W52" s="1"/>
      <c r="X52" s="1">
        <f t="shared" si="34"/>
        <v>3838.329999999999</v>
      </c>
      <c r="Y52" s="1"/>
      <c r="Z52" s="5">
        <f t="shared" si="35"/>
        <v>2.4186531566444223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2186.54</v>
      </c>
      <c r="Q53" s="2"/>
      <c r="R53" s="7">
        <f t="shared" si="32"/>
        <v>1.5858560905986311E-2</v>
      </c>
      <c r="S53" s="2"/>
      <c r="T53" s="6"/>
      <c r="U53" s="2"/>
      <c r="V53" s="7">
        <f t="shared" si="33"/>
        <v>0</v>
      </c>
      <c r="W53" s="2"/>
      <c r="X53" s="6">
        <f t="shared" si="34"/>
        <v>2186.54</v>
      </c>
      <c r="Y53" s="2"/>
      <c r="Z53" s="7">
        <f t="shared" si="35"/>
        <v>0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6">
        <v>774.29</v>
      </c>
      <c r="E54" s="2"/>
      <c r="F54" s="7">
        <f t="shared" si="28"/>
        <v>5.4502478089270341E-2</v>
      </c>
      <c r="G54" s="2"/>
      <c r="H54" s="6">
        <v>65.989999999999995</v>
      </c>
      <c r="I54" s="2"/>
      <c r="J54" s="7">
        <f t="shared" si="29"/>
        <v>4.0115184500061707E-3</v>
      </c>
      <c r="K54" s="2"/>
      <c r="L54" s="6">
        <f t="shared" si="30"/>
        <v>708.3</v>
      </c>
      <c r="M54" s="2"/>
      <c r="N54" s="7">
        <f t="shared" si="31"/>
        <v>10.733444461282012</v>
      </c>
      <c r="O54" s="11"/>
      <c r="P54" s="6">
        <v>840.28</v>
      </c>
      <c r="Q54" s="2"/>
      <c r="R54" s="7">
        <f t="shared" si="32"/>
        <v>6.0943918510899314E-3</v>
      </c>
      <c r="S54" s="2"/>
      <c r="T54" s="6">
        <v>131.97999999999999</v>
      </c>
      <c r="U54" s="2"/>
      <c r="V54" s="7">
        <f t="shared" si="33"/>
        <v>1.046986182289195E-3</v>
      </c>
      <c r="W54" s="2"/>
      <c r="X54" s="6">
        <f t="shared" si="34"/>
        <v>708.3</v>
      </c>
      <c r="Y54" s="2"/>
      <c r="Z54" s="7">
        <f t="shared" si="35"/>
        <v>5.3667222306410061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19.25</v>
      </c>
      <c r="E55" s="2"/>
      <c r="F55" s="7">
        <f t="shared" si="28"/>
        <v>1.3550125963378761E-3</v>
      </c>
      <c r="G55" s="2"/>
      <c r="H55" s="6"/>
      <c r="I55" s="2"/>
      <c r="J55" s="7">
        <f t="shared" si="29"/>
        <v>0</v>
      </c>
      <c r="K55" s="2"/>
      <c r="L55" s="6">
        <f t="shared" si="30"/>
        <v>19.25</v>
      </c>
      <c r="M55" s="2"/>
      <c r="N55" s="7">
        <f t="shared" si="31"/>
        <v>0</v>
      </c>
      <c r="O55" s="11"/>
      <c r="P55" s="6">
        <v>2398.48</v>
      </c>
      <c r="Q55" s="2"/>
      <c r="R55" s="7">
        <f t="shared" si="32"/>
        <v>1.739572162493714E-2</v>
      </c>
      <c r="S55" s="2"/>
      <c r="T55" s="6">
        <v>1454.99</v>
      </c>
      <c r="U55" s="2"/>
      <c r="V55" s="7">
        <f t="shared" si="33"/>
        <v>1.1542312663804788E-2</v>
      </c>
      <c r="W55" s="2"/>
      <c r="X55" s="6">
        <f t="shared" si="34"/>
        <v>943.49</v>
      </c>
      <c r="Y55" s="2"/>
      <c r="Z55" s="7">
        <f t="shared" si="35"/>
        <v>0.64845119210441304</v>
      </c>
    </row>
    <row r="56" spans="1:26" s="27" customFormat="1" outlineLevel="1" collapsed="1" x14ac:dyDescent="0.25">
      <c r="A56" s="25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SUM(OSRRefD22_10x_0)</f>
        <v>49.2</v>
      </c>
      <c r="E56" s="1"/>
      <c r="F56" s="5">
        <f t="shared" ref="F56:F58" si="36">IF(D$12=0,0,D56/D$12)</f>
        <v>3.4632010254453771E-3</v>
      </c>
      <c r="G56" s="1"/>
      <c r="H56" s="1">
        <f>SUM(OSRRefH22_10x_0)</f>
        <v>59.1</v>
      </c>
      <c r="I56" s="1"/>
      <c r="J56" s="5">
        <f t="shared" ref="J56:J58" si="37">IF(H$12=0,0,H56/H$12)</f>
        <v>3.5926767751987376E-3</v>
      </c>
      <c r="K56" s="1"/>
      <c r="L56" s="1">
        <f t="shared" ref="L56:L58" si="38">+D56-H56</f>
        <v>-9.8999999999999986</v>
      </c>
      <c r="M56" s="1"/>
      <c r="N56" s="5">
        <f t="shared" ref="N56:N58" si="39">IF(H56=0,0,L56/H56)</f>
        <v>-0.16751269035532992</v>
      </c>
      <c r="O56" s="13"/>
      <c r="P56" s="1">
        <f>SUM(OSRRefP22_10x_0)</f>
        <v>286.92</v>
      </c>
      <c r="Q56" s="1"/>
      <c r="R56" s="5">
        <f t="shared" ref="R56:R58" si="40">IF(P$12=0,0,P56/P$12)</f>
        <v>2.0809764720268521E-3</v>
      </c>
      <c r="S56" s="1"/>
      <c r="T56" s="1">
        <f>SUM(OSRRefT22_10x_0)</f>
        <v>1016.48</v>
      </c>
      <c r="U56" s="1"/>
      <c r="V56" s="5">
        <f t="shared" ref="V56:V58" si="41">IF(T$12=0,0,T56/T$12)</f>
        <v>8.0636499058442269E-3</v>
      </c>
      <c r="W56" s="1"/>
      <c r="X56" s="1">
        <f t="shared" ref="X56:X58" si="42">+P56-T56</f>
        <v>-729.56</v>
      </c>
      <c r="Y56" s="1"/>
      <c r="Z56" s="5">
        <f t="shared" ref="Z56:Z58" si="43">IF(T56=0,0,X56/T56)</f>
        <v>-0.71773178026129381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619</v>
      </c>
      <c r="U57" s="2"/>
      <c r="V57" s="7">
        <f t="shared" si="41"/>
        <v>4.9104746691696604E-3</v>
      </c>
      <c r="W57" s="2"/>
      <c r="X57" s="6">
        <f t="shared" si="42"/>
        <v>-619</v>
      </c>
      <c r="Y57" s="2"/>
      <c r="Z57" s="7">
        <f t="shared" si="43"/>
        <v>-1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6">
        <v>49.2</v>
      </c>
      <c r="E58" s="2"/>
      <c r="F58" s="7">
        <f t="shared" si="36"/>
        <v>3.4632010254453771E-3</v>
      </c>
      <c r="G58" s="2"/>
      <c r="H58" s="6">
        <v>59.1</v>
      </c>
      <c r="I58" s="2"/>
      <c r="J58" s="7">
        <f t="shared" si="37"/>
        <v>3.5926767751987376E-3</v>
      </c>
      <c r="K58" s="2"/>
      <c r="L58" s="6">
        <f t="shared" si="38"/>
        <v>-9.8999999999999986</v>
      </c>
      <c r="M58" s="2"/>
      <c r="N58" s="7">
        <f t="shared" si="39"/>
        <v>-0.16751269035532992</v>
      </c>
      <c r="O58" s="11"/>
      <c r="P58" s="6">
        <v>286.92</v>
      </c>
      <c r="Q58" s="2"/>
      <c r="R58" s="7">
        <f t="shared" si="40"/>
        <v>2.0809764720268521E-3</v>
      </c>
      <c r="S58" s="2"/>
      <c r="T58" s="6">
        <v>397.48</v>
      </c>
      <c r="U58" s="2"/>
      <c r="V58" s="7">
        <f t="shared" si="41"/>
        <v>3.1531752366745665E-3</v>
      </c>
      <c r="W58" s="2"/>
      <c r="X58" s="6">
        <f t="shared" si="42"/>
        <v>-110.56</v>
      </c>
      <c r="Y58" s="2"/>
      <c r="Z58" s="7">
        <f t="shared" si="43"/>
        <v>-0.27815235986716313</v>
      </c>
    </row>
    <row r="59" spans="1:26" s="27" customFormat="1" outlineLevel="1" collapsed="1" x14ac:dyDescent="0.25">
      <c r="A59" s="25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SUM(OSRRefD22_11x_0)</f>
        <v>363.08</v>
      </c>
      <c r="E59" s="1"/>
      <c r="F59" s="5">
        <f t="shared" ref="F59:F65" si="44">IF(D$12=0,0,D59/D$12)</f>
        <v>2.5557297323550963E-2</v>
      </c>
      <c r="G59" s="1"/>
      <c r="H59" s="1">
        <f>SUM(OSRRefH22_11x_0)</f>
        <v>219.88</v>
      </c>
      <c r="I59" s="1"/>
      <c r="J59" s="5">
        <f t="shared" ref="J59:J65" si="45">IF(H$12=0,0,H59/H$12)</f>
        <v>1.336645971794752E-2</v>
      </c>
      <c r="K59" s="1"/>
      <c r="L59" s="1">
        <f t="shared" ref="L59:L65" si="46">+D59-H59</f>
        <v>143.19999999999999</v>
      </c>
      <c r="M59" s="1"/>
      <c r="N59" s="5">
        <f t="shared" ref="N59:N65" si="47">IF(H59=0,0,L59/H59)</f>
        <v>0.65126432599599782</v>
      </c>
      <c r="O59" s="13"/>
      <c r="P59" s="1">
        <f>SUM(OSRRefP22_11x_0)</f>
        <v>5463.75</v>
      </c>
      <c r="Q59" s="1"/>
      <c r="R59" s="5">
        <f t="shared" ref="R59:R65" si="48">IF(P$12=0,0,P59/P$12)</f>
        <v>3.9627544956910329E-2</v>
      </c>
      <c r="S59" s="1"/>
      <c r="T59" s="1">
        <f>SUM(OSRRefT22_11x_0)</f>
        <v>2890.1400000000003</v>
      </c>
      <c r="U59" s="1"/>
      <c r="V59" s="5">
        <f t="shared" ref="V59:V65" si="49">IF(T$12=0,0,T59/T$12)</f>
        <v>2.292723628490146E-2</v>
      </c>
      <c r="W59" s="1"/>
      <c r="X59" s="1">
        <f t="shared" ref="X59:X65" si="50">+P59-T59</f>
        <v>2573.6099999999997</v>
      </c>
      <c r="Y59" s="1"/>
      <c r="Z59" s="5">
        <f t="shared" ref="Z59:Z65" si="51">IF(T59=0,0,X59/T59)</f>
        <v>0.89047935394133138</v>
      </c>
    </row>
    <row r="60" spans="1:26" s="24" customFormat="1" hidden="1" outlineLevel="2" x14ac:dyDescent="0.25">
      <c r="A60" s="26"/>
      <c r="B60" s="11" t="str">
        <f>CONCATENATE("          ", "6237", " - ", "JANITORIAL SUPPLIES")</f>
        <v xml:space="preserve">          6237 - JANITORIAL SUPPLIES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11.08</v>
      </c>
      <c r="U60" s="2"/>
      <c r="V60" s="7">
        <f t="shared" si="49"/>
        <v>8.7896703286591006E-5</v>
      </c>
      <c r="W60" s="2"/>
      <c r="X60" s="6">
        <f t="shared" si="50"/>
        <v>-11.08</v>
      </c>
      <c r="Y60" s="2"/>
      <c r="Z60" s="7">
        <f t="shared" si="51"/>
        <v>-1</v>
      </c>
    </row>
    <row r="61" spans="1:26" s="24" customFormat="1" hidden="1" outlineLevel="2" x14ac:dyDescent="0.25">
      <c r="A61" s="26"/>
      <c r="B61" s="11" t="str">
        <f>CONCATENATE("          ", "6239", " - ", "KITCHEN SUPPLIES")</f>
        <v xml:space="preserve">          6239 - KITCHEN SUPPLIES</v>
      </c>
      <c r="C61" s="11"/>
      <c r="D61" s="6">
        <v>226.01</v>
      </c>
      <c r="E61" s="2"/>
      <c r="F61" s="7">
        <f t="shared" si="44"/>
        <v>1.5908903734977838E-2</v>
      </c>
      <c r="G61" s="2"/>
      <c r="H61" s="6"/>
      <c r="I61" s="2"/>
      <c r="J61" s="7">
        <f t="shared" si="45"/>
        <v>0</v>
      </c>
      <c r="K61" s="2"/>
      <c r="L61" s="6">
        <f t="shared" si="46"/>
        <v>226.01</v>
      </c>
      <c r="M61" s="2"/>
      <c r="N61" s="7">
        <f t="shared" si="47"/>
        <v>0</v>
      </c>
      <c r="O61" s="11"/>
      <c r="P61" s="6">
        <v>2898.22</v>
      </c>
      <c r="Q61" s="2"/>
      <c r="R61" s="7">
        <f t="shared" si="48"/>
        <v>2.1020241289410505E-2</v>
      </c>
      <c r="S61" s="2"/>
      <c r="T61" s="6">
        <v>112.08</v>
      </c>
      <c r="U61" s="2"/>
      <c r="V61" s="7">
        <f t="shared" si="49"/>
        <v>8.8912116465353071E-4</v>
      </c>
      <c r="W61" s="2"/>
      <c r="X61" s="6">
        <f t="shared" si="50"/>
        <v>2786.14</v>
      </c>
      <c r="Y61" s="2"/>
      <c r="Z61" s="7">
        <f t="shared" si="51"/>
        <v>24.858493932905066</v>
      </c>
    </row>
    <row r="62" spans="1:26" s="24" customFormat="1" hidden="1" outlineLevel="2" x14ac:dyDescent="0.25">
      <c r="A62" s="26"/>
      <c r="B62" s="11" t="str">
        <f>CONCATENATE("          ", "6241", " - ", "OFFICE EXPENSE")</f>
        <v xml:space="preserve">          6241 - OFFICE EXPENSE</v>
      </c>
      <c r="C62" s="11"/>
      <c r="D62" s="6">
        <v>100.55</v>
      </c>
      <c r="E62" s="2"/>
      <c r="F62" s="7">
        <f t="shared" si="44"/>
        <v>7.0777411200921266E-3</v>
      </c>
      <c r="G62" s="2"/>
      <c r="H62" s="6">
        <v>76.5</v>
      </c>
      <c r="I62" s="2"/>
      <c r="J62" s="7">
        <f t="shared" si="45"/>
        <v>4.6504191760186704E-3</v>
      </c>
      <c r="K62" s="2"/>
      <c r="L62" s="6">
        <f t="shared" si="46"/>
        <v>24.049999999999997</v>
      </c>
      <c r="M62" s="2"/>
      <c r="N62" s="7">
        <f t="shared" si="47"/>
        <v>0.3143790849673202</v>
      </c>
      <c r="O62" s="11"/>
      <c r="P62" s="6">
        <v>649.99</v>
      </c>
      <c r="Q62" s="2"/>
      <c r="R62" s="7">
        <f t="shared" si="48"/>
        <v>4.7142544857546823E-3</v>
      </c>
      <c r="S62" s="2"/>
      <c r="T62" s="6">
        <v>95.11</v>
      </c>
      <c r="U62" s="2"/>
      <c r="V62" s="7">
        <f t="shared" si="49"/>
        <v>7.5449958931296664E-4</v>
      </c>
      <c r="W62" s="2"/>
      <c r="X62" s="6">
        <f t="shared" si="50"/>
        <v>554.88</v>
      </c>
      <c r="Y62" s="2"/>
      <c r="Z62" s="7">
        <f t="shared" si="51"/>
        <v>5.8340868468089582</v>
      </c>
    </row>
    <row r="63" spans="1:26" s="24" customFormat="1" hidden="1" outlineLevel="2" x14ac:dyDescent="0.25">
      <c r="A63" s="26"/>
      <c r="B63" s="11" t="str">
        <f>CONCATENATE("          ", "6243", " - ", "PAPER SUPPLIES")</f>
        <v xml:space="preserve">          6243 - PAPER SUPPLIES</v>
      </c>
      <c r="C63" s="11"/>
      <c r="D63" s="6">
        <v>36.520000000000003</v>
      </c>
      <c r="E63" s="2"/>
      <c r="F63" s="7">
        <f t="shared" si="44"/>
        <v>2.5706524684809993E-3</v>
      </c>
      <c r="G63" s="2"/>
      <c r="H63" s="6">
        <v>143.38</v>
      </c>
      <c r="I63" s="2"/>
      <c r="J63" s="7">
        <f t="shared" si="45"/>
        <v>8.7160405419288486E-3</v>
      </c>
      <c r="K63" s="2"/>
      <c r="L63" s="6">
        <f t="shared" si="46"/>
        <v>-106.85999999999999</v>
      </c>
      <c r="M63" s="2"/>
      <c r="N63" s="7">
        <f t="shared" si="47"/>
        <v>-0.74529223043660198</v>
      </c>
      <c r="O63" s="11"/>
      <c r="P63" s="6">
        <v>1175.8699999999999</v>
      </c>
      <c r="Q63" s="2"/>
      <c r="R63" s="7">
        <f t="shared" si="48"/>
        <v>8.5283626242932311E-3</v>
      </c>
      <c r="S63" s="2"/>
      <c r="T63" s="6">
        <v>1248.2</v>
      </c>
      <c r="U63" s="2"/>
      <c r="V63" s="7">
        <f t="shared" si="49"/>
        <v>9.9018650760219224E-3</v>
      </c>
      <c r="W63" s="2"/>
      <c r="X63" s="6">
        <f t="shared" si="50"/>
        <v>-72.330000000000155</v>
      </c>
      <c r="Y63" s="2"/>
      <c r="Z63" s="7">
        <f t="shared" si="51"/>
        <v>-5.7947444319820664E-2</v>
      </c>
    </row>
    <row r="64" spans="1:26" s="24" customFormat="1" hidden="1" outlineLevel="2" x14ac:dyDescent="0.25">
      <c r="A64" s="26"/>
      <c r="B64" s="11" t="str">
        <f>CONCATENATE("          ", "6247", " - ", "STORE SUPPLIES")</f>
        <v xml:space="preserve">          6247 - STORE SUPPLIES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>
        <v>102.64</v>
      </c>
      <c r="Q64" s="2"/>
      <c r="R64" s="7">
        <f t="shared" si="48"/>
        <v>7.4442849954285543E-4</v>
      </c>
      <c r="S64" s="2"/>
      <c r="T64" s="6">
        <v>771.1</v>
      </c>
      <c r="U64" s="2"/>
      <c r="V64" s="7">
        <f t="shared" si="49"/>
        <v>6.1170711104955172E-3</v>
      </c>
      <c r="W64" s="2"/>
      <c r="X64" s="6">
        <f t="shared" si="50"/>
        <v>-668.46</v>
      </c>
      <c r="Y64" s="2"/>
      <c r="Z64" s="7">
        <f t="shared" si="51"/>
        <v>-0.86689145376734533</v>
      </c>
    </row>
    <row r="65" spans="1:26" s="24" customFormat="1" hidden="1" outlineLevel="2" x14ac:dyDescent="0.25">
      <c r="A65" s="26"/>
      <c r="B65" s="11" t="str">
        <f>CONCATENATE("          ", "6248", " - ", "UNIFORMS")</f>
        <v xml:space="preserve">          6248 - UNIFORMS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>
        <v>637.03</v>
      </c>
      <c r="Q65" s="2"/>
      <c r="R65" s="7">
        <f t="shared" si="48"/>
        <v>4.6202580579090529E-3</v>
      </c>
      <c r="S65" s="2"/>
      <c r="T65" s="6">
        <v>652.57000000000005</v>
      </c>
      <c r="U65" s="2"/>
      <c r="V65" s="7">
        <f t="shared" si="49"/>
        <v>5.17678264113093E-3</v>
      </c>
      <c r="W65" s="2"/>
      <c r="X65" s="6">
        <f t="shared" si="50"/>
        <v>-15.540000000000077</v>
      </c>
      <c r="Y65" s="2"/>
      <c r="Z65" s="7">
        <f t="shared" si="51"/>
        <v>-2.3813537245046625E-2</v>
      </c>
    </row>
    <row r="66" spans="1:26" s="27" customFormat="1" outlineLevel="1" collapsed="1" x14ac:dyDescent="0.25">
      <c r="A66" s="25"/>
      <c r="B66" s="13" t="str">
        <f>CONCATENATE("     ","Telephone/Data Lines                              ")</f>
        <v xml:space="preserve">     Telephone/Data Lines                              </v>
      </c>
      <c r="C66" s="13"/>
      <c r="D66" s="1">
        <f>SUM(OSRRefD22_12x_0)</f>
        <v>86.5</v>
      </c>
      <c r="E66" s="1"/>
      <c r="F66" s="5">
        <f t="shared" ref="F66:F69" si="52">IF(D$12=0,0,D66/D$12)</f>
        <v>6.0887579004273388E-3</v>
      </c>
      <c r="G66" s="1"/>
      <c r="H66" s="1">
        <f>SUM(OSRRefH22_12x_0)</f>
        <v>86.3</v>
      </c>
      <c r="I66" s="1"/>
      <c r="J66" s="5">
        <f t="shared" ref="J66:J69" si="53">IF(H$12=0,0,H66/H$12)</f>
        <v>5.2461591488942643E-3</v>
      </c>
      <c r="K66" s="1"/>
      <c r="L66" s="1">
        <f t="shared" ref="L66:L69" si="54">+D66-H66</f>
        <v>0.20000000000000284</v>
      </c>
      <c r="M66" s="1"/>
      <c r="N66" s="5">
        <f t="shared" ref="N66:N69" si="55">IF(H66=0,0,L66/H66)</f>
        <v>2.317497103128654E-3</v>
      </c>
      <c r="O66" s="13"/>
      <c r="P66" s="1">
        <f>SUM(OSRRefP22_12x_0)</f>
        <v>521.5</v>
      </c>
      <c r="Q66" s="1"/>
      <c r="R66" s="5">
        <f t="shared" ref="R66:R69" si="56">IF(P$12=0,0,P66/P$12)</f>
        <v>3.782340827275907E-3</v>
      </c>
      <c r="S66" s="1"/>
      <c r="T66" s="1">
        <f>SUM(OSRRefT22_12x_0)</f>
        <v>512.25</v>
      </c>
      <c r="U66" s="1"/>
      <c r="V66" s="5">
        <f t="shared" ref="V66:V69" si="57">IF(T$12=0,0,T66/T$12)</f>
        <v>4.0636359439130184E-3</v>
      </c>
      <c r="W66" s="1"/>
      <c r="X66" s="1">
        <f t="shared" ref="X66:X69" si="58">+P66-T66</f>
        <v>9.25</v>
      </c>
      <c r="Y66" s="1"/>
      <c r="Z66" s="5">
        <f t="shared" ref="Z66:Z69" si="59">IF(T66=0,0,X66/T66)</f>
        <v>1.805758906783797E-2</v>
      </c>
    </row>
    <row r="67" spans="1:26" s="24" customFormat="1" hidden="1" outlineLevel="2" x14ac:dyDescent="0.25">
      <c r="A67" s="26"/>
      <c r="B67" s="11" t="str">
        <f>CONCATENATE("          ", "6309", " - ", "TELEPHONE")</f>
        <v xml:space="preserve">          6309 - TELEPHONE</v>
      </c>
      <c r="C67" s="11"/>
      <c r="D67" s="6">
        <v>86.5</v>
      </c>
      <c r="E67" s="2"/>
      <c r="F67" s="7">
        <f t="shared" si="52"/>
        <v>6.0887579004273388E-3</v>
      </c>
      <c r="G67" s="2"/>
      <c r="H67" s="6">
        <v>86.3</v>
      </c>
      <c r="I67" s="2"/>
      <c r="J67" s="7">
        <f t="shared" si="53"/>
        <v>5.2461591488942643E-3</v>
      </c>
      <c r="K67" s="2"/>
      <c r="L67" s="6">
        <f t="shared" si="54"/>
        <v>0.20000000000000284</v>
      </c>
      <c r="M67" s="2"/>
      <c r="N67" s="7">
        <f t="shared" si="55"/>
        <v>2.317497103128654E-3</v>
      </c>
      <c r="O67" s="11"/>
      <c r="P67" s="6">
        <v>521.5</v>
      </c>
      <c r="Q67" s="2"/>
      <c r="R67" s="7">
        <f t="shared" si="56"/>
        <v>3.782340827275907E-3</v>
      </c>
      <c r="S67" s="2"/>
      <c r="T67" s="6">
        <v>512.25</v>
      </c>
      <c r="U67" s="2"/>
      <c r="V67" s="7">
        <f t="shared" si="57"/>
        <v>4.0636359439130184E-3</v>
      </c>
      <c r="W67" s="2"/>
      <c r="X67" s="6">
        <f t="shared" si="58"/>
        <v>9.25</v>
      </c>
      <c r="Y67" s="2"/>
      <c r="Z67" s="7">
        <f t="shared" si="59"/>
        <v>1.805758906783797E-2</v>
      </c>
    </row>
    <row r="68" spans="1:26" s="27" customFormat="1" outlineLevel="1" collapsed="1" x14ac:dyDescent="0.25">
      <c r="A68" s="25"/>
      <c r="B68" s="13" t="str">
        <f>CONCATENATE("     ","Training                                          ")</f>
        <v xml:space="preserve">     Training                                          </v>
      </c>
      <c r="C68" s="13"/>
      <c r="D68" s="1">
        <f>SUM(OSRRefD22_13x_0)</f>
        <v>0</v>
      </c>
      <c r="E68" s="1"/>
      <c r="F68" s="5">
        <f t="shared" si="52"/>
        <v>0</v>
      </c>
      <c r="G68" s="1"/>
      <c r="H68" s="1">
        <f>SUM(OSRRefH22_13x_0)</f>
        <v>0</v>
      </c>
      <c r="I68" s="1"/>
      <c r="J68" s="5">
        <f t="shared" si="53"/>
        <v>0</v>
      </c>
      <c r="K68" s="1"/>
      <c r="L68" s="1">
        <f t="shared" si="54"/>
        <v>0</v>
      </c>
      <c r="M68" s="1"/>
      <c r="N68" s="5">
        <f t="shared" si="55"/>
        <v>0</v>
      </c>
      <c r="O68" s="13"/>
      <c r="P68" s="1">
        <f>SUM(OSRRefP22_13x_0)</f>
        <v>152.94999999999999</v>
      </c>
      <c r="Q68" s="1"/>
      <c r="R68" s="5">
        <f t="shared" si="56"/>
        <v>1.1093174104158197E-3</v>
      </c>
      <c r="S68" s="1"/>
      <c r="T68" s="1">
        <f>SUM(OSRRefT22_13x_0)</f>
        <v>0</v>
      </c>
      <c r="U68" s="1"/>
      <c r="V68" s="5">
        <f t="shared" si="57"/>
        <v>0</v>
      </c>
      <c r="W68" s="1"/>
      <c r="X68" s="1">
        <f t="shared" si="58"/>
        <v>152.94999999999999</v>
      </c>
      <c r="Y68" s="1"/>
      <c r="Z68" s="5">
        <f t="shared" si="59"/>
        <v>0</v>
      </c>
    </row>
    <row r="69" spans="1:26" s="24" customFormat="1" hidden="1" outlineLevel="2" x14ac:dyDescent="0.25">
      <c r="A69" s="26"/>
      <c r="B69" s="11" t="str">
        <f>CONCATENATE("          ", "6376", " - ", "TRAINING")</f>
        <v xml:space="preserve">          6376 - TRAINING</v>
      </c>
      <c r="C69" s="11"/>
      <c r="D69" s="6"/>
      <c r="E69" s="2"/>
      <c r="F69" s="7">
        <f t="shared" si="52"/>
        <v>0</v>
      </c>
      <c r="G69" s="2"/>
      <c r="H69" s="6"/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152.94999999999999</v>
      </c>
      <c r="Q69" s="2"/>
      <c r="R69" s="7">
        <f t="shared" si="56"/>
        <v>1.1093174104158197E-3</v>
      </c>
      <c r="S69" s="2"/>
      <c r="T69" s="6"/>
      <c r="U69" s="2"/>
      <c r="V69" s="7">
        <f t="shared" si="57"/>
        <v>0</v>
      </c>
      <c r="W69" s="2"/>
      <c r="X69" s="6">
        <f t="shared" si="58"/>
        <v>152.94999999999999</v>
      </c>
      <c r="Y69" s="2"/>
      <c r="Z69" s="7">
        <f t="shared" si="59"/>
        <v>0</v>
      </c>
    </row>
    <row r="70" spans="1:26" s="61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0">
        <f>+D20-D22+D71</f>
        <v>-8924</v>
      </c>
      <c r="E73" s="14"/>
      <c r="F73" s="21">
        <f>IF(D$12=0,0,D73/D$12)</f>
        <v>-0.62816272258281591</v>
      </c>
      <c r="G73" s="14"/>
      <c r="H73" s="20">
        <f>+H20-H22+H71</f>
        <v>-5034.7699999999986</v>
      </c>
      <c r="I73" s="14"/>
      <c r="J73" s="21">
        <f>IF(H$12=0,0,H73/H$12)</f>
        <v>-0.30606262686069957</v>
      </c>
      <c r="K73" s="15"/>
      <c r="L73" s="20">
        <f>+D73-H73</f>
        <v>-3889.2300000000014</v>
      </c>
      <c r="M73" s="15"/>
      <c r="N73" s="21">
        <f>IF(H73=0,0,L73/H73)</f>
        <v>0.77247421431366325</v>
      </c>
      <c r="O73" s="28"/>
      <c r="P73" s="20">
        <f>+P20-P22+P71</f>
        <v>-37771.340000000011</v>
      </c>
      <c r="Q73" s="14"/>
      <c r="R73" s="21">
        <f>IF(P$12=0,0,P73/P$12)</f>
        <v>-0.27394838232582858</v>
      </c>
      <c r="S73" s="14"/>
      <c r="T73" s="20">
        <f>+T20-T22+T71</f>
        <v>-17991.800000000017</v>
      </c>
      <c r="U73" s="14"/>
      <c r="V73" s="21">
        <f>IF(T$12=0,0,T73/T$12)</f>
        <v>-0.1427274283566507</v>
      </c>
      <c r="W73" s="15"/>
      <c r="X73" s="20">
        <f>+P73-T73</f>
        <v>-19779.539999999994</v>
      </c>
      <c r="Y73" s="15"/>
      <c r="Z73" s="21">
        <f>IF(T73=0,0,X73/T73)</f>
        <v>1.0993641547816213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1795.91</v>
      </c>
      <c r="E75" s="4"/>
      <c r="F75" s="12">
        <f>IF(D$12=0,0,D75/D$12)</f>
        <v>0.1264145803578782</v>
      </c>
      <c r="G75" s="4"/>
      <c r="H75" s="4">
        <v>2070.37</v>
      </c>
      <c r="I75" s="4"/>
      <c r="J75" s="12">
        <f>IF(H$12=0,0,H75/H$12)</f>
        <v>0.12585736404514739</v>
      </c>
      <c r="K75" s="4"/>
      <c r="L75" s="4">
        <f>+D75-H75</f>
        <v>-274.45999999999981</v>
      </c>
      <c r="M75" s="4"/>
      <c r="N75" s="12">
        <f>IF(H75=0,0,L75/H75)</f>
        <v>-0.13256567666648947</v>
      </c>
      <c r="O75" s="10"/>
      <c r="P75" s="4">
        <v>14891.84</v>
      </c>
      <c r="Q75" s="4"/>
      <c r="R75" s="12">
        <f>IF(P$12=0,0,P75/P$12)</f>
        <v>0.10800769784326068</v>
      </c>
      <c r="S75" s="4"/>
      <c r="T75" s="4">
        <v>13603.47</v>
      </c>
      <c r="U75" s="4"/>
      <c r="V75" s="12">
        <f>IF(T$12=0,0,T75/T$12)</f>
        <v>0.1079151774601121</v>
      </c>
      <c r="W75" s="4"/>
      <c r="X75" s="4">
        <f>+P75-T75</f>
        <v>1288.3700000000008</v>
      </c>
      <c r="Y75" s="4"/>
      <c r="Z75" s="12">
        <f>IF(T75=0,0,X75/T75)</f>
        <v>9.4708923532010644E-2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2">
        <f>+D73-D75</f>
        <v>-10719.91</v>
      </c>
      <c r="E77" s="14"/>
      <c r="F77" s="30">
        <f>IF(D$12=0,0,D77/D$12)</f>
        <v>-0.75457730294069403</v>
      </c>
      <c r="G77" s="14"/>
      <c r="H77" s="32">
        <f>+H73-H75</f>
        <v>-7105.1399999999985</v>
      </c>
      <c r="I77" s="14"/>
      <c r="J77" s="30">
        <f>IF(H$12=0,0,H77/H$12)</f>
        <v>-0.43191999090584693</v>
      </c>
      <c r="K77" s="15"/>
      <c r="L77" s="32">
        <f>D77-H77</f>
        <v>-3614.7700000000013</v>
      </c>
      <c r="M77" s="15"/>
      <c r="N77" s="30">
        <f>IF(H77=0,0,L77/H77)</f>
        <v>0.50875422581398844</v>
      </c>
      <c r="O77" s="28"/>
      <c r="P77" s="32">
        <f>+P73-P75</f>
        <v>-52663.180000000008</v>
      </c>
      <c r="Q77" s="14"/>
      <c r="R77" s="30">
        <f>IF(P$12=0,0,P77/P$12)</f>
        <v>-0.38195608016908922</v>
      </c>
      <c r="S77" s="14"/>
      <c r="T77" s="32">
        <f>+T73-T75</f>
        <v>-31595.270000000019</v>
      </c>
      <c r="U77" s="14"/>
      <c r="V77" s="30">
        <f>IF(T$12=0,0,T77/T$12)</f>
        <v>-0.25064260581676284</v>
      </c>
      <c r="W77" s="15"/>
      <c r="X77" s="32">
        <f>P77-T77</f>
        <v>-21067.909999999989</v>
      </c>
      <c r="Y77" s="15"/>
      <c r="Z77" s="30">
        <f>IF(T77=0,0,X77/T77)</f>
        <v>0.66680582251710385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6">
        <f>SUM(D77:D79)</f>
        <v>-10719.91</v>
      </c>
      <c r="E80" s="14"/>
      <c r="F80" s="31">
        <f>IF(D$12=0,0,D80/D$12)</f>
        <v>-0.75457730294069403</v>
      </c>
      <c r="G80" s="14"/>
      <c r="H80" s="36">
        <f>SUM(H77:H79)</f>
        <v>-7105.1399999999985</v>
      </c>
      <c r="I80" s="14"/>
      <c r="J80" s="31">
        <f>IF(H$12=0,0,H80/H$12)</f>
        <v>-0.43191999090584693</v>
      </c>
      <c r="K80" s="15"/>
      <c r="L80" s="36">
        <f>+D80-H80</f>
        <v>-3614.7700000000013</v>
      </c>
      <c r="M80" s="15"/>
      <c r="N80" s="31">
        <f>IF(H80=0,0,L80/H80)</f>
        <v>0.50875422581398844</v>
      </c>
      <c r="O80" s="28"/>
      <c r="P80" s="36">
        <f>SUM(P77:P79)</f>
        <v>-52663.180000000008</v>
      </c>
      <c r="Q80" s="14"/>
      <c r="R80" s="31">
        <f>IF(P$12=0,0,P80/P$12)</f>
        <v>-0.38195608016908922</v>
      </c>
      <c r="S80" s="14"/>
      <c r="T80" s="36">
        <f>SUM(T77:T79)</f>
        <v>-31595.270000000019</v>
      </c>
      <c r="U80" s="14"/>
      <c r="V80" s="31">
        <f>IF(T$12=0,0,T80/T$12)</f>
        <v>-0.25064260581676284</v>
      </c>
      <c r="W80" s="15"/>
      <c r="X80" s="36">
        <f>+P80-T80</f>
        <v>-21067.909999999989</v>
      </c>
      <c r="Y80" s="15"/>
      <c r="Z80" s="31">
        <f>IF(T80=0,0,X80/T80)</f>
        <v>0.66680582251710385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2">
        <v>43847.453976851852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6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4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298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","411", " - ", "University Dining")</f>
        <v>Department 411 - University Dining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121074.75</v>
      </c>
      <c r="E18" s="22"/>
      <c r="F18" s="33">
        <f t="shared" ref="F18:F28" si="0">IF(D$12=0,0,D18/D$12)</f>
        <v>0</v>
      </c>
      <c r="G18" s="22"/>
      <c r="H18" s="22">
        <f>SUM(OSRRefH22x_0)</f>
        <v>85031.549999999974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36043.200000000026</v>
      </c>
      <c r="M18" s="4"/>
      <c r="N18" s="33">
        <f t="shared" ref="N18:N28" si="3">IF(H18=0,0,L18/H18)</f>
        <v>0.42388031266041881</v>
      </c>
      <c r="O18" s="10"/>
      <c r="P18" s="22">
        <f>SUM(OSRRefP22x_0)</f>
        <v>604422.47</v>
      </c>
      <c r="Q18" s="22"/>
      <c r="R18" s="33">
        <f t="shared" ref="R18:R28" si="4">IF(P$12=0,0,P18/P$12)</f>
        <v>0</v>
      </c>
      <c r="S18" s="22"/>
      <c r="T18" s="22">
        <f>SUM(OSRRefT22x_0)</f>
        <v>558955.69000000006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45466.779999999912</v>
      </c>
      <c r="Y18" s="4"/>
      <c r="Z18" s="33">
        <f t="shared" ref="Z18:Z28" si="7">IF(T18=0,0,X18/T18)</f>
        <v>8.1342369016763935E-2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10923.550000000001</v>
      </c>
      <c r="E19" s="1"/>
      <c r="F19" s="5">
        <f t="shared" si="0"/>
        <v>0</v>
      </c>
      <c r="G19" s="1"/>
      <c r="H19" s="1">
        <f>SUM(OSRRefH22_0x_0)</f>
        <v>9481.75</v>
      </c>
      <c r="I19" s="1"/>
      <c r="J19" s="5">
        <f t="shared" si="1"/>
        <v>0</v>
      </c>
      <c r="K19" s="1"/>
      <c r="L19" s="1">
        <f t="shared" si="2"/>
        <v>1441.8000000000011</v>
      </c>
      <c r="M19" s="1"/>
      <c r="N19" s="5">
        <f t="shared" si="3"/>
        <v>0.15206053734806349</v>
      </c>
      <c r="O19" s="13"/>
      <c r="P19" s="1">
        <f>SUM(OSRRefP22_0x_0)</f>
        <v>67420.3</v>
      </c>
      <c r="Q19" s="1"/>
      <c r="R19" s="5">
        <f t="shared" si="4"/>
        <v>0</v>
      </c>
      <c r="S19" s="1"/>
      <c r="T19" s="1">
        <f>SUM(OSRRefT22_0x_0)</f>
        <v>61240.58</v>
      </c>
      <c r="U19" s="1"/>
      <c r="V19" s="5">
        <f t="shared" si="5"/>
        <v>0</v>
      </c>
      <c r="W19" s="1"/>
      <c r="X19" s="1">
        <f t="shared" si="6"/>
        <v>6179.7200000000012</v>
      </c>
      <c r="Y19" s="1"/>
      <c r="Z19" s="5">
        <f t="shared" si="7"/>
        <v>0.10090890713314604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2020.58</v>
      </c>
      <c r="E20" s="2"/>
      <c r="F20" s="7">
        <f t="shared" si="0"/>
        <v>0</v>
      </c>
      <c r="G20" s="2"/>
      <c r="H20" s="6">
        <v>1521.8</v>
      </c>
      <c r="I20" s="2"/>
      <c r="J20" s="7">
        <f t="shared" si="1"/>
        <v>0</v>
      </c>
      <c r="K20" s="2"/>
      <c r="L20" s="6">
        <f t="shared" si="2"/>
        <v>498.78</v>
      </c>
      <c r="M20" s="2"/>
      <c r="N20" s="7">
        <f t="shared" si="3"/>
        <v>0.32775660402155343</v>
      </c>
      <c r="O20" s="11"/>
      <c r="P20" s="6">
        <v>14167.1</v>
      </c>
      <c r="Q20" s="2"/>
      <c r="R20" s="7">
        <f t="shared" si="4"/>
        <v>0</v>
      </c>
      <c r="S20" s="2"/>
      <c r="T20" s="6">
        <v>11137.23</v>
      </c>
      <c r="U20" s="2"/>
      <c r="V20" s="7">
        <f t="shared" si="5"/>
        <v>0</v>
      </c>
      <c r="W20" s="2"/>
      <c r="X20" s="6">
        <f t="shared" si="6"/>
        <v>3029.8700000000008</v>
      </c>
      <c r="Y20" s="2"/>
      <c r="Z20" s="7">
        <f t="shared" si="7"/>
        <v>0.27204879489783373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1315.63</v>
      </c>
      <c r="E21" s="2"/>
      <c r="F21" s="7">
        <f t="shared" si="0"/>
        <v>0</v>
      </c>
      <c r="G21" s="2"/>
      <c r="H21" s="6">
        <v>943.54</v>
      </c>
      <c r="I21" s="2"/>
      <c r="J21" s="7">
        <f t="shared" si="1"/>
        <v>0</v>
      </c>
      <c r="K21" s="2"/>
      <c r="L21" s="6">
        <f t="shared" si="2"/>
        <v>372.09000000000015</v>
      </c>
      <c r="M21" s="2"/>
      <c r="N21" s="7">
        <f t="shared" si="3"/>
        <v>0.39435530025224175</v>
      </c>
      <c r="O21" s="11"/>
      <c r="P21" s="6">
        <v>4795.9799999999996</v>
      </c>
      <c r="Q21" s="2"/>
      <c r="R21" s="7">
        <f t="shared" si="4"/>
        <v>0</v>
      </c>
      <c r="S21" s="2"/>
      <c r="T21" s="6">
        <v>4898.13</v>
      </c>
      <c r="U21" s="2"/>
      <c r="V21" s="7">
        <f t="shared" si="5"/>
        <v>0</v>
      </c>
      <c r="W21" s="2"/>
      <c r="X21" s="6">
        <f t="shared" si="6"/>
        <v>-102.15000000000055</v>
      </c>
      <c r="Y21" s="2"/>
      <c r="Z21" s="7">
        <f t="shared" si="7"/>
        <v>-2.0854897685443331E-2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3654.92</v>
      </c>
      <c r="E22" s="2"/>
      <c r="F22" s="7">
        <f t="shared" si="0"/>
        <v>0</v>
      </c>
      <c r="G22" s="2"/>
      <c r="H22" s="6">
        <v>3578.11</v>
      </c>
      <c r="I22" s="2"/>
      <c r="J22" s="7">
        <f t="shared" si="1"/>
        <v>0</v>
      </c>
      <c r="K22" s="2"/>
      <c r="L22" s="6">
        <f t="shared" si="2"/>
        <v>76.809999999999945</v>
      </c>
      <c r="M22" s="2"/>
      <c r="N22" s="7">
        <f t="shared" si="3"/>
        <v>2.1466640209496058E-2</v>
      </c>
      <c r="O22" s="11"/>
      <c r="P22" s="6">
        <v>21929.279999999999</v>
      </c>
      <c r="Q22" s="2"/>
      <c r="R22" s="7">
        <f t="shared" si="4"/>
        <v>0</v>
      </c>
      <c r="S22" s="2"/>
      <c r="T22" s="6">
        <v>19248.990000000002</v>
      </c>
      <c r="U22" s="2"/>
      <c r="V22" s="7">
        <f t="shared" si="5"/>
        <v>0</v>
      </c>
      <c r="W22" s="2"/>
      <c r="X22" s="6">
        <f t="shared" si="6"/>
        <v>2680.2899999999972</v>
      </c>
      <c r="Y22" s="2"/>
      <c r="Z22" s="7">
        <f t="shared" si="7"/>
        <v>0.13924314990033229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103.03</v>
      </c>
      <c r="E23" s="2"/>
      <c r="F23" s="7">
        <f t="shared" si="0"/>
        <v>0</v>
      </c>
      <c r="G23" s="2"/>
      <c r="H23" s="6">
        <v>76.95</v>
      </c>
      <c r="I23" s="2"/>
      <c r="J23" s="7">
        <f t="shared" si="1"/>
        <v>0</v>
      </c>
      <c r="K23" s="2"/>
      <c r="L23" s="6">
        <f t="shared" si="2"/>
        <v>26.08</v>
      </c>
      <c r="M23" s="2"/>
      <c r="N23" s="7">
        <f t="shared" si="3"/>
        <v>0.33892137751786872</v>
      </c>
      <c r="O23" s="11"/>
      <c r="P23" s="6">
        <v>484.59</v>
      </c>
      <c r="Q23" s="2"/>
      <c r="R23" s="7">
        <f t="shared" si="4"/>
        <v>0</v>
      </c>
      <c r="S23" s="2"/>
      <c r="T23" s="6">
        <v>406.3</v>
      </c>
      <c r="U23" s="2"/>
      <c r="V23" s="7">
        <f t="shared" si="5"/>
        <v>0</v>
      </c>
      <c r="W23" s="2"/>
      <c r="X23" s="6">
        <f t="shared" si="6"/>
        <v>78.289999999999964</v>
      </c>
      <c r="Y23" s="2"/>
      <c r="Z23" s="7">
        <f t="shared" si="7"/>
        <v>0.19269013044548353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1227.27</v>
      </c>
      <c r="E24" s="2"/>
      <c r="F24" s="7">
        <f t="shared" si="0"/>
        <v>0</v>
      </c>
      <c r="G24" s="2"/>
      <c r="H24" s="6">
        <v>1053.2</v>
      </c>
      <c r="I24" s="2"/>
      <c r="J24" s="7">
        <f t="shared" si="1"/>
        <v>0</v>
      </c>
      <c r="K24" s="2"/>
      <c r="L24" s="6">
        <f t="shared" si="2"/>
        <v>174.06999999999994</v>
      </c>
      <c r="M24" s="2"/>
      <c r="N24" s="7">
        <f t="shared" si="3"/>
        <v>0.16527725028484611</v>
      </c>
      <c r="O24" s="11"/>
      <c r="P24" s="6">
        <v>8460.36</v>
      </c>
      <c r="Q24" s="2"/>
      <c r="R24" s="7">
        <f t="shared" si="4"/>
        <v>0</v>
      </c>
      <c r="S24" s="2"/>
      <c r="T24" s="6">
        <v>7811.74</v>
      </c>
      <c r="U24" s="2"/>
      <c r="V24" s="7">
        <f t="shared" si="5"/>
        <v>0</v>
      </c>
      <c r="W24" s="2"/>
      <c r="X24" s="6">
        <f t="shared" si="6"/>
        <v>648.6200000000008</v>
      </c>
      <c r="Y24" s="2"/>
      <c r="Z24" s="7">
        <f t="shared" si="7"/>
        <v>8.3031437298220476E-2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>
        <v>56</v>
      </c>
      <c r="E25" s="2"/>
      <c r="F25" s="7">
        <f t="shared" si="0"/>
        <v>0</v>
      </c>
      <c r="G25" s="2"/>
      <c r="H25" s="6">
        <v>56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364</v>
      </c>
      <c r="Q25" s="2"/>
      <c r="R25" s="7">
        <f t="shared" si="4"/>
        <v>0</v>
      </c>
      <c r="S25" s="2"/>
      <c r="T25" s="6">
        <v>364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1401.17</v>
      </c>
      <c r="E26" s="2"/>
      <c r="F26" s="7">
        <f t="shared" si="0"/>
        <v>0</v>
      </c>
      <c r="G26" s="2"/>
      <c r="H26" s="6">
        <v>1291.92</v>
      </c>
      <c r="I26" s="2"/>
      <c r="J26" s="7">
        <f t="shared" si="1"/>
        <v>0</v>
      </c>
      <c r="K26" s="2"/>
      <c r="L26" s="6">
        <f t="shared" si="2"/>
        <v>109.25</v>
      </c>
      <c r="M26" s="2"/>
      <c r="N26" s="7">
        <f t="shared" si="3"/>
        <v>8.4564059694098706E-2</v>
      </c>
      <c r="O26" s="11"/>
      <c r="P26" s="6">
        <v>9116.93</v>
      </c>
      <c r="Q26" s="2"/>
      <c r="R26" s="7">
        <f t="shared" si="4"/>
        <v>0</v>
      </c>
      <c r="S26" s="2"/>
      <c r="T26" s="6">
        <v>7903.95</v>
      </c>
      <c r="U26" s="2"/>
      <c r="V26" s="7">
        <f t="shared" si="5"/>
        <v>0</v>
      </c>
      <c r="W26" s="2"/>
      <c r="X26" s="6">
        <f t="shared" si="6"/>
        <v>1212.9800000000005</v>
      </c>
      <c r="Y26" s="2"/>
      <c r="Z26" s="7">
        <f t="shared" si="7"/>
        <v>0.15346503963208274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716.34</v>
      </c>
      <c r="E27" s="2"/>
      <c r="F27" s="7">
        <f t="shared" si="0"/>
        <v>0</v>
      </c>
      <c r="G27" s="2"/>
      <c r="H27" s="6">
        <v>657.06</v>
      </c>
      <c r="I27" s="2"/>
      <c r="J27" s="7">
        <f t="shared" si="1"/>
        <v>0</v>
      </c>
      <c r="K27" s="2"/>
      <c r="L27" s="6">
        <f t="shared" si="2"/>
        <v>59.280000000000086</v>
      </c>
      <c r="M27" s="2"/>
      <c r="N27" s="7">
        <f t="shared" si="3"/>
        <v>9.0220071226372156E-2</v>
      </c>
      <c r="O27" s="11"/>
      <c r="P27" s="6">
        <v>5902.4</v>
      </c>
      <c r="Q27" s="2"/>
      <c r="R27" s="7">
        <f t="shared" si="4"/>
        <v>0</v>
      </c>
      <c r="S27" s="2"/>
      <c r="T27" s="6">
        <v>6261.49</v>
      </c>
      <c r="U27" s="2"/>
      <c r="V27" s="7">
        <f t="shared" si="5"/>
        <v>0</v>
      </c>
      <c r="W27" s="2"/>
      <c r="X27" s="6">
        <f t="shared" si="6"/>
        <v>-359.09000000000015</v>
      </c>
      <c r="Y27" s="2"/>
      <c r="Z27" s="7">
        <f t="shared" si="7"/>
        <v>-5.7348969654187766E-2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428.61</v>
      </c>
      <c r="E28" s="2"/>
      <c r="F28" s="7">
        <f t="shared" si="0"/>
        <v>0</v>
      </c>
      <c r="G28" s="2"/>
      <c r="H28" s="6">
        <v>303.17</v>
      </c>
      <c r="I28" s="2"/>
      <c r="J28" s="7">
        <f t="shared" si="1"/>
        <v>0</v>
      </c>
      <c r="K28" s="2"/>
      <c r="L28" s="6">
        <f t="shared" si="2"/>
        <v>125.44</v>
      </c>
      <c r="M28" s="2"/>
      <c r="N28" s="7">
        <f t="shared" si="3"/>
        <v>0.41376125606095587</v>
      </c>
      <c r="O28" s="11"/>
      <c r="P28" s="6">
        <v>2199.66</v>
      </c>
      <c r="Q28" s="2"/>
      <c r="R28" s="7">
        <f t="shared" si="4"/>
        <v>0</v>
      </c>
      <c r="S28" s="2"/>
      <c r="T28" s="6">
        <v>3208.75</v>
      </c>
      <c r="U28" s="2"/>
      <c r="V28" s="7">
        <f t="shared" si="5"/>
        <v>0</v>
      </c>
      <c r="W28" s="2"/>
      <c r="X28" s="6">
        <f t="shared" si="6"/>
        <v>-1009.0900000000001</v>
      </c>
      <c r="Y28" s="2"/>
      <c r="Z28" s="7">
        <f t="shared" si="7"/>
        <v>-0.31448071679002731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24807.550000000003</v>
      </c>
      <c r="E29" s="1"/>
      <c r="F29" s="5">
        <f t="shared" ref="F29:F35" si="8">IF(D$12=0,0,D29/D$12)</f>
        <v>0</v>
      </c>
      <c r="G29" s="1"/>
      <c r="H29" s="1">
        <f>SUM(OSRRefH22_1x_0)</f>
        <v>18981.91</v>
      </c>
      <c r="I29" s="1"/>
      <c r="J29" s="5">
        <f t="shared" ref="J29:J35" si="9">IF(H$12=0,0,H29/H$12)</f>
        <v>0</v>
      </c>
      <c r="K29" s="1"/>
      <c r="L29" s="1">
        <f t="shared" ref="L29:L35" si="10">+D29-H29</f>
        <v>5825.6400000000031</v>
      </c>
      <c r="M29" s="1"/>
      <c r="N29" s="5">
        <f t="shared" ref="N29:N35" si="11">IF(H29=0,0,L29/H29)</f>
        <v>0.30690483728981977</v>
      </c>
      <c r="O29" s="13"/>
      <c r="P29" s="1">
        <f>SUM(OSRRefP22_1x_0)</f>
        <v>164164.9</v>
      </c>
      <c r="Q29" s="1"/>
      <c r="R29" s="5">
        <f t="shared" ref="R29:R35" si="12">IF(P$12=0,0,P29/P$12)</f>
        <v>0</v>
      </c>
      <c r="S29" s="1"/>
      <c r="T29" s="1">
        <f>SUM(OSRRefT22_1x_0)</f>
        <v>123715.54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40449.360000000001</v>
      </c>
      <c r="Y29" s="1"/>
      <c r="Z29" s="5">
        <f t="shared" ref="Z29:Z35" si="15">IF(T29=0,0,X29/T29)</f>
        <v>0.32695456043759741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7932.49</v>
      </c>
      <c r="E30" s="2"/>
      <c r="F30" s="7">
        <f t="shared" si="8"/>
        <v>0</v>
      </c>
      <c r="G30" s="2"/>
      <c r="H30" s="6">
        <v>8129.3</v>
      </c>
      <c r="I30" s="2"/>
      <c r="J30" s="7">
        <f t="shared" si="9"/>
        <v>0</v>
      </c>
      <c r="K30" s="2"/>
      <c r="L30" s="6">
        <f t="shared" si="10"/>
        <v>-196.8100000000004</v>
      </c>
      <c r="M30" s="2"/>
      <c r="N30" s="7">
        <f t="shared" si="11"/>
        <v>-2.420995657682708E-2</v>
      </c>
      <c r="O30" s="11"/>
      <c r="P30" s="6">
        <v>48476.34</v>
      </c>
      <c r="Q30" s="2"/>
      <c r="R30" s="7">
        <f t="shared" si="12"/>
        <v>0</v>
      </c>
      <c r="S30" s="2"/>
      <c r="T30" s="6">
        <v>49203.67</v>
      </c>
      <c r="U30" s="2"/>
      <c r="V30" s="7">
        <f t="shared" si="13"/>
        <v>0</v>
      </c>
      <c r="W30" s="2"/>
      <c r="X30" s="6">
        <f t="shared" si="14"/>
        <v>-727.33000000000175</v>
      </c>
      <c r="Y30" s="2"/>
      <c r="Z30" s="7">
        <f t="shared" si="15"/>
        <v>-1.4782027438197228E-2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3776.3</v>
      </c>
      <c r="E31" s="2"/>
      <c r="F31" s="7">
        <f t="shared" si="8"/>
        <v>0</v>
      </c>
      <c r="G31" s="2"/>
      <c r="H31" s="6">
        <v>3081.76</v>
      </c>
      <c r="I31" s="2"/>
      <c r="J31" s="7">
        <f t="shared" si="9"/>
        <v>0</v>
      </c>
      <c r="K31" s="2"/>
      <c r="L31" s="6">
        <f t="shared" si="10"/>
        <v>694.54</v>
      </c>
      <c r="M31" s="2"/>
      <c r="N31" s="7">
        <f t="shared" si="11"/>
        <v>0.2253712164477441</v>
      </c>
      <c r="O31" s="11"/>
      <c r="P31" s="6">
        <v>26462.649999999998</v>
      </c>
      <c r="Q31" s="2"/>
      <c r="R31" s="7">
        <f t="shared" si="12"/>
        <v>0</v>
      </c>
      <c r="S31" s="2"/>
      <c r="T31" s="6">
        <v>21572.32</v>
      </c>
      <c r="U31" s="2"/>
      <c r="V31" s="7">
        <f t="shared" si="13"/>
        <v>0</v>
      </c>
      <c r="W31" s="2"/>
      <c r="X31" s="6">
        <f t="shared" si="14"/>
        <v>4890.3299999999981</v>
      </c>
      <c r="Y31" s="2"/>
      <c r="Z31" s="7">
        <f t="shared" si="15"/>
        <v>0.22669467169038834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>
        <v>1730.4</v>
      </c>
      <c r="E32" s="2"/>
      <c r="F32" s="7">
        <f t="shared" si="8"/>
        <v>0</v>
      </c>
      <c r="G32" s="2"/>
      <c r="H32" s="6">
        <v>1860.99</v>
      </c>
      <c r="I32" s="2"/>
      <c r="J32" s="7">
        <f t="shared" si="9"/>
        <v>0</v>
      </c>
      <c r="K32" s="2"/>
      <c r="L32" s="6">
        <f t="shared" si="10"/>
        <v>-130.58999999999992</v>
      </c>
      <c r="M32" s="2"/>
      <c r="N32" s="7">
        <f t="shared" si="11"/>
        <v>-7.0172327632066753E-2</v>
      </c>
      <c r="O32" s="11"/>
      <c r="P32" s="6">
        <v>13727.84</v>
      </c>
      <c r="Q32" s="2"/>
      <c r="R32" s="7">
        <f t="shared" si="12"/>
        <v>0</v>
      </c>
      <c r="S32" s="2"/>
      <c r="T32" s="6">
        <v>10516.63</v>
      </c>
      <c r="U32" s="2"/>
      <c r="V32" s="7">
        <f t="shared" si="13"/>
        <v>0</v>
      </c>
      <c r="W32" s="2"/>
      <c r="X32" s="6">
        <f t="shared" si="14"/>
        <v>3211.2100000000009</v>
      </c>
      <c r="Y32" s="2"/>
      <c r="Z32" s="7">
        <f t="shared" si="15"/>
        <v>0.30534591404280659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>
        <v>10087.86</v>
      </c>
      <c r="E33" s="2"/>
      <c r="F33" s="7">
        <f t="shared" si="8"/>
        <v>0</v>
      </c>
      <c r="G33" s="2"/>
      <c r="H33" s="6">
        <v>5599.36</v>
      </c>
      <c r="I33" s="2"/>
      <c r="J33" s="7">
        <f t="shared" si="9"/>
        <v>0</v>
      </c>
      <c r="K33" s="2"/>
      <c r="L33" s="6">
        <f t="shared" si="10"/>
        <v>4488.5000000000009</v>
      </c>
      <c r="M33" s="2"/>
      <c r="N33" s="7">
        <f t="shared" si="11"/>
        <v>0.80160946965367497</v>
      </c>
      <c r="O33" s="11"/>
      <c r="P33" s="6">
        <v>63646.749999999993</v>
      </c>
      <c r="Q33" s="2"/>
      <c r="R33" s="7">
        <f t="shared" si="12"/>
        <v>0</v>
      </c>
      <c r="S33" s="2"/>
      <c r="T33" s="6">
        <v>39112.17</v>
      </c>
      <c r="U33" s="2"/>
      <c r="V33" s="7">
        <f t="shared" si="13"/>
        <v>0</v>
      </c>
      <c r="W33" s="2"/>
      <c r="X33" s="6">
        <f t="shared" si="14"/>
        <v>24534.579999999994</v>
      </c>
      <c r="Y33" s="2"/>
      <c r="Z33" s="7">
        <f t="shared" si="15"/>
        <v>0.62728761917326492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310.5</v>
      </c>
      <c r="I34" s="2"/>
      <c r="J34" s="7">
        <f t="shared" si="9"/>
        <v>0</v>
      </c>
      <c r="K34" s="2"/>
      <c r="L34" s="6">
        <f t="shared" si="10"/>
        <v>-310.5</v>
      </c>
      <c r="M34" s="2"/>
      <c r="N34" s="7">
        <f t="shared" si="11"/>
        <v>-1</v>
      </c>
      <c r="O34" s="11"/>
      <c r="P34" s="6">
        <v>1236.8800000000001</v>
      </c>
      <c r="Q34" s="2"/>
      <c r="R34" s="7">
        <f t="shared" si="12"/>
        <v>0</v>
      </c>
      <c r="S34" s="2"/>
      <c r="T34" s="6">
        <v>1176.75</v>
      </c>
      <c r="U34" s="2"/>
      <c r="V34" s="7">
        <f t="shared" si="13"/>
        <v>0</v>
      </c>
      <c r="W34" s="2"/>
      <c r="X34" s="6">
        <f t="shared" si="14"/>
        <v>60.130000000000109</v>
      </c>
      <c r="Y34" s="2"/>
      <c r="Z34" s="7">
        <f t="shared" si="15"/>
        <v>5.1098364138517198E-2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1280.5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1280.5</v>
      </c>
      <c r="M35" s="2"/>
      <c r="N35" s="7">
        <f t="shared" si="11"/>
        <v>0</v>
      </c>
      <c r="O35" s="11"/>
      <c r="P35" s="6">
        <v>10614.44</v>
      </c>
      <c r="Q35" s="2"/>
      <c r="R35" s="7">
        <f t="shared" si="12"/>
        <v>0</v>
      </c>
      <c r="S35" s="2"/>
      <c r="T35" s="6">
        <v>2134</v>
      </c>
      <c r="U35" s="2"/>
      <c r="V35" s="7">
        <f t="shared" si="13"/>
        <v>0</v>
      </c>
      <c r="W35" s="2"/>
      <c r="X35" s="6">
        <f t="shared" si="14"/>
        <v>8480.44</v>
      </c>
      <c r="Y35" s="2"/>
      <c r="Z35" s="7">
        <f t="shared" si="15"/>
        <v>3.9739643861293348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443.49</v>
      </c>
      <c r="E36" s="1"/>
      <c r="F36" s="5">
        <f t="shared" ref="F36:F41" si="16">IF(D$12=0,0,D36/D$12)</f>
        <v>0</v>
      </c>
      <c r="G36" s="1"/>
      <c r="H36" s="1">
        <f>SUM(OSRRefH22_2x_0)</f>
        <v>0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443.49</v>
      </c>
      <c r="M36" s="1"/>
      <c r="N36" s="5">
        <f t="shared" ref="N36:N41" si="19">IF(H36=0,0,L36/H36)</f>
        <v>0</v>
      </c>
      <c r="O36" s="13"/>
      <c r="P36" s="1">
        <f>SUM(OSRRefP22_2x_0)</f>
        <v>3117.4</v>
      </c>
      <c r="Q36" s="1"/>
      <c r="R36" s="5">
        <f t="shared" ref="R36:R41" si="20">IF(P$12=0,0,P36/P$12)</f>
        <v>0</v>
      </c>
      <c r="S36" s="1"/>
      <c r="T36" s="1">
        <f>SUM(OSRRefT22_2x_0)</f>
        <v>1415.16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1702.24</v>
      </c>
      <c r="Y36" s="1"/>
      <c r="Z36" s="5">
        <f t="shared" ref="Z36:Z41" si="23">IF(T36=0,0,X36/T36)</f>
        <v>1.2028604539416037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443.49</v>
      </c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443.49</v>
      </c>
      <c r="M37" s="2"/>
      <c r="N37" s="7">
        <f t="shared" si="19"/>
        <v>0</v>
      </c>
      <c r="O37" s="11"/>
      <c r="P37" s="6">
        <v>3117.4</v>
      </c>
      <c r="Q37" s="2"/>
      <c r="R37" s="7">
        <f t="shared" si="20"/>
        <v>0</v>
      </c>
      <c r="S37" s="2"/>
      <c r="T37" s="6">
        <v>1415.16</v>
      </c>
      <c r="U37" s="2"/>
      <c r="V37" s="7">
        <f t="shared" si="21"/>
        <v>0</v>
      </c>
      <c r="W37" s="2"/>
      <c r="X37" s="6">
        <f t="shared" si="22"/>
        <v>1702.24</v>
      </c>
      <c r="Y37" s="2"/>
      <c r="Z37" s="7">
        <f t="shared" si="23"/>
        <v>1.2028604539416037</v>
      </c>
    </row>
    <row r="38" spans="1:26" s="27" customFormat="1" outlineLevel="1" collapsed="1" x14ac:dyDescent="0.25">
      <c r="A38" s="25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7262.6799999999994</v>
      </c>
      <c r="E38" s="1"/>
      <c r="F38" s="5">
        <f t="shared" si="16"/>
        <v>0</v>
      </c>
      <c r="G38" s="1"/>
      <c r="H38" s="1">
        <f>SUM(OSRRefH22_3x_0)</f>
        <v>7198.51</v>
      </c>
      <c r="I38" s="1"/>
      <c r="J38" s="5">
        <f t="shared" si="17"/>
        <v>0</v>
      </c>
      <c r="K38" s="1"/>
      <c r="L38" s="1">
        <f t="shared" si="18"/>
        <v>64.169999999999163</v>
      </c>
      <c r="M38" s="1"/>
      <c r="N38" s="5">
        <f t="shared" si="19"/>
        <v>8.9143447741267517E-3</v>
      </c>
      <c r="O38" s="13"/>
      <c r="P38" s="1">
        <f>SUM(OSRRefP22_3x_0)</f>
        <v>41370.880000000005</v>
      </c>
      <c r="Q38" s="1"/>
      <c r="R38" s="5">
        <f t="shared" si="20"/>
        <v>0</v>
      </c>
      <c r="S38" s="1"/>
      <c r="T38" s="1">
        <f>SUM(OSRRefT22_3x_0)</f>
        <v>62164.92</v>
      </c>
      <c r="U38" s="1"/>
      <c r="V38" s="5">
        <f t="shared" si="21"/>
        <v>0</v>
      </c>
      <c r="W38" s="1"/>
      <c r="X38" s="1">
        <f t="shared" si="22"/>
        <v>-20794.039999999994</v>
      </c>
      <c r="Y38" s="1"/>
      <c r="Z38" s="5">
        <f t="shared" si="23"/>
        <v>-0.3344979773158237</v>
      </c>
    </row>
    <row r="39" spans="1:26" s="24" customFormat="1" hidden="1" outlineLevel="2" x14ac:dyDescent="0.25">
      <c r="A39" s="26"/>
      <c r="B39" s="11" t="str">
        <f>CONCATENATE("          ", "6321", " - ", "BUILDING DEPRECIATION")</f>
        <v xml:space="preserve">          6321 - BUILDING DEPRECIATION</v>
      </c>
      <c r="C39" s="11"/>
      <c r="D39" s="6">
        <v>2266.9499999999998</v>
      </c>
      <c r="E39" s="2"/>
      <c r="F39" s="7">
        <f t="shared" si="16"/>
        <v>0</v>
      </c>
      <c r="G39" s="2"/>
      <c r="H39" s="6">
        <v>4040.07</v>
      </c>
      <c r="I39" s="2"/>
      <c r="J39" s="7">
        <f t="shared" si="17"/>
        <v>0</v>
      </c>
      <c r="K39" s="2"/>
      <c r="L39" s="6">
        <f t="shared" si="18"/>
        <v>-1773.1200000000003</v>
      </c>
      <c r="M39" s="2"/>
      <c r="N39" s="7">
        <f t="shared" si="19"/>
        <v>-0.43888348469209698</v>
      </c>
      <c r="O39" s="11"/>
      <c r="P39" s="6">
        <v>13601.7</v>
      </c>
      <c r="Q39" s="2"/>
      <c r="R39" s="7">
        <f t="shared" si="20"/>
        <v>0</v>
      </c>
      <c r="S39" s="2"/>
      <c r="T39" s="6">
        <v>43214.28</v>
      </c>
      <c r="U39" s="2"/>
      <c r="V39" s="7">
        <f t="shared" si="21"/>
        <v>0</v>
      </c>
      <c r="W39" s="2"/>
      <c r="X39" s="6">
        <f t="shared" si="22"/>
        <v>-29612.579999999998</v>
      </c>
      <c r="Y39" s="2"/>
      <c r="Z39" s="7">
        <f t="shared" si="23"/>
        <v>-0.68524987573552076</v>
      </c>
    </row>
    <row r="40" spans="1:26" s="24" customFormat="1" hidden="1" outlineLevel="2" x14ac:dyDescent="0.25">
      <c r="A40" s="26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4571.4799999999996</v>
      </c>
      <c r="E40" s="2"/>
      <c r="F40" s="7">
        <f t="shared" si="16"/>
        <v>0</v>
      </c>
      <c r="G40" s="2"/>
      <c r="H40" s="6">
        <v>2734.19</v>
      </c>
      <c r="I40" s="2"/>
      <c r="J40" s="7">
        <f t="shared" si="17"/>
        <v>0</v>
      </c>
      <c r="K40" s="2"/>
      <c r="L40" s="6">
        <f t="shared" si="18"/>
        <v>1837.2899999999995</v>
      </c>
      <c r="M40" s="2"/>
      <c r="N40" s="7">
        <f t="shared" si="19"/>
        <v>0.6719686634798604</v>
      </c>
      <c r="O40" s="11"/>
      <c r="P40" s="6">
        <v>25223.68</v>
      </c>
      <c r="Q40" s="2"/>
      <c r="R40" s="7">
        <f t="shared" si="20"/>
        <v>0</v>
      </c>
      <c r="S40" s="2"/>
      <c r="T40" s="6">
        <v>16405.14</v>
      </c>
      <c r="U40" s="2"/>
      <c r="V40" s="7">
        <f t="shared" si="21"/>
        <v>0</v>
      </c>
      <c r="W40" s="2"/>
      <c r="X40" s="6">
        <f t="shared" si="22"/>
        <v>8818.5400000000009</v>
      </c>
      <c r="Y40" s="2"/>
      <c r="Z40" s="7">
        <f t="shared" si="23"/>
        <v>0.53754737844358547</v>
      </c>
    </row>
    <row r="41" spans="1:26" s="24" customFormat="1" hidden="1" outlineLevel="2" x14ac:dyDescent="0.25">
      <c r="A41" s="26"/>
      <c r="B41" s="11" t="str">
        <f>CONCATENATE("          ", "6326", " - ", "VEHICLES DEPRECIATION EXPENSE")</f>
        <v xml:space="preserve">          6326 - VEHICLES DEPRECIATION EXPENSE</v>
      </c>
      <c r="C41" s="11"/>
      <c r="D41" s="6">
        <v>424.25</v>
      </c>
      <c r="E41" s="2"/>
      <c r="F41" s="7">
        <f t="shared" si="16"/>
        <v>0</v>
      </c>
      <c r="G41" s="2"/>
      <c r="H41" s="6">
        <v>424.25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2545.5</v>
      </c>
      <c r="Q41" s="2"/>
      <c r="R41" s="7">
        <f t="shared" si="20"/>
        <v>0</v>
      </c>
      <c r="S41" s="2"/>
      <c r="T41" s="6">
        <v>2545.5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7" customFormat="1" outlineLevel="1" collapsed="1" x14ac:dyDescent="0.25">
      <c r="A42" s="25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SUM(OSRRefD22_4x_0)</f>
        <v>0</v>
      </c>
      <c r="E42" s="1"/>
      <c r="F42" s="5">
        <f t="shared" ref="F42:F59" si="24">IF(D$12=0,0,D42/D$12)</f>
        <v>0</v>
      </c>
      <c r="G42" s="1"/>
      <c r="H42" s="1">
        <f>SUM(OSRRefH22_4x_0)</f>
        <v>0</v>
      </c>
      <c r="I42" s="1"/>
      <c r="J42" s="5">
        <f t="shared" ref="J42:J59" si="25">IF(H$12=0,0,H42/H$12)</f>
        <v>0</v>
      </c>
      <c r="K42" s="1"/>
      <c r="L42" s="1">
        <f t="shared" ref="L42:L59" si="26">+D42-H42</f>
        <v>0</v>
      </c>
      <c r="M42" s="1"/>
      <c r="N42" s="5">
        <f t="shared" ref="N42:N59" si="27">IF(H42=0,0,L42/H42)</f>
        <v>0</v>
      </c>
      <c r="O42" s="13"/>
      <c r="P42" s="1">
        <f>SUM(OSRRefP22_4x_0)</f>
        <v>163.68</v>
      </c>
      <c r="Q42" s="1"/>
      <c r="R42" s="5">
        <f t="shared" ref="R42:R59" si="28">IF(P$12=0,0,P42/P$12)</f>
        <v>0</v>
      </c>
      <c r="S42" s="1"/>
      <c r="T42" s="1">
        <f>SUM(OSRRefT22_4x_0)</f>
        <v>688.24</v>
      </c>
      <c r="U42" s="1"/>
      <c r="V42" s="5">
        <f t="shared" ref="V42:V59" si="29">IF(T$12=0,0,T42/T$12)</f>
        <v>0</v>
      </c>
      <c r="W42" s="1"/>
      <c r="X42" s="1">
        <f t="shared" ref="X42:X59" si="30">+P42-T42</f>
        <v>-524.55999999999995</v>
      </c>
      <c r="Y42" s="1"/>
      <c r="Z42" s="5">
        <f t="shared" ref="Z42:Z59" si="31">IF(T42=0,0,X42/T42)</f>
        <v>-0.76217598512146911</v>
      </c>
    </row>
    <row r="43" spans="1:26" s="24" customFormat="1" hidden="1" outlineLevel="2" x14ac:dyDescent="0.25">
      <c r="A43" s="26"/>
      <c r="B43" s="11" t="str">
        <f>CONCATENATE("          ", "6399", " - ", "DONATION-ON CAMPUS")</f>
        <v xml:space="preserve">          6399 - DONATION-ON CAMPUS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>
        <v>163.68</v>
      </c>
      <c r="Q43" s="2"/>
      <c r="R43" s="7">
        <f t="shared" si="28"/>
        <v>0</v>
      </c>
      <c r="S43" s="2"/>
      <c r="T43" s="6">
        <v>688.24</v>
      </c>
      <c r="U43" s="2"/>
      <c r="V43" s="7">
        <f t="shared" si="29"/>
        <v>0</v>
      </c>
      <c r="W43" s="2"/>
      <c r="X43" s="6">
        <f t="shared" si="30"/>
        <v>-524.55999999999995</v>
      </c>
      <c r="Y43" s="2"/>
      <c r="Z43" s="7">
        <f t="shared" si="31"/>
        <v>-0.76217598512146911</v>
      </c>
    </row>
    <row r="44" spans="1:26" s="27" customFormat="1" outlineLevel="1" collapsed="1" x14ac:dyDescent="0.25">
      <c r="A44" s="25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SUM(OSRRefD22_5x_0)</f>
        <v>47.01</v>
      </c>
      <c r="E44" s="1"/>
      <c r="F44" s="5">
        <f t="shared" si="24"/>
        <v>0</v>
      </c>
      <c r="G44" s="1"/>
      <c r="H44" s="1">
        <f>SUM(OSRRefH22_5x_0)</f>
        <v>91.47</v>
      </c>
      <c r="I44" s="1"/>
      <c r="J44" s="5">
        <f t="shared" si="25"/>
        <v>0</v>
      </c>
      <c r="K44" s="1"/>
      <c r="L44" s="1">
        <f t="shared" si="26"/>
        <v>-44.46</v>
      </c>
      <c r="M44" s="1"/>
      <c r="N44" s="5">
        <f t="shared" si="27"/>
        <v>-0.48606100360774024</v>
      </c>
      <c r="O44" s="13"/>
      <c r="P44" s="1">
        <f>SUM(OSRRefP22_5x_0)</f>
        <v>366.16</v>
      </c>
      <c r="Q44" s="1"/>
      <c r="R44" s="5">
        <f t="shared" si="28"/>
        <v>0</v>
      </c>
      <c r="S44" s="1"/>
      <c r="T44" s="1">
        <f>SUM(OSRRefT22_5x_0)</f>
        <v>864.68</v>
      </c>
      <c r="U44" s="1"/>
      <c r="V44" s="5">
        <f t="shared" si="29"/>
        <v>0</v>
      </c>
      <c r="W44" s="1"/>
      <c r="X44" s="1">
        <f t="shared" si="30"/>
        <v>-498.51999999999992</v>
      </c>
      <c r="Y44" s="1"/>
      <c r="Z44" s="5">
        <f t="shared" si="31"/>
        <v>-0.57653698478049675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6">
        <v>47.01</v>
      </c>
      <c r="E45" s="2"/>
      <c r="F45" s="7">
        <f t="shared" si="24"/>
        <v>0</v>
      </c>
      <c r="G45" s="2"/>
      <c r="H45" s="6">
        <v>91.47</v>
      </c>
      <c r="I45" s="2"/>
      <c r="J45" s="7">
        <f t="shared" si="25"/>
        <v>0</v>
      </c>
      <c r="K45" s="2"/>
      <c r="L45" s="6">
        <f t="shared" si="26"/>
        <v>-44.46</v>
      </c>
      <c r="M45" s="2"/>
      <c r="N45" s="7">
        <f t="shared" si="27"/>
        <v>-0.48606100360774024</v>
      </c>
      <c r="O45" s="11"/>
      <c r="P45" s="6">
        <v>366.16</v>
      </c>
      <c r="Q45" s="2"/>
      <c r="R45" s="7">
        <f t="shared" si="28"/>
        <v>0</v>
      </c>
      <c r="S45" s="2"/>
      <c r="T45" s="6">
        <v>864.68</v>
      </c>
      <c r="U45" s="2"/>
      <c r="V45" s="7">
        <f t="shared" si="29"/>
        <v>0</v>
      </c>
      <c r="W45" s="2"/>
      <c r="X45" s="6">
        <f t="shared" si="30"/>
        <v>-498.51999999999992</v>
      </c>
      <c r="Y45" s="2"/>
      <c r="Z45" s="7">
        <f t="shared" si="31"/>
        <v>-0.57653698478049675</v>
      </c>
    </row>
    <row r="46" spans="1:26" s="27" customFormat="1" outlineLevel="1" collapsed="1" x14ac:dyDescent="0.25">
      <c r="A46" s="25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SUM(OSRRefD22_6x_0)</f>
        <v>1085.58</v>
      </c>
      <c r="E46" s="1"/>
      <c r="F46" s="5">
        <f t="shared" si="24"/>
        <v>0</v>
      </c>
      <c r="G46" s="1"/>
      <c r="H46" s="1">
        <f>SUM(OSRRefH22_6x_0)</f>
        <v>574.14</v>
      </c>
      <c r="I46" s="1"/>
      <c r="J46" s="5">
        <f t="shared" si="25"/>
        <v>0</v>
      </c>
      <c r="K46" s="1"/>
      <c r="L46" s="1">
        <f t="shared" si="26"/>
        <v>511.43999999999994</v>
      </c>
      <c r="M46" s="1"/>
      <c r="N46" s="5">
        <f t="shared" si="27"/>
        <v>0.89079318633086002</v>
      </c>
      <c r="O46" s="13"/>
      <c r="P46" s="1">
        <f>SUM(OSRRefP22_6x_0)</f>
        <v>6596.19</v>
      </c>
      <c r="Q46" s="1"/>
      <c r="R46" s="5">
        <f t="shared" si="28"/>
        <v>0</v>
      </c>
      <c r="S46" s="1"/>
      <c r="T46" s="1">
        <f>SUM(OSRRefT22_6x_0)</f>
        <v>5956.01</v>
      </c>
      <c r="U46" s="1"/>
      <c r="V46" s="5">
        <f t="shared" si="29"/>
        <v>0</v>
      </c>
      <c r="W46" s="1"/>
      <c r="X46" s="1">
        <f t="shared" si="30"/>
        <v>640.17999999999938</v>
      </c>
      <c r="Y46" s="1"/>
      <c r="Z46" s="5">
        <f t="shared" si="31"/>
        <v>0.10748470872278579</v>
      </c>
    </row>
    <row r="47" spans="1:26" s="24" customFormat="1" hidden="1" outlineLevel="2" x14ac:dyDescent="0.25">
      <c r="A47" s="26"/>
      <c r="B47" s="11" t="str">
        <f>CONCATENATE("          ", "6351", " - ", "EQUIPMENT RENTAL")</f>
        <v xml:space="preserve">          6351 - EQUIPMENT RENTAL</v>
      </c>
      <c r="C47" s="11"/>
      <c r="D47" s="6">
        <v>1085.58</v>
      </c>
      <c r="E47" s="2"/>
      <c r="F47" s="7">
        <f t="shared" si="24"/>
        <v>0</v>
      </c>
      <c r="G47" s="2"/>
      <c r="H47" s="6">
        <v>574.14</v>
      </c>
      <c r="I47" s="2"/>
      <c r="J47" s="7">
        <f t="shared" si="25"/>
        <v>0</v>
      </c>
      <c r="K47" s="2"/>
      <c r="L47" s="6">
        <f t="shared" si="26"/>
        <v>511.43999999999994</v>
      </c>
      <c r="M47" s="2"/>
      <c r="N47" s="7">
        <f t="shared" si="27"/>
        <v>0.89079318633086002</v>
      </c>
      <c r="O47" s="11"/>
      <c r="P47" s="6">
        <v>6596.19</v>
      </c>
      <c r="Q47" s="2"/>
      <c r="R47" s="7">
        <f t="shared" si="28"/>
        <v>0</v>
      </c>
      <c r="S47" s="2"/>
      <c r="T47" s="6">
        <v>5956.01</v>
      </c>
      <c r="U47" s="2"/>
      <c r="V47" s="7">
        <f t="shared" si="29"/>
        <v>0</v>
      </c>
      <c r="W47" s="2"/>
      <c r="X47" s="6">
        <f t="shared" si="30"/>
        <v>640.17999999999938</v>
      </c>
      <c r="Y47" s="2"/>
      <c r="Z47" s="7">
        <f t="shared" si="31"/>
        <v>0.10748470872278579</v>
      </c>
    </row>
    <row r="48" spans="1:26" s="27" customFormat="1" outlineLevel="1" collapsed="1" x14ac:dyDescent="0.25">
      <c r="A48" s="25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SUM(OSRRefD22_7x_0)</f>
        <v>0</v>
      </c>
      <c r="E48" s="1"/>
      <c r="F48" s="5">
        <f t="shared" si="24"/>
        <v>0</v>
      </c>
      <c r="G48" s="1"/>
      <c r="H48" s="1">
        <f>SUM(OSRRefH22_7x_0)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SUM(OSRRefP22_7x_0)</f>
        <v>0</v>
      </c>
      <c r="Q48" s="1"/>
      <c r="R48" s="5">
        <f t="shared" si="28"/>
        <v>0</v>
      </c>
      <c r="S48" s="1"/>
      <c r="T48" s="1">
        <f>SUM(OSRRefT22_7x_0)</f>
        <v>9.01</v>
      </c>
      <c r="U48" s="1"/>
      <c r="V48" s="5">
        <f t="shared" si="29"/>
        <v>0</v>
      </c>
      <c r="W48" s="1"/>
      <c r="X48" s="1">
        <f t="shared" si="30"/>
        <v>-9.01</v>
      </c>
      <c r="Y48" s="1"/>
      <c r="Z48" s="5">
        <f t="shared" si="31"/>
        <v>-1</v>
      </c>
    </row>
    <row r="49" spans="1:26" s="24" customFormat="1" hidden="1" outlineLevel="2" x14ac:dyDescent="0.25">
      <c r="A49" s="26"/>
      <c r="B49" s="11" t="str">
        <f>CONCATENATE("          ", "6307", " - ", "POSTAGE")</f>
        <v xml:space="preserve">          6307 - POSTAGE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9.01</v>
      </c>
      <c r="U49" s="2"/>
      <c r="V49" s="7">
        <f t="shared" si="29"/>
        <v>0</v>
      </c>
      <c r="W49" s="2"/>
      <c r="X49" s="6">
        <f t="shared" si="30"/>
        <v>-9.01</v>
      </c>
      <c r="Y49" s="2"/>
      <c r="Z49" s="7">
        <f t="shared" si="31"/>
        <v>-1</v>
      </c>
    </row>
    <row r="50" spans="1:26" s="27" customFormat="1" outlineLevel="1" collapsed="1" x14ac:dyDescent="0.25">
      <c r="A50" s="25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43.9</v>
      </c>
      <c r="E50" s="1"/>
      <c r="F50" s="5">
        <f t="shared" si="24"/>
        <v>0</v>
      </c>
      <c r="G50" s="1"/>
      <c r="H50" s="1">
        <f>SUM(OSRRefH22_8x_0)</f>
        <v>2935</v>
      </c>
      <c r="I50" s="1"/>
      <c r="J50" s="5">
        <f t="shared" si="25"/>
        <v>0</v>
      </c>
      <c r="K50" s="1"/>
      <c r="L50" s="1">
        <f t="shared" si="26"/>
        <v>-2891.1</v>
      </c>
      <c r="M50" s="1"/>
      <c r="N50" s="5">
        <f t="shared" si="27"/>
        <v>-0.98504258943781942</v>
      </c>
      <c r="O50" s="13"/>
      <c r="P50" s="1">
        <f>SUM(OSRRefP22_8x_0)</f>
        <v>20070.129999999997</v>
      </c>
      <c r="Q50" s="1"/>
      <c r="R50" s="5">
        <f t="shared" si="28"/>
        <v>0</v>
      </c>
      <c r="S50" s="1"/>
      <c r="T50" s="1">
        <f>SUM(OSRRefT22_8x_0)</f>
        <v>2935</v>
      </c>
      <c r="U50" s="1"/>
      <c r="V50" s="5">
        <f t="shared" si="29"/>
        <v>0</v>
      </c>
      <c r="W50" s="1"/>
      <c r="X50" s="1">
        <f t="shared" si="30"/>
        <v>17135.129999999997</v>
      </c>
      <c r="Y50" s="1"/>
      <c r="Z50" s="5">
        <f t="shared" si="31"/>
        <v>5.8382044293015323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>
        <v>43.9</v>
      </c>
      <c r="E51" s="2"/>
      <c r="F51" s="7">
        <f t="shared" si="24"/>
        <v>0</v>
      </c>
      <c r="G51" s="2"/>
      <c r="H51" s="6">
        <v>2935</v>
      </c>
      <c r="I51" s="2"/>
      <c r="J51" s="7">
        <f t="shared" si="25"/>
        <v>0</v>
      </c>
      <c r="K51" s="2"/>
      <c r="L51" s="6">
        <f t="shared" si="26"/>
        <v>-2891.1</v>
      </c>
      <c r="M51" s="2"/>
      <c r="N51" s="7">
        <f t="shared" si="27"/>
        <v>-0.98504258943781942</v>
      </c>
      <c r="O51" s="11"/>
      <c r="P51" s="6">
        <v>20070.129999999997</v>
      </c>
      <c r="Q51" s="2"/>
      <c r="R51" s="7">
        <f t="shared" si="28"/>
        <v>0</v>
      </c>
      <c r="S51" s="2"/>
      <c r="T51" s="6">
        <v>2935</v>
      </c>
      <c r="U51" s="2"/>
      <c r="V51" s="7">
        <f t="shared" si="29"/>
        <v>0</v>
      </c>
      <c r="W51" s="2"/>
      <c r="X51" s="6">
        <f t="shared" si="30"/>
        <v>17135.129999999997</v>
      </c>
      <c r="Y51" s="2"/>
      <c r="Z51" s="7">
        <f t="shared" si="31"/>
        <v>5.8382044293015323</v>
      </c>
    </row>
    <row r="52" spans="1:26" s="27" customFormat="1" outlineLevel="1" collapsed="1" x14ac:dyDescent="0.25">
      <c r="A52" s="25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SUM(OSRRefD22_9x_0)</f>
        <v>3598.85</v>
      </c>
      <c r="E52" s="1"/>
      <c r="F52" s="5">
        <f t="shared" si="24"/>
        <v>0</v>
      </c>
      <c r="G52" s="1"/>
      <c r="H52" s="1">
        <f>SUM(OSRRefH22_9x_0)</f>
        <v>3389.02</v>
      </c>
      <c r="I52" s="1"/>
      <c r="J52" s="5">
        <f t="shared" si="25"/>
        <v>0</v>
      </c>
      <c r="K52" s="1"/>
      <c r="L52" s="1">
        <f t="shared" si="26"/>
        <v>209.82999999999993</v>
      </c>
      <c r="M52" s="1"/>
      <c r="N52" s="5">
        <f t="shared" si="27"/>
        <v>6.191465379372206E-2</v>
      </c>
      <c r="O52" s="13"/>
      <c r="P52" s="1">
        <f>SUM(OSRRefP22_9x_0)</f>
        <v>21593.1</v>
      </c>
      <c r="Q52" s="1"/>
      <c r="R52" s="5">
        <f t="shared" si="28"/>
        <v>0</v>
      </c>
      <c r="S52" s="1"/>
      <c r="T52" s="1">
        <f>SUM(OSRRefT22_9x_0)</f>
        <v>24922.12</v>
      </c>
      <c r="U52" s="1"/>
      <c r="V52" s="5">
        <f t="shared" si="29"/>
        <v>0</v>
      </c>
      <c r="W52" s="1"/>
      <c r="X52" s="1">
        <f t="shared" si="30"/>
        <v>-3329.0200000000004</v>
      </c>
      <c r="Y52" s="1"/>
      <c r="Z52" s="5">
        <f t="shared" si="31"/>
        <v>-0.13357691881750031</v>
      </c>
    </row>
    <row r="53" spans="1:26" s="24" customFormat="1" hidden="1" outlineLevel="2" x14ac:dyDescent="0.25">
      <c r="A53" s="26"/>
      <c r="B53" s="11" t="str">
        <f>CONCATENATE("          ", "6314", " - ", "LIABILITY INSURANCE")</f>
        <v xml:space="preserve">          6314 - LIABILITY INSURANCE</v>
      </c>
      <c r="C53" s="11"/>
      <c r="D53" s="6">
        <v>3598.85</v>
      </c>
      <c r="E53" s="2"/>
      <c r="F53" s="7">
        <f t="shared" si="24"/>
        <v>0</v>
      </c>
      <c r="G53" s="2"/>
      <c r="H53" s="6">
        <v>3389.02</v>
      </c>
      <c r="I53" s="2"/>
      <c r="J53" s="7">
        <f t="shared" si="25"/>
        <v>0</v>
      </c>
      <c r="K53" s="2"/>
      <c r="L53" s="6">
        <f t="shared" si="26"/>
        <v>209.82999999999993</v>
      </c>
      <c r="M53" s="2"/>
      <c r="N53" s="7">
        <f t="shared" si="27"/>
        <v>6.191465379372206E-2</v>
      </c>
      <c r="O53" s="11"/>
      <c r="P53" s="6">
        <v>21593.1</v>
      </c>
      <c r="Q53" s="2"/>
      <c r="R53" s="7">
        <f t="shared" si="28"/>
        <v>0</v>
      </c>
      <c r="S53" s="2"/>
      <c r="T53" s="6">
        <v>24922.12</v>
      </c>
      <c r="U53" s="2"/>
      <c r="V53" s="7">
        <f t="shared" si="29"/>
        <v>0</v>
      </c>
      <c r="W53" s="2"/>
      <c r="X53" s="6">
        <f t="shared" si="30"/>
        <v>-3329.0200000000004</v>
      </c>
      <c r="Y53" s="2"/>
      <c r="Z53" s="7">
        <f t="shared" si="31"/>
        <v>-0.13357691881750031</v>
      </c>
    </row>
    <row r="54" spans="1:26" s="27" customFormat="1" outlineLevel="1" collapsed="1" x14ac:dyDescent="0.25">
      <c r="A54" s="25"/>
      <c r="B54" s="13" t="str">
        <f>CONCATENATE("     ","Professional Services                             ")</f>
        <v xml:space="preserve">     Professional Services                             </v>
      </c>
      <c r="C54" s="13"/>
      <c r="D54" s="1">
        <f>SUM(OSRRefD22_10x_0)</f>
        <v>0</v>
      </c>
      <c r="E54" s="1"/>
      <c r="F54" s="5">
        <f t="shared" si="24"/>
        <v>0</v>
      </c>
      <c r="G54" s="1"/>
      <c r="H54" s="1">
        <f>SUM(OSRRefH22_10x_0)</f>
        <v>0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3"/>
      <c r="P54" s="1">
        <f>SUM(OSRRefP22_10x_0)</f>
        <v>125</v>
      </c>
      <c r="Q54" s="1"/>
      <c r="R54" s="5">
        <f t="shared" si="28"/>
        <v>0</v>
      </c>
      <c r="S54" s="1"/>
      <c r="T54" s="1">
        <f>SUM(OSRRefT22_10x_0)</f>
        <v>0</v>
      </c>
      <c r="U54" s="1"/>
      <c r="V54" s="5">
        <f t="shared" si="29"/>
        <v>0</v>
      </c>
      <c r="W54" s="1"/>
      <c r="X54" s="1">
        <f t="shared" si="30"/>
        <v>125</v>
      </c>
      <c r="Y54" s="1"/>
      <c r="Z54" s="5">
        <f t="shared" si="31"/>
        <v>0</v>
      </c>
    </row>
    <row r="55" spans="1:26" s="24" customFormat="1" hidden="1" outlineLevel="2" x14ac:dyDescent="0.25">
      <c r="A55" s="26"/>
      <c r="B55" s="11" t="str">
        <f>CONCATENATE("          ", "6336", " - ", "PROFESSIONAL SERVICES")</f>
        <v xml:space="preserve">          6336 - PROFESSIONAL SERVICES</v>
      </c>
      <c r="C55" s="11"/>
      <c r="D55" s="6"/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>
        <v>125</v>
      </c>
      <c r="Q55" s="2"/>
      <c r="R55" s="7">
        <f t="shared" si="28"/>
        <v>0</v>
      </c>
      <c r="S55" s="2"/>
      <c r="T55" s="6"/>
      <c r="U55" s="2"/>
      <c r="V55" s="7">
        <f t="shared" si="29"/>
        <v>0</v>
      </c>
      <c r="W55" s="2"/>
      <c r="X55" s="6">
        <f t="shared" si="30"/>
        <v>125</v>
      </c>
      <c r="Y55" s="2"/>
      <c r="Z55" s="7">
        <f t="shared" si="31"/>
        <v>0</v>
      </c>
    </row>
    <row r="56" spans="1:26" s="27" customFormat="1" outlineLevel="1" collapsed="1" x14ac:dyDescent="0.25">
      <c r="A56" s="25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SUM(OSRRefD22_11x_0)</f>
        <v>14738.580000000002</v>
      </c>
      <c r="E56" s="1"/>
      <c r="F56" s="5">
        <f t="shared" si="24"/>
        <v>0</v>
      </c>
      <c r="G56" s="1"/>
      <c r="H56" s="1">
        <f>SUM(OSRRefH22_11x_0)</f>
        <v>9621.2999999999993</v>
      </c>
      <c r="I56" s="1"/>
      <c r="J56" s="5">
        <f t="shared" si="25"/>
        <v>0</v>
      </c>
      <c r="K56" s="1"/>
      <c r="L56" s="1">
        <f t="shared" si="26"/>
        <v>5117.2800000000025</v>
      </c>
      <c r="M56" s="1"/>
      <c r="N56" s="5">
        <f t="shared" si="27"/>
        <v>0.5318699136291356</v>
      </c>
      <c r="O56" s="13"/>
      <c r="P56" s="1">
        <f>SUM(OSRRefP22_11x_0)</f>
        <v>63656.14</v>
      </c>
      <c r="Q56" s="1"/>
      <c r="R56" s="5">
        <f t="shared" si="28"/>
        <v>0</v>
      </c>
      <c r="S56" s="1"/>
      <c r="T56" s="1">
        <f>SUM(OSRRefT22_11x_0)</f>
        <v>93347.43</v>
      </c>
      <c r="U56" s="1"/>
      <c r="V56" s="5">
        <f t="shared" si="29"/>
        <v>0</v>
      </c>
      <c r="W56" s="1"/>
      <c r="X56" s="1">
        <f t="shared" si="30"/>
        <v>-29691.289999999994</v>
      </c>
      <c r="Y56" s="1"/>
      <c r="Z56" s="5">
        <f t="shared" si="31"/>
        <v>-0.31807292391445585</v>
      </c>
    </row>
    <row r="57" spans="1:26" s="24" customFormat="1" hidden="1" outlineLevel="2" x14ac:dyDescent="0.25">
      <c r="A57" s="26"/>
      <c r="B57" s="11" t="str">
        <f>CONCATENATE("          ", "6371", " - ", "COMPUTER SOFTWARE MAINTENANCE")</f>
        <v xml:space="preserve">          6371 - COMPUTER SOFTWARE MAINTENANCE</v>
      </c>
      <c r="C57" s="11"/>
      <c r="D57" s="6"/>
      <c r="E57" s="2"/>
      <c r="F57" s="7">
        <f t="shared" si="24"/>
        <v>0</v>
      </c>
      <c r="G57" s="2"/>
      <c r="H57" s="6">
        <v>2837.26</v>
      </c>
      <c r="I57" s="2"/>
      <c r="J57" s="7">
        <f t="shared" si="25"/>
        <v>0</v>
      </c>
      <c r="K57" s="2"/>
      <c r="L57" s="6">
        <f t="shared" si="26"/>
        <v>-2837.26</v>
      </c>
      <c r="M57" s="2"/>
      <c r="N57" s="7">
        <f t="shared" si="27"/>
        <v>-1</v>
      </c>
      <c r="O57" s="11"/>
      <c r="P57" s="6"/>
      <c r="Q57" s="2"/>
      <c r="R57" s="7">
        <f t="shared" si="28"/>
        <v>0</v>
      </c>
      <c r="S57" s="2"/>
      <c r="T57" s="6">
        <v>16463.21</v>
      </c>
      <c r="U57" s="2"/>
      <c r="V57" s="7">
        <f t="shared" si="29"/>
        <v>0</v>
      </c>
      <c r="W57" s="2"/>
      <c r="X57" s="6">
        <f t="shared" si="30"/>
        <v>-16463.21</v>
      </c>
      <c r="Y57" s="2"/>
      <c r="Z57" s="7">
        <f t="shared" si="31"/>
        <v>-1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6">
        <v>9288.44</v>
      </c>
      <c r="E58" s="2"/>
      <c r="F58" s="7">
        <f t="shared" si="24"/>
        <v>0</v>
      </c>
      <c r="G58" s="2"/>
      <c r="H58" s="6">
        <v>5078.71</v>
      </c>
      <c r="I58" s="2"/>
      <c r="J58" s="7">
        <f t="shared" si="25"/>
        <v>0</v>
      </c>
      <c r="K58" s="2"/>
      <c r="L58" s="6">
        <f t="shared" si="26"/>
        <v>4209.7300000000005</v>
      </c>
      <c r="M58" s="2"/>
      <c r="N58" s="7">
        <f t="shared" si="27"/>
        <v>0.82889749562388881</v>
      </c>
      <c r="O58" s="11"/>
      <c r="P58" s="6">
        <v>38499.58</v>
      </c>
      <c r="Q58" s="2"/>
      <c r="R58" s="7">
        <f t="shared" si="28"/>
        <v>0</v>
      </c>
      <c r="S58" s="2"/>
      <c r="T58" s="6">
        <v>56383.96</v>
      </c>
      <c r="U58" s="2"/>
      <c r="V58" s="7">
        <f t="shared" si="29"/>
        <v>0</v>
      </c>
      <c r="W58" s="2"/>
      <c r="X58" s="6">
        <f t="shared" si="30"/>
        <v>-17884.379999999997</v>
      </c>
      <c r="Y58" s="2"/>
      <c r="Z58" s="7">
        <f t="shared" si="31"/>
        <v>-0.31718914386289998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5450.14</v>
      </c>
      <c r="E59" s="2"/>
      <c r="F59" s="7">
        <f t="shared" si="24"/>
        <v>0</v>
      </c>
      <c r="G59" s="2"/>
      <c r="H59" s="6">
        <v>1705.33</v>
      </c>
      <c r="I59" s="2"/>
      <c r="J59" s="7">
        <f t="shared" si="25"/>
        <v>0</v>
      </c>
      <c r="K59" s="2"/>
      <c r="L59" s="6">
        <f t="shared" si="26"/>
        <v>3744.8100000000004</v>
      </c>
      <c r="M59" s="2"/>
      <c r="N59" s="7">
        <f t="shared" si="27"/>
        <v>2.1959444799540266</v>
      </c>
      <c r="O59" s="11"/>
      <c r="P59" s="6">
        <v>25156.560000000001</v>
      </c>
      <c r="Q59" s="2"/>
      <c r="R59" s="7">
        <f t="shared" si="28"/>
        <v>0</v>
      </c>
      <c r="S59" s="2"/>
      <c r="T59" s="6">
        <v>20500.259999999998</v>
      </c>
      <c r="U59" s="2"/>
      <c r="V59" s="7">
        <f t="shared" si="29"/>
        <v>0</v>
      </c>
      <c r="W59" s="2"/>
      <c r="X59" s="6">
        <f t="shared" si="30"/>
        <v>4656.3000000000029</v>
      </c>
      <c r="Y59" s="2"/>
      <c r="Z59" s="7">
        <f t="shared" si="31"/>
        <v>0.22713370464569735</v>
      </c>
    </row>
    <row r="60" spans="1:26" s="27" customFormat="1" outlineLevel="1" collapsed="1" x14ac:dyDescent="0.25">
      <c r="A60" s="25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SUM(OSRRefD22_12x_0)</f>
        <v>18900.55</v>
      </c>
      <c r="E60" s="1"/>
      <c r="F60" s="5">
        <f t="shared" ref="F60:F65" si="32">IF(D$12=0,0,D60/D$12)</f>
        <v>0</v>
      </c>
      <c r="G60" s="1"/>
      <c r="H60" s="1">
        <f>SUM(OSRRefH22_12x_0)</f>
        <v>12775.47</v>
      </c>
      <c r="I60" s="1"/>
      <c r="J60" s="5">
        <f t="shared" ref="J60:J65" si="33">IF(H$12=0,0,H60/H$12)</f>
        <v>0</v>
      </c>
      <c r="K60" s="1"/>
      <c r="L60" s="1">
        <f t="shared" ref="L60:L65" si="34">+D60-H60</f>
        <v>6125.08</v>
      </c>
      <c r="M60" s="1"/>
      <c r="N60" s="5">
        <f t="shared" ref="N60:N65" si="35">IF(H60=0,0,L60/H60)</f>
        <v>0.47944067811203817</v>
      </c>
      <c r="O60" s="13"/>
      <c r="P60" s="1">
        <f>SUM(OSRRefP22_12x_0)</f>
        <v>83470.039999999994</v>
      </c>
      <c r="Q60" s="1"/>
      <c r="R60" s="5">
        <f t="shared" ref="R60:R65" si="36">IF(P$12=0,0,P60/P$12)</f>
        <v>0</v>
      </c>
      <c r="S60" s="1"/>
      <c r="T60" s="1">
        <f>SUM(OSRRefT22_12x_0)</f>
        <v>89672.209999999992</v>
      </c>
      <c r="U60" s="1"/>
      <c r="V60" s="5">
        <f t="shared" ref="V60:V65" si="37">IF(T$12=0,0,T60/T$12)</f>
        <v>0</v>
      </c>
      <c r="W60" s="1"/>
      <c r="X60" s="1">
        <f t="shared" ref="X60:X65" si="38">+P60-T60</f>
        <v>-6202.1699999999983</v>
      </c>
      <c r="Y60" s="1"/>
      <c r="Z60" s="5">
        <f t="shared" ref="Z60:Z65" si="39">IF(T60=0,0,X60/T60)</f>
        <v>-6.9164906273638166E-2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6">
        <v>1252.52</v>
      </c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1252.52</v>
      </c>
      <c r="M61" s="2"/>
      <c r="N61" s="7">
        <f t="shared" si="35"/>
        <v>0</v>
      </c>
      <c r="O61" s="11"/>
      <c r="P61" s="6">
        <v>4383.82</v>
      </c>
      <c r="Q61" s="2"/>
      <c r="R61" s="7">
        <f t="shared" si="36"/>
        <v>0</v>
      </c>
      <c r="S61" s="2"/>
      <c r="T61" s="6">
        <v>3131.3</v>
      </c>
      <c r="U61" s="2"/>
      <c r="V61" s="7">
        <f t="shared" si="37"/>
        <v>0</v>
      </c>
      <c r="W61" s="2"/>
      <c r="X61" s="6">
        <f t="shared" si="38"/>
        <v>1252.5199999999995</v>
      </c>
      <c r="Y61" s="2"/>
      <c r="Z61" s="7">
        <f t="shared" si="39"/>
        <v>0.3999999999999998</v>
      </c>
    </row>
    <row r="62" spans="1:26" s="24" customFormat="1" hidden="1" outlineLevel="2" x14ac:dyDescent="0.25">
      <c r="A62" s="26"/>
      <c r="B62" s="11" t="str">
        <f>CONCATENATE("          ", "6283", " - ", "PLANT SERVICE")</f>
        <v xml:space="preserve">          6283 - PLANT SERVICE</v>
      </c>
      <c r="C62" s="11"/>
      <c r="D62" s="6"/>
      <c r="E62" s="2"/>
      <c r="F62" s="7">
        <f t="shared" si="32"/>
        <v>0</v>
      </c>
      <c r="G62" s="2"/>
      <c r="H62" s="6">
        <v>33</v>
      </c>
      <c r="I62" s="2"/>
      <c r="J62" s="7">
        <f t="shared" si="33"/>
        <v>0</v>
      </c>
      <c r="K62" s="2"/>
      <c r="L62" s="6">
        <f t="shared" si="34"/>
        <v>-33</v>
      </c>
      <c r="M62" s="2"/>
      <c r="N62" s="7">
        <f t="shared" si="35"/>
        <v>-1</v>
      </c>
      <c r="O62" s="11"/>
      <c r="P62" s="6">
        <v>142.12</v>
      </c>
      <c r="Q62" s="2"/>
      <c r="R62" s="7">
        <f t="shared" si="36"/>
        <v>0</v>
      </c>
      <c r="S62" s="2"/>
      <c r="T62" s="6">
        <v>198</v>
      </c>
      <c r="U62" s="2"/>
      <c r="V62" s="7">
        <f t="shared" si="37"/>
        <v>0</v>
      </c>
      <c r="W62" s="2"/>
      <c r="X62" s="6">
        <f t="shared" si="38"/>
        <v>-55.879999999999995</v>
      </c>
      <c r="Y62" s="2"/>
      <c r="Z62" s="7">
        <f t="shared" si="39"/>
        <v>-0.28222222222222221</v>
      </c>
    </row>
    <row r="63" spans="1:26" s="24" customFormat="1" hidden="1" outlineLevel="2" x14ac:dyDescent="0.25">
      <c r="A63" s="26"/>
      <c r="B63" s="11" t="str">
        <f>CONCATENATE("          ", "6284", " - ", "TRASH REMOVAL EXPENSE")</f>
        <v xml:space="preserve">          6284 - TRASH REMOVAL EXPENSE</v>
      </c>
      <c r="C63" s="11"/>
      <c r="D63" s="6">
        <v>7295</v>
      </c>
      <c r="E63" s="2"/>
      <c r="F63" s="7">
        <f t="shared" si="32"/>
        <v>0</v>
      </c>
      <c r="G63" s="2"/>
      <c r="H63" s="6">
        <v>3482</v>
      </c>
      <c r="I63" s="2"/>
      <c r="J63" s="7">
        <f t="shared" si="33"/>
        <v>0</v>
      </c>
      <c r="K63" s="2"/>
      <c r="L63" s="6">
        <f t="shared" si="34"/>
        <v>3813</v>
      </c>
      <c r="M63" s="2"/>
      <c r="N63" s="7">
        <f t="shared" si="35"/>
        <v>1.095060310166571</v>
      </c>
      <c r="O63" s="11"/>
      <c r="P63" s="6">
        <v>17741</v>
      </c>
      <c r="Q63" s="2"/>
      <c r="R63" s="7">
        <f t="shared" si="36"/>
        <v>0</v>
      </c>
      <c r="S63" s="2"/>
      <c r="T63" s="6">
        <v>29291.99</v>
      </c>
      <c r="U63" s="2"/>
      <c r="V63" s="7">
        <f t="shared" si="37"/>
        <v>0</v>
      </c>
      <c r="W63" s="2"/>
      <c r="X63" s="6">
        <f t="shared" si="38"/>
        <v>-11550.990000000002</v>
      </c>
      <c r="Y63" s="2"/>
      <c r="Z63" s="7">
        <f t="shared" si="39"/>
        <v>-0.39433954470146959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>
        <v>10278.51</v>
      </c>
      <c r="E64" s="2"/>
      <c r="F64" s="7">
        <f t="shared" si="32"/>
        <v>0</v>
      </c>
      <c r="G64" s="2"/>
      <c r="H64" s="6">
        <v>9146.7199999999993</v>
      </c>
      <c r="I64" s="2"/>
      <c r="J64" s="7">
        <f t="shared" si="33"/>
        <v>0</v>
      </c>
      <c r="K64" s="2"/>
      <c r="L64" s="6">
        <f t="shared" si="34"/>
        <v>1131.7900000000009</v>
      </c>
      <c r="M64" s="2"/>
      <c r="N64" s="7">
        <f t="shared" si="35"/>
        <v>0.12373725226091986</v>
      </c>
      <c r="O64" s="11"/>
      <c r="P64" s="6">
        <v>60751.06</v>
      </c>
      <c r="Q64" s="2"/>
      <c r="R64" s="7">
        <f t="shared" si="36"/>
        <v>0</v>
      </c>
      <c r="S64" s="2"/>
      <c r="T64" s="6">
        <v>55912.659999999996</v>
      </c>
      <c r="U64" s="2"/>
      <c r="V64" s="7">
        <f t="shared" si="37"/>
        <v>0</v>
      </c>
      <c r="W64" s="2"/>
      <c r="X64" s="6">
        <f t="shared" si="38"/>
        <v>4838.4000000000015</v>
      </c>
      <c r="Y64" s="2"/>
      <c r="Z64" s="7">
        <f t="shared" si="39"/>
        <v>8.6534963637931048E-2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>
        <v>74.52</v>
      </c>
      <c r="E65" s="2"/>
      <c r="F65" s="7">
        <f t="shared" si="32"/>
        <v>0</v>
      </c>
      <c r="G65" s="2"/>
      <c r="H65" s="6">
        <v>113.75</v>
      </c>
      <c r="I65" s="2"/>
      <c r="J65" s="7">
        <f t="shared" si="33"/>
        <v>0</v>
      </c>
      <c r="K65" s="2"/>
      <c r="L65" s="6">
        <f t="shared" si="34"/>
        <v>-39.230000000000004</v>
      </c>
      <c r="M65" s="2"/>
      <c r="N65" s="7">
        <f t="shared" si="35"/>
        <v>-0.34487912087912093</v>
      </c>
      <c r="O65" s="11"/>
      <c r="P65" s="6">
        <v>452.04</v>
      </c>
      <c r="Q65" s="2"/>
      <c r="R65" s="7">
        <f t="shared" si="36"/>
        <v>0</v>
      </c>
      <c r="S65" s="2"/>
      <c r="T65" s="6">
        <v>1138.26</v>
      </c>
      <c r="U65" s="2"/>
      <c r="V65" s="7">
        <f t="shared" si="37"/>
        <v>0</v>
      </c>
      <c r="W65" s="2"/>
      <c r="X65" s="6">
        <f t="shared" si="38"/>
        <v>-686.22</v>
      </c>
      <c r="Y65" s="2"/>
      <c r="Z65" s="7">
        <f t="shared" si="39"/>
        <v>-0.60286753465816245</v>
      </c>
    </row>
    <row r="66" spans="1:26" s="27" customFormat="1" outlineLevel="1" collapsed="1" x14ac:dyDescent="0.25">
      <c r="A66" s="25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795</v>
      </c>
      <c r="E66" s="1"/>
      <c r="F66" s="5">
        <f t="shared" ref="F66:F75" si="40">IF(D$12=0,0,D66/D$12)</f>
        <v>0</v>
      </c>
      <c r="G66" s="1"/>
      <c r="H66" s="1">
        <f>SUM(OSRRefH22_13x_0)</f>
        <v>0</v>
      </c>
      <c r="I66" s="1"/>
      <c r="J66" s="5">
        <f t="shared" ref="J66:J75" si="41">IF(H$12=0,0,H66/H$12)</f>
        <v>0</v>
      </c>
      <c r="K66" s="1"/>
      <c r="L66" s="1">
        <f t="shared" ref="L66:L75" si="42">+D66-H66</f>
        <v>795</v>
      </c>
      <c r="M66" s="1"/>
      <c r="N66" s="5">
        <f t="shared" ref="N66:N75" si="43">IF(H66=0,0,L66/H66)</f>
        <v>0</v>
      </c>
      <c r="O66" s="13"/>
      <c r="P66" s="1">
        <f>SUM(OSRRefP22_13x_0)</f>
        <v>795</v>
      </c>
      <c r="Q66" s="1"/>
      <c r="R66" s="5">
        <f t="shared" ref="R66:R75" si="44">IF(P$12=0,0,P66/P$12)</f>
        <v>0</v>
      </c>
      <c r="S66" s="1"/>
      <c r="T66" s="1">
        <f>SUM(OSRRefT22_13x_0)</f>
        <v>0</v>
      </c>
      <c r="U66" s="1"/>
      <c r="V66" s="5">
        <f t="shared" ref="V66:V75" si="45">IF(T$12=0,0,T66/T$12)</f>
        <v>0</v>
      </c>
      <c r="W66" s="1"/>
      <c r="X66" s="1">
        <f t="shared" ref="X66:X75" si="46">+P66-T66</f>
        <v>795</v>
      </c>
      <c r="Y66" s="1"/>
      <c r="Z66" s="5">
        <f t="shared" ref="Z66:Z75" si="47">IF(T66=0,0,X66/T66)</f>
        <v>0</v>
      </c>
    </row>
    <row r="67" spans="1:26" s="24" customFormat="1" hidden="1" outlineLevel="2" x14ac:dyDescent="0.25">
      <c r="A67" s="26"/>
      <c r="B67" s="11" t="str">
        <f>CONCATENATE("          ", "6258", " - ", "MEMBERSHIP DUES")</f>
        <v xml:space="preserve">          6258 - MEMBERSHIP DUES</v>
      </c>
      <c r="C67" s="11"/>
      <c r="D67" s="6">
        <v>795</v>
      </c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795</v>
      </c>
      <c r="M67" s="2"/>
      <c r="N67" s="7">
        <f t="shared" si="43"/>
        <v>0</v>
      </c>
      <c r="O67" s="11"/>
      <c r="P67" s="6">
        <v>795</v>
      </c>
      <c r="Q67" s="2"/>
      <c r="R67" s="7">
        <f t="shared" si="44"/>
        <v>0</v>
      </c>
      <c r="S67" s="2"/>
      <c r="T67" s="6"/>
      <c r="U67" s="2"/>
      <c r="V67" s="7">
        <f t="shared" si="45"/>
        <v>0</v>
      </c>
      <c r="W67" s="2"/>
      <c r="X67" s="6">
        <f t="shared" si="46"/>
        <v>795</v>
      </c>
      <c r="Y67" s="2"/>
      <c r="Z67" s="7">
        <f t="shared" si="47"/>
        <v>0</v>
      </c>
    </row>
    <row r="68" spans="1:26" s="27" customFormat="1" outlineLevel="1" collapsed="1" x14ac:dyDescent="0.25">
      <c r="A68" s="25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SUM(OSRRefD22_14x_0)</f>
        <v>4910.25</v>
      </c>
      <c r="E68" s="1"/>
      <c r="F68" s="5">
        <f t="shared" si="40"/>
        <v>0</v>
      </c>
      <c r="G68" s="1"/>
      <c r="H68" s="1">
        <f>SUM(OSRRefH22_14x_0)</f>
        <v>7233.82</v>
      </c>
      <c r="I68" s="1"/>
      <c r="J68" s="5">
        <f t="shared" si="41"/>
        <v>0</v>
      </c>
      <c r="K68" s="1"/>
      <c r="L68" s="1">
        <f t="shared" si="42"/>
        <v>-2323.5699999999997</v>
      </c>
      <c r="M68" s="1"/>
      <c r="N68" s="5">
        <f t="shared" si="43"/>
        <v>-0.32120926426148283</v>
      </c>
      <c r="O68" s="13"/>
      <c r="P68" s="1">
        <f>SUM(OSRRefP22_14x_0)</f>
        <v>45672.08</v>
      </c>
      <c r="Q68" s="1"/>
      <c r="R68" s="5">
        <f t="shared" si="44"/>
        <v>0</v>
      </c>
      <c r="S68" s="1"/>
      <c r="T68" s="1">
        <f>SUM(OSRRefT22_14x_0)</f>
        <v>39465.679999999993</v>
      </c>
      <c r="U68" s="1"/>
      <c r="V68" s="5">
        <f t="shared" si="45"/>
        <v>0</v>
      </c>
      <c r="W68" s="1"/>
      <c r="X68" s="1">
        <f t="shared" si="46"/>
        <v>6206.4000000000087</v>
      </c>
      <c r="Y68" s="1"/>
      <c r="Z68" s="5">
        <f t="shared" si="47"/>
        <v>0.15726068827396386</v>
      </c>
    </row>
    <row r="69" spans="1:26" s="24" customFormat="1" hidden="1" outlineLevel="2" x14ac:dyDescent="0.25">
      <c r="A69" s="26"/>
      <c r="B69" s="11" t="str">
        <f>CONCATENATE("          ", "6234", " - ", "EXPENDABLE SUPPLIES &amp; EQUIPMEN")</f>
        <v xml:space="preserve">          6234 - EXPENDABLE SUPPLIES &amp; EQUIPMEN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8091.25</v>
      </c>
      <c r="Q69" s="2"/>
      <c r="R69" s="7">
        <f t="shared" si="44"/>
        <v>0</v>
      </c>
      <c r="S69" s="2"/>
      <c r="T69" s="6">
        <v>732.36</v>
      </c>
      <c r="U69" s="2"/>
      <c r="V69" s="7">
        <f t="shared" si="45"/>
        <v>0</v>
      </c>
      <c r="W69" s="2"/>
      <c r="X69" s="6">
        <f t="shared" si="46"/>
        <v>7358.89</v>
      </c>
      <c r="Y69" s="2"/>
      <c r="Z69" s="7">
        <f t="shared" si="47"/>
        <v>10.04818668414441</v>
      </c>
    </row>
    <row r="70" spans="1:26" s="24" customFormat="1" hidden="1" outlineLevel="2" x14ac:dyDescent="0.25">
      <c r="A70" s="26"/>
      <c r="B70" s="11" t="str">
        <f>CONCATENATE("          ", "6237", " - ", "JANITORIAL SUPPLIES")</f>
        <v xml:space="preserve">          6237 - JANITORIAL SUPPLIES</v>
      </c>
      <c r="C70" s="11"/>
      <c r="D70" s="6">
        <v>3139.65</v>
      </c>
      <c r="E70" s="2"/>
      <c r="F70" s="7">
        <f t="shared" si="40"/>
        <v>0</v>
      </c>
      <c r="G70" s="2"/>
      <c r="H70" s="6">
        <v>3212.97</v>
      </c>
      <c r="I70" s="2"/>
      <c r="J70" s="7">
        <f t="shared" si="41"/>
        <v>0</v>
      </c>
      <c r="K70" s="2"/>
      <c r="L70" s="6">
        <f t="shared" si="42"/>
        <v>-73.319999999999709</v>
      </c>
      <c r="M70" s="2"/>
      <c r="N70" s="7">
        <f t="shared" si="43"/>
        <v>-2.282000765646729E-2</v>
      </c>
      <c r="O70" s="11"/>
      <c r="P70" s="6">
        <v>22280.62</v>
      </c>
      <c r="Q70" s="2"/>
      <c r="R70" s="7">
        <f t="shared" si="44"/>
        <v>0</v>
      </c>
      <c r="S70" s="2"/>
      <c r="T70" s="6">
        <v>17829.43</v>
      </c>
      <c r="U70" s="2"/>
      <c r="V70" s="7">
        <f t="shared" si="45"/>
        <v>0</v>
      </c>
      <c r="W70" s="2"/>
      <c r="X70" s="6">
        <f t="shared" si="46"/>
        <v>4451.1899999999987</v>
      </c>
      <c r="Y70" s="2"/>
      <c r="Z70" s="7">
        <f t="shared" si="47"/>
        <v>0.24965408316474497</v>
      </c>
    </row>
    <row r="71" spans="1:26" s="24" customFormat="1" hidden="1" outlineLevel="2" x14ac:dyDescent="0.25">
      <c r="A71" s="26"/>
      <c r="B71" s="11" t="str">
        <f>CONCATENATE("          ", "6239", " - ", "KITCHEN SUPPLIES")</f>
        <v xml:space="preserve">          6239 - KITCHEN SUPPLIES</v>
      </c>
      <c r="C71" s="11"/>
      <c r="D71" s="6">
        <v>1538.72</v>
      </c>
      <c r="E71" s="2"/>
      <c r="F71" s="7">
        <f t="shared" si="40"/>
        <v>0</v>
      </c>
      <c r="G71" s="2"/>
      <c r="H71" s="6">
        <v>1034.3</v>
      </c>
      <c r="I71" s="2"/>
      <c r="J71" s="7">
        <f t="shared" si="41"/>
        <v>0</v>
      </c>
      <c r="K71" s="2"/>
      <c r="L71" s="6">
        <f t="shared" si="42"/>
        <v>504.42000000000007</v>
      </c>
      <c r="M71" s="2"/>
      <c r="N71" s="7">
        <f t="shared" si="43"/>
        <v>0.48769215894808093</v>
      </c>
      <c r="O71" s="11"/>
      <c r="P71" s="6">
        <v>14003.06</v>
      </c>
      <c r="Q71" s="2"/>
      <c r="R71" s="7">
        <f t="shared" si="44"/>
        <v>0</v>
      </c>
      <c r="S71" s="2"/>
      <c r="T71" s="6">
        <v>9638.1299999999992</v>
      </c>
      <c r="U71" s="2"/>
      <c r="V71" s="7">
        <f t="shared" si="45"/>
        <v>0</v>
      </c>
      <c r="W71" s="2"/>
      <c r="X71" s="6">
        <f t="shared" si="46"/>
        <v>4364.93</v>
      </c>
      <c r="Y71" s="2"/>
      <c r="Z71" s="7">
        <f t="shared" si="47"/>
        <v>0.45288141994349534</v>
      </c>
    </row>
    <row r="72" spans="1:26" s="24" customFormat="1" hidden="1" outlineLevel="2" x14ac:dyDescent="0.25">
      <c r="A72" s="26"/>
      <c r="B72" s="11" t="str">
        <f>CONCATENATE("          ", "6241", " - ", "OFFICE EXPENSE")</f>
        <v xml:space="preserve">          6241 - OFFICE EXPENSE</v>
      </c>
      <c r="C72" s="11"/>
      <c r="D72" s="6">
        <v>231.88</v>
      </c>
      <c r="E72" s="2"/>
      <c r="F72" s="7">
        <f t="shared" si="40"/>
        <v>0</v>
      </c>
      <c r="G72" s="2"/>
      <c r="H72" s="6">
        <v>2496.5100000000002</v>
      </c>
      <c r="I72" s="2"/>
      <c r="J72" s="7">
        <f t="shared" si="41"/>
        <v>0</v>
      </c>
      <c r="K72" s="2"/>
      <c r="L72" s="6">
        <f t="shared" si="42"/>
        <v>-2264.63</v>
      </c>
      <c r="M72" s="2"/>
      <c r="N72" s="7">
        <f t="shared" si="43"/>
        <v>-0.90711833719872936</v>
      </c>
      <c r="O72" s="11"/>
      <c r="P72" s="6">
        <v>998.25</v>
      </c>
      <c r="Q72" s="2"/>
      <c r="R72" s="7">
        <f t="shared" si="44"/>
        <v>0</v>
      </c>
      <c r="S72" s="2"/>
      <c r="T72" s="6">
        <v>6321.5</v>
      </c>
      <c r="U72" s="2"/>
      <c r="V72" s="7">
        <f t="shared" si="45"/>
        <v>0</v>
      </c>
      <c r="W72" s="2"/>
      <c r="X72" s="6">
        <f t="shared" si="46"/>
        <v>-5323.25</v>
      </c>
      <c r="Y72" s="2"/>
      <c r="Z72" s="7">
        <f t="shared" si="47"/>
        <v>-0.84208653009570511</v>
      </c>
    </row>
    <row r="73" spans="1:26" s="24" customFormat="1" hidden="1" outlineLevel="2" x14ac:dyDescent="0.25">
      <c r="A73" s="26"/>
      <c r="B73" s="11" t="str">
        <f>CONCATENATE("          ", "6243", " - ", "PAPER SUPPLIES")</f>
        <v xml:space="preserve">          6243 - PAPER SUPPLIES</v>
      </c>
      <c r="C73" s="11"/>
      <c r="D73" s="6"/>
      <c r="E73" s="2"/>
      <c r="F73" s="7">
        <f t="shared" si="40"/>
        <v>0</v>
      </c>
      <c r="G73" s="2"/>
      <c r="H73" s="6">
        <v>490.04</v>
      </c>
      <c r="I73" s="2"/>
      <c r="J73" s="7">
        <f t="shared" si="41"/>
        <v>0</v>
      </c>
      <c r="K73" s="2"/>
      <c r="L73" s="6">
        <f t="shared" si="42"/>
        <v>-490.04</v>
      </c>
      <c r="M73" s="2"/>
      <c r="N73" s="7">
        <f t="shared" si="43"/>
        <v>-1</v>
      </c>
      <c r="O73" s="11"/>
      <c r="P73" s="6"/>
      <c r="Q73" s="2"/>
      <c r="R73" s="7">
        <f t="shared" si="44"/>
        <v>0</v>
      </c>
      <c r="S73" s="2"/>
      <c r="T73" s="6">
        <v>3586.64</v>
      </c>
      <c r="U73" s="2"/>
      <c r="V73" s="7">
        <f t="shared" si="45"/>
        <v>0</v>
      </c>
      <c r="W73" s="2"/>
      <c r="X73" s="6">
        <f t="shared" si="46"/>
        <v>-3586.64</v>
      </c>
      <c r="Y73" s="2"/>
      <c r="Z73" s="7">
        <f t="shared" si="47"/>
        <v>-1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0"/>
        <v>0</v>
      </c>
      <c r="G74" s="2"/>
      <c r="H74" s="6"/>
      <c r="I74" s="2"/>
      <c r="J74" s="7">
        <f t="shared" si="41"/>
        <v>0</v>
      </c>
      <c r="K74" s="2"/>
      <c r="L74" s="6">
        <f t="shared" si="42"/>
        <v>0</v>
      </c>
      <c r="M74" s="2"/>
      <c r="N74" s="7">
        <f t="shared" si="43"/>
        <v>0</v>
      </c>
      <c r="O74" s="11"/>
      <c r="P74" s="6"/>
      <c r="Q74" s="2"/>
      <c r="R74" s="7">
        <f t="shared" si="44"/>
        <v>0</v>
      </c>
      <c r="S74" s="2"/>
      <c r="T74" s="6">
        <v>81.99</v>
      </c>
      <c r="U74" s="2"/>
      <c r="V74" s="7">
        <f t="shared" si="45"/>
        <v>0</v>
      </c>
      <c r="W74" s="2"/>
      <c r="X74" s="6">
        <f t="shared" si="46"/>
        <v>-81.99</v>
      </c>
      <c r="Y74" s="2"/>
      <c r="Z74" s="7">
        <f t="shared" si="47"/>
        <v>-1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0"/>
        <v>0</v>
      </c>
      <c r="G75" s="2"/>
      <c r="H75" s="6"/>
      <c r="I75" s="2"/>
      <c r="J75" s="7">
        <f t="shared" si="41"/>
        <v>0</v>
      </c>
      <c r="K75" s="2"/>
      <c r="L75" s="6">
        <f t="shared" si="42"/>
        <v>0</v>
      </c>
      <c r="M75" s="2"/>
      <c r="N75" s="7">
        <f t="shared" si="43"/>
        <v>0</v>
      </c>
      <c r="O75" s="11"/>
      <c r="P75" s="6">
        <v>298.89999999999998</v>
      </c>
      <c r="Q75" s="2"/>
      <c r="R75" s="7">
        <f t="shared" si="44"/>
        <v>0</v>
      </c>
      <c r="S75" s="2"/>
      <c r="T75" s="6">
        <v>1275.6300000000001</v>
      </c>
      <c r="U75" s="2"/>
      <c r="V75" s="7">
        <f t="shared" si="45"/>
        <v>0</v>
      </c>
      <c r="W75" s="2"/>
      <c r="X75" s="6">
        <f t="shared" si="46"/>
        <v>-976.73000000000013</v>
      </c>
      <c r="Y75" s="2"/>
      <c r="Z75" s="7">
        <f t="shared" si="47"/>
        <v>-0.7656844069205021</v>
      </c>
    </row>
    <row r="76" spans="1:26" s="27" customFormat="1" outlineLevel="1" collapsed="1" x14ac:dyDescent="0.25">
      <c r="A76" s="25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SUM(OSRRefD22_15x_0)</f>
        <v>553</v>
      </c>
      <c r="E76" s="1"/>
      <c r="F76" s="5">
        <f t="shared" ref="F76:F83" si="48">IF(D$12=0,0,D76/D$12)</f>
        <v>0</v>
      </c>
      <c r="G76" s="1"/>
      <c r="H76" s="1">
        <f>SUM(OSRRefH22_15x_0)</f>
        <v>491.65</v>
      </c>
      <c r="I76" s="1"/>
      <c r="J76" s="5">
        <f t="shared" ref="J76:J83" si="49">IF(H$12=0,0,H76/H$12)</f>
        <v>0</v>
      </c>
      <c r="K76" s="1"/>
      <c r="L76" s="1">
        <f t="shared" ref="L76:L83" si="50">+D76-H76</f>
        <v>61.350000000000023</v>
      </c>
      <c r="M76" s="1"/>
      <c r="N76" s="5">
        <f t="shared" ref="N76:N83" si="51">IF(H76=0,0,L76/H76)</f>
        <v>0.12478389097935529</v>
      </c>
      <c r="O76" s="13"/>
      <c r="P76" s="1">
        <f>SUM(OSRRefP22_15x_0)</f>
        <v>2335.8000000000002</v>
      </c>
      <c r="Q76" s="1"/>
      <c r="R76" s="5">
        <f t="shared" ref="R76:R83" si="52">IF(P$12=0,0,P76/P$12)</f>
        <v>0</v>
      </c>
      <c r="S76" s="1"/>
      <c r="T76" s="1">
        <f>SUM(OSRRefT22_15x_0)</f>
        <v>2563.75</v>
      </c>
      <c r="U76" s="1"/>
      <c r="V76" s="5">
        <f t="shared" ref="V76:V83" si="53">IF(T$12=0,0,T76/T$12)</f>
        <v>0</v>
      </c>
      <c r="W76" s="1"/>
      <c r="X76" s="1">
        <f t="shared" ref="X76:X83" si="54">+P76-T76</f>
        <v>-227.94999999999982</v>
      </c>
      <c r="Y76" s="1"/>
      <c r="Z76" s="5">
        <f t="shared" ref="Z76:Z83" si="55">IF(T76=0,0,X76/T76)</f>
        <v>-8.8912725499756151E-2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6">
        <v>553</v>
      </c>
      <c r="E77" s="2"/>
      <c r="F77" s="7">
        <f t="shared" si="48"/>
        <v>0</v>
      </c>
      <c r="G77" s="2"/>
      <c r="H77" s="6">
        <v>491.65</v>
      </c>
      <c r="I77" s="2"/>
      <c r="J77" s="7">
        <f t="shared" si="49"/>
        <v>0</v>
      </c>
      <c r="K77" s="2"/>
      <c r="L77" s="6">
        <f t="shared" si="50"/>
        <v>61.350000000000023</v>
      </c>
      <c r="M77" s="2"/>
      <c r="N77" s="7">
        <f t="shared" si="51"/>
        <v>0.12478389097935529</v>
      </c>
      <c r="O77" s="11"/>
      <c r="P77" s="6">
        <v>2335.8000000000002</v>
      </c>
      <c r="Q77" s="2"/>
      <c r="R77" s="7">
        <f t="shared" si="52"/>
        <v>0</v>
      </c>
      <c r="S77" s="2"/>
      <c r="T77" s="6">
        <v>2563.75</v>
      </c>
      <c r="U77" s="2"/>
      <c r="V77" s="7">
        <f t="shared" si="53"/>
        <v>0</v>
      </c>
      <c r="W77" s="2"/>
      <c r="X77" s="6">
        <f t="shared" si="54"/>
        <v>-227.94999999999982</v>
      </c>
      <c r="Y77" s="2"/>
      <c r="Z77" s="7">
        <f t="shared" si="55"/>
        <v>-8.8912725499756151E-2</v>
      </c>
    </row>
    <row r="78" spans="1:26" s="27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SUM(OSRRefD22_16x_0)</f>
        <v>0</v>
      </c>
      <c r="E78" s="1"/>
      <c r="F78" s="5">
        <f t="shared" si="48"/>
        <v>0</v>
      </c>
      <c r="G78" s="1"/>
      <c r="H78" s="1">
        <f>SUM(OSRRefH22_16x_0)</f>
        <v>170</v>
      </c>
      <c r="I78" s="1"/>
      <c r="J78" s="5">
        <f t="shared" si="49"/>
        <v>0</v>
      </c>
      <c r="K78" s="1"/>
      <c r="L78" s="1">
        <f t="shared" si="50"/>
        <v>-170</v>
      </c>
      <c r="M78" s="1"/>
      <c r="N78" s="5">
        <f t="shared" si="51"/>
        <v>-1</v>
      </c>
      <c r="O78" s="13"/>
      <c r="P78" s="1">
        <f>SUM(OSRRefP22_16x_0)</f>
        <v>240</v>
      </c>
      <c r="Q78" s="1"/>
      <c r="R78" s="5">
        <f t="shared" si="52"/>
        <v>0</v>
      </c>
      <c r="S78" s="1"/>
      <c r="T78" s="1">
        <f>SUM(OSRRefT22_16x_0)</f>
        <v>170</v>
      </c>
      <c r="U78" s="1"/>
      <c r="V78" s="5">
        <f t="shared" si="53"/>
        <v>0</v>
      </c>
      <c r="W78" s="1"/>
      <c r="X78" s="1">
        <f t="shared" si="54"/>
        <v>70</v>
      </c>
      <c r="Y78" s="1"/>
      <c r="Z78" s="5">
        <f t="shared" si="55"/>
        <v>0.41176470588235292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48"/>
        <v>0</v>
      </c>
      <c r="G79" s="2"/>
      <c r="H79" s="6">
        <v>170</v>
      </c>
      <c r="I79" s="2"/>
      <c r="J79" s="7">
        <f t="shared" si="49"/>
        <v>0</v>
      </c>
      <c r="K79" s="2"/>
      <c r="L79" s="6">
        <f t="shared" si="50"/>
        <v>-170</v>
      </c>
      <c r="M79" s="2"/>
      <c r="N79" s="7">
        <f t="shared" si="51"/>
        <v>-1</v>
      </c>
      <c r="O79" s="11"/>
      <c r="P79" s="6">
        <v>240</v>
      </c>
      <c r="Q79" s="2"/>
      <c r="R79" s="7">
        <f t="shared" si="52"/>
        <v>0</v>
      </c>
      <c r="S79" s="2"/>
      <c r="T79" s="6">
        <v>170</v>
      </c>
      <c r="U79" s="2"/>
      <c r="V79" s="7">
        <f t="shared" si="53"/>
        <v>0</v>
      </c>
      <c r="W79" s="2"/>
      <c r="X79" s="6">
        <f t="shared" si="54"/>
        <v>70</v>
      </c>
      <c r="Y79" s="2"/>
      <c r="Z79" s="7">
        <f t="shared" si="55"/>
        <v>0.41176470588235292</v>
      </c>
    </row>
    <row r="80" spans="1:26" s="27" customFormat="1" outlineLevel="1" collapsed="1" x14ac:dyDescent="0.25">
      <c r="A80" s="25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SUM(OSRRefD22_17x_0)</f>
        <v>271.76</v>
      </c>
      <c r="E80" s="1"/>
      <c r="F80" s="5">
        <f t="shared" si="48"/>
        <v>0</v>
      </c>
      <c r="G80" s="1"/>
      <c r="H80" s="1">
        <f>SUM(OSRRefH22_17x_0)</f>
        <v>733.51</v>
      </c>
      <c r="I80" s="1"/>
      <c r="J80" s="5">
        <f t="shared" si="49"/>
        <v>0</v>
      </c>
      <c r="K80" s="1"/>
      <c r="L80" s="1">
        <f t="shared" si="50"/>
        <v>-461.75</v>
      </c>
      <c r="M80" s="1"/>
      <c r="N80" s="5">
        <f t="shared" si="51"/>
        <v>-0.62950743684476018</v>
      </c>
      <c r="O80" s="13"/>
      <c r="P80" s="1">
        <f>SUM(OSRRefP22_17x_0)</f>
        <v>1674.67</v>
      </c>
      <c r="Q80" s="1"/>
      <c r="R80" s="5">
        <f t="shared" si="52"/>
        <v>0</v>
      </c>
      <c r="S80" s="1"/>
      <c r="T80" s="1">
        <f>SUM(OSRRefT22_17x_0)</f>
        <v>1955.6399999999999</v>
      </c>
      <c r="U80" s="1"/>
      <c r="V80" s="5">
        <f t="shared" si="53"/>
        <v>0</v>
      </c>
      <c r="W80" s="1"/>
      <c r="X80" s="1">
        <f t="shared" si="54"/>
        <v>-280.9699999999998</v>
      </c>
      <c r="Y80" s="1"/>
      <c r="Z80" s="5">
        <f t="shared" si="55"/>
        <v>-0.14367163690658802</v>
      </c>
    </row>
    <row r="81" spans="1:26" s="24" customFormat="1" hidden="1" outlineLevel="2" x14ac:dyDescent="0.25">
      <c r="A81" s="26"/>
      <c r="B81" s="11" t="str">
        <f>CONCATENATE("          ", "6292", " - ", "TRAVEL/CONFERENCE")</f>
        <v xml:space="preserve">          6292 - TRAVEL/CONFERENCE</v>
      </c>
      <c r="C81" s="11"/>
      <c r="D81" s="6">
        <v>157.08000000000001</v>
      </c>
      <c r="E81" s="2"/>
      <c r="F81" s="7">
        <f t="shared" si="48"/>
        <v>0</v>
      </c>
      <c r="G81" s="2"/>
      <c r="H81" s="6">
        <v>547.22</v>
      </c>
      <c r="I81" s="2"/>
      <c r="J81" s="7">
        <f t="shared" si="49"/>
        <v>0</v>
      </c>
      <c r="K81" s="2"/>
      <c r="L81" s="6">
        <f t="shared" si="50"/>
        <v>-390.14</v>
      </c>
      <c r="M81" s="2"/>
      <c r="N81" s="7">
        <f t="shared" si="51"/>
        <v>-0.7129490881181243</v>
      </c>
      <c r="O81" s="11"/>
      <c r="P81" s="6">
        <v>856.45</v>
      </c>
      <c r="Q81" s="2"/>
      <c r="R81" s="7">
        <f t="shared" si="52"/>
        <v>0</v>
      </c>
      <c r="S81" s="2"/>
      <c r="T81" s="6">
        <v>1284.8599999999999</v>
      </c>
      <c r="U81" s="2"/>
      <c r="V81" s="7">
        <f t="shared" si="53"/>
        <v>0</v>
      </c>
      <c r="W81" s="2"/>
      <c r="X81" s="6">
        <f t="shared" si="54"/>
        <v>-428.40999999999985</v>
      </c>
      <c r="Y81" s="2"/>
      <c r="Z81" s="7">
        <f t="shared" si="55"/>
        <v>-0.3334293230390859</v>
      </c>
    </row>
    <row r="82" spans="1:26" s="24" customFormat="1" hidden="1" outlineLevel="2" x14ac:dyDescent="0.25">
      <c r="A82" s="26"/>
      <c r="B82" s="11" t="str">
        <f>CONCATENATE("          ", "6294", " - ", "TRAVEL OPERATIONAL")</f>
        <v xml:space="preserve">          6294 - TRAVEL OPERATIONAL</v>
      </c>
      <c r="C82" s="11"/>
      <c r="D82" s="6"/>
      <c r="E82" s="2"/>
      <c r="F82" s="7">
        <f t="shared" si="48"/>
        <v>0</v>
      </c>
      <c r="G82" s="2"/>
      <c r="H82" s="6"/>
      <c r="I82" s="2"/>
      <c r="J82" s="7">
        <f t="shared" si="49"/>
        <v>0</v>
      </c>
      <c r="K82" s="2"/>
      <c r="L82" s="6">
        <f t="shared" si="50"/>
        <v>0</v>
      </c>
      <c r="M82" s="2"/>
      <c r="N82" s="7">
        <f t="shared" si="51"/>
        <v>0</v>
      </c>
      <c r="O82" s="11"/>
      <c r="P82" s="6">
        <v>45.49</v>
      </c>
      <c r="Q82" s="2"/>
      <c r="R82" s="7">
        <f t="shared" si="52"/>
        <v>0</v>
      </c>
      <c r="S82" s="2"/>
      <c r="T82" s="6"/>
      <c r="U82" s="2"/>
      <c r="V82" s="7">
        <f t="shared" si="53"/>
        <v>0</v>
      </c>
      <c r="W82" s="2"/>
      <c r="X82" s="6">
        <f t="shared" si="54"/>
        <v>45.49</v>
      </c>
      <c r="Y82" s="2"/>
      <c r="Z82" s="7">
        <f t="shared" si="55"/>
        <v>0</v>
      </c>
    </row>
    <row r="83" spans="1:26" s="24" customFormat="1" hidden="1" outlineLevel="2" x14ac:dyDescent="0.25">
      <c r="A83" s="26"/>
      <c r="B83" s="11" t="str">
        <f>CONCATENATE("          ", "6298", " - ", "VEHICLE MILEAGE")</f>
        <v xml:space="preserve">          6298 - VEHICLE MILEAGE</v>
      </c>
      <c r="C83" s="11"/>
      <c r="D83" s="6">
        <v>114.68</v>
      </c>
      <c r="E83" s="2"/>
      <c r="F83" s="7">
        <f t="shared" si="48"/>
        <v>0</v>
      </c>
      <c r="G83" s="2"/>
      <c r="H83" s="6">
        <v>186.29</v>
      </c>
      <c r="I83" s="2"/>
      <c r="J83" s="7">
        <f t="shared" si="49"/>
        <v>0</v>
      </c>
      <c r="K83" s="2"/>
      <c r="L83" s="6">
        <f t="shared" si="50"/>
        <v>-71.609999999999985</v>
      </c>
      <c r="M83" s="2"/>
      <c r="N83" s="7">
        <f t="shared" si="51"/>
        <v>-0.38440066562885816</v>
      </c>
      <c r="O83" s="11"/>
      <c r="P83" s="6">
        <v>772.73</v>
      </c>
      <c r="Q83" s="2"/>
      <c r="R83" s="7">
        <f t="shared" si="52"/>
        <v>0</v>
      </c>
      <c r="S83" s="2"/>
      <c r="T83" s="6">
        <v>670.78</v>
      </c>
      <c r="U83" s="2"/>
      <c r="V83" s="7">
        <f t="shared" si="53"/>
        <v>0</v>
      </c>
      <c r="W83" s="2"/>
      <c r="X83" s="6">
        <f t="shared" si="54"/>
        <v>101.95000000000005</v>
      </c>
      <c r="Y83" s="2"/>
      <c r="Z83" s="7">
        <f t="shared" si="55"/>
        <v>0.15198723873699282</v>
      </c>
    </row>
    <row r="84" spans="1:26" s="27" customFormat="1" outlineLevel="1" collapsed="1" x14ac:dyDescent="0.25">
      <c r="A84" s="25"/>
      <c r="B84" s="13" t="str">
        <f>CONCATENATE("     ","Utilities                                         ")</f>
        <v xml:space="preserve">     Utilities                                         </v>
      </c>
      <c r="C84" s="13"/>
      <c r="D84" s="1">
        <f>SUM(OSRRefD22_18x_0)</f>
        <v>32693</v>
      </c>
      <c r="E84" s="1"/>
      <c r="F84" s="5">
        <f t="shared" ref="F84:F85" si="56">IF(D$12=0,0,D84/D$12)</f>
        <v>0</v>
      </c>
      <c r="G84" s="1"/>
      <c r="H84" s="1">
        <f>SUM(OSRRefH22_18x_0)</f>
        <v>11354</v>
      </c>
      <c r="I84" s="1"/>
      <c r="J84" s="5">
        <f t="shared" ref="J84:J85" si="57">IF(H$12=0,0,H84/H$12)</f>
        <v>0</v>
      </c>
      <c r="K84" s="1"/>
      <c r="L84" s="1">
        <f t="shared" ref="L84:L85" si="58">+D84-H84</f>
        <v>21339</v>
      </c>
      <c r="M84" s="1"/>
      <c r="N84" s="5">
        <f t="shared" ref="N84:N85" si="59">IF(H84=0,0,L84/H84)</f>
        <v>1.8794257530385767</v>
      </c>
      <c r="O84" s="13"/>
      <c r="P84" s="1">
        <f>SUM(OSRRefP22_18x_0)</f>
        <v>81591</v>
      </c>
      <c r="Q84" s="1"/>
      <c r="R84" s="5">
        <f t="shared" ref="R84:R85" si="60">IF(P$12=0,0,P84/P$12)</f>
        <v>0</v>
      </c>
      <c r="S84" s="1"/>
      <c r="T84" s="1">
        <f>SUM(OSRRefT22_18x_0)</f>
        <v>47869.72</v>
      </c>
      <c r="U84" s="1"/>
      <c r="V84" s="5">
        <f t="shared" ref="V84:V85" si="61">IF(T$12=0,0,T84/T$12)</f>
        <v>0</v>
      </c>
      <c r="W84" s="1"/>
      <c r="X84" s="1">
        <f t="shared" ref="X84:X85" si="62">+P84-T84</f>
        <v>33721.279999999999</v>
      </c>
      <c r="Y84" s="1"/>
      <c r="Z84" s="5">
        <f t="shared" ref="Z84:Z85" si="63">IF(T84=0,0,X84/T84)</f>
        <v>0.70443863051632638</v>
      </c>
    </row>
    <row r="85" spans="1:26" s="24" customFormat="1" hidden="1" outlineLevel="2" x14ac:dyDescent="0.25">
      <c r="A85" s="26"/>
      <c r="B85" s="11" t="str">
        <f>CONCATENATE("          ", "6274", " - ", "UTILITIES")</f>
        <v xml:space="preserve">          6274 - UTILITIES</v>
      </c>
      <c r="C85" s="11"/>
      <c r="D85" s="6">
        <v>32693</v>
      </c>
      <c r="E85" s="2"/>
      <c r="F85" s="7">
        <f t="shared" si="56"/>
        <v>0</v>
      </c>
      <c r="G85" s="2"/>
      <c r="H85" s="6">
        <v>11354</v>
      </c>
      <c r="I85" s="2"/>
      <c r="J85" s="7">
        <f t="shared" si="57"/>
        <v>0</v>
      </c>
      <c r="K85" s="2"/>
      <c r="L85" s="6">
        <f t="shared" si="58"/>
        <v>21339</v>
      </c>
      <c r="M85" s="2"/>
      <c r="N85" s="7">
        <f t="shared" si="59"/>
        <v>1.8794257530385767</v>
      </c>
      <c r="O85" s="11"/>
      <c r="P85" s="6">
        <v>81591</v>
      </c>
      <c r="Q85" s="2"/>
      <c r="R85" s="7">
        <f t="shared" si="60"/>
        <v>0</v>
      </c>
      <c r="S85" s="2"/>
      <c r="T85" s="6">
        <v>47869.72</v>
      </c>
      <c r="U85" s="2"/>
      <c r="V85" s="7">
        <f t="shared" si="61"/>
        <v>0</v>
      </c>
      <c r="W85" s="2"/>
      <c r="X85" s="6">
        <f t="shared" si="62"/>
        <v>33721.279999999999</v>
      </c>
      <c r="Y85" s="2"/>
      <c r="Z85" s="7">
        <f t="shared" si="63"/>
        <v>0.70443863051632638</v>
      </c>
    </row>
    <row r="86" spans="1:26" s="61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8" t="s">
        <v>0</v>
      </c>
      <c r="C87" s="10"/>
      <c r="D87" s="4">
        <f>SUM(OSRRefD25x_0)</f>
        <v>10079.92</v>
      </c>
      <c r="E87" s="4"/>
      <c r="F87" s="12">
        <f t="shared" ref="F87:F89" si="64">IF(D$12=0,0,D87/D$12)</f>
        <v>0</v>
      </c>
      <c r="G87" s="4"/>
      <c r="H87" s="4">
        <f>SUM(OSRRefH25x_0)</f>
        <v>11487.76</v>
      </c>
      <c r="I87" s="4"/>
      <c r="J87" s="12">
        <f t="shared" ref="J87:J89" si="65">IF(H$12=0,0,H87/H$12)</f>
        <v>0</v>
      </c>
      <c r="K87" s="4"/>
      <c r="L87" s="4">
        <f t="shared" ref="L87:L89" si="66">+D87-H87</f>
        <v>-1407.8400000000001</v>
      </c>
      <c r="M87" s="4"/>
      <c r="N87" s="12">
        <f t="shared" ref="N87:N89" si="67">IF(H87=0,0,L87/H87)</f>
        <v>-0.12255130678217513</v>
      </c>
      <c r="O87" s="10"/>
      <c r="P87" s="4">
        <f>SUM(OSRRefP25x_0)</f>
        <v>66938.959999999992</v>
      </c>
      <c r="Q87" s="4"/>
      <c r="R87" s="12">
        <f t="shared" ref="R87:R89" si="68">IF(P$12=0,0,P87/P$12)</f>
        <v>0</v>
      </c>
      <c r="S87" s="4"/>
      <c r="T87" s="4">
        <f>SUM(OSRRefT25x_0)</f>
        <v>71001.319999999992</v>
      </c>
      <c r="U87" s="4"/>
      <c r="V87" s="12">
        <f t="shared" ref="V87:V89" si="69">IF(T$12=0,0,T87/T$12)</f>
        <v>0</v>
      </c>
      <c r="W87" s="4"/>
      <c r="X87" s="4">
        <f t="shared" ref="X87:X89" si="70">+P87-T87</f>
        <v>-4062.3600000000006</v>
      </c>
      <c r="Y87" s="4"/>
      <c r="Z87" s="12">
        <f t="shared" ref="Z87:Z89" si="71">IF(T87=0,0,X87/T87)</f>
        <v>-5.7215274307576267E-2</v>
      </c>
    </row>
    <row r="88" spans="1:26" s="24" customFormat="1" hidden="1" outlineLevel="1" x14ac:dyDescent="0.25">
      <c r="A88" s="44"/>
      <c r="B88" s="11" t="str">
        <f>CONCATENATE("          ", "9150", " - ", "MISC. INCOME")</f>
        <v xml:space="preserve">          9150 - MISC. INCOME</v>
      </c>
      <c r="C88" s="11"/>
      <c r="D88" s="2">
        <f>--10079.92</f>
        <v>10079.92</v>
      </c>
      <c r="E88" s="2"/>
      <c r="F88" s="19">
        <f t="shared" si="64"/>
        <v>0</v>
      </c>
      <c r="G88" s="2"/>
      <c r="H88" s="2">
        <f>--11487.76</f>
        <v>11487.76</v>
      </c>
      <c r="I88" s="2"/>
      <c r="J88" s="19">
        <f t="shared" si="65"/>
        <v>0</v>
      </c>
      <c r="K88" s="2"/>
      <c r="L88" s="2">
        <f t="shared" si="66"/>
        <v>-1407.8400000000001</v>
      </c>
      <c r="M88" s="2"/>
      <c r="N88" s="19">
        <f t="shared" si="67"/>
        <v>-0.12255130678217513</v>
      </c>
      <c r="O88" s="11"/>
      <c r="P88" s="2">
        <f>--65928.03</f>
        <v>65928.03</v>
      </c>
      <c r="Q88" s="2"/>
      <c r="R88" s="19">
        <f t="shared" si="68"/>
        <v>0</v>
      </c>
      <c r="S88" s="2"/>
      <c r="T88" s="2">
        <f>--70502.67</f>
        <v>70502.67</v>
      </c>
      <c r="U88" s="2"/>
      <c r="V88" s="19">
        <f t="shared" si="69"/>
        <v>0</v>
      </c>
      <c r="W88" s="2"/>
      <c r="X88" s="2">
        <f t="shared" si="70"/>
        <v>-4574.6399999999994</v>
      </c>
      <c r="Y88" s="2"/>
      <c r="Z88" s="19">
        <f t="shared" si="71"/>
        <v>-6.4886053251600254E-2</v>
      </c>
    </row>
    <row r="89" spans="1:26" s="24" customFormat="1" hidden="1" outlineLevel="1" x14ac:dyDescent="0.25">
      <c r="A89" s="44"/>
      <c r="B89" s="11" t="str">
        <f>CONCATENATE("          ", "9160", " - ", "MISC. INCOME")</f>
        <v xml:space="preserve">          9160 - MISC. INCOME</v>
      </c>
      <c r="C89" s="11"/>
      <c r="D89" s="2">
        <f>0</f>
        <v>0</v>
      </c>
      <c r="E89" s="2"/>
      <c r="F89" s="19">
        <f t="shared" si="64"/>
        <v>0</v>
      </c>
      <c r="G89" s="2"/>
      <c r="H89" s="2">
        <f>0</f>
        <v>0</v>
      </c>
      <c r="I89" s="2"/>
      <c r="J89" s="19">
        <f t="shared" si="65"/>
        <v>0</v>
      </c>
      <c r="K89" s="2"/>
      <c r="L89" s="2">
        <f t="shared" si="66"/>
        <v>0</v>
      </c>
      <c r="M89" s="2"/>
      <c r="N89" s="19">
        <f t="shared" si="67"/>
        <v>0</v>
      </c>
      <c r="O89" s="11"/>
      <c r="P89" s="2">
        <f>--1010.93</f>
        <v>1010.93</v>
      </c>
      <c r="Q89" s="2"/>
      <c r="R89" s="19">
        <f t="shared" si="68"/>
        <v>0</v>
      </c>
      <c r="S89" s="2"/>
      <c r="T89" s="2">
        <f>--498.65</f>
        <v>498.65</v>
      </c>
      <c r="U89" s="2"/>
      <c r="V89" s="19">
        <f t="shared" si="69"/>
        <v>0</v>
      </c>
      <c r="W89" s="2"/>
      <c r="X89" s="2">
        <f t="shared" si="70"/>
        <v>512.28</v>
      </c>
      <c r="Y89" s="2"/>
      <c r="Z89" s="19">
        <f t="shared" si="71"/>
        <v>1.0273338012634112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0">
        <f>+D16-D18+D87</f>
        <v>-110994.83</v>
      </c>
      <c r="E91" s="14"/>
      <c r="F91" s="21">
        <f>IF(D$12=0,0,D91/D$12)</f>
        <v>0</v>
      </c>
      <c r="G91" s="14"/>
      <c r="H91" s="20">
        <f>+H16-H18+H87</f>
        <v>-73543.789999999979</v>
      </c>
      <c r="I91" s="14"/>
      <c r="J91" s="21">
        <f>IF(H$12=0,0,H91/H$12)</f>
        <v>0</v>
      </c>
      <c r="K91" s="15"/>
      <c r="L91" s="20">
        <f>+D91-H91</f>
        <v>-37451.040000000023</v>
      </c>
      <c r="M91" s="15"/>
      <c r="N91" s="21">
        <f>IF(H91=0,0,L91/H91)</f>
        <v>0.5092345662359804</v>
      </c>
      <c r="O91" s="28"/>
      <c r="P91" s="20">
        <f>+P16-P18+P87</f>
        <v>-537483.51</v>
      </c>
      <c r="Q91" s="14"/>
      <c r="R91" s="21">
        <f>IF(P$12=0,0,P91/P$12)</f>
        <v>0</v>
      </c>
      <c r="S91" s="14"/>
      <c r="T91" s="20">
        <f>+T16-T18+T87</f>
        <v>-487954.37000000005</v>
      </c>
      <c r="U91" s="14"/>
      <c r="V91" s="21">
        <f>IF(T$12=0,0,T91/T$12)</f>
        <v>0</v>
      </c>
      <c r="W91" s="15"/>
      <c r="X91" s="20">
        <f>+P91-T91</f>
        <v>-49529.139999999956</v>
      </c>
      <c r="Y91" s="15"/>
      <c r="Z91" s="21">
        <f>IF(T91=0,0,X91/T91)</f>
        <v>0.10150363034969838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2">
        <f>+D91-D93</f>
        <v>-110994.83</v>
      </c>
      <c r="E95" s="14"/>
      <c r="F95" s="30">
        <f>IF(D$12=0,0,D95/D$12)</f>
        <v>0</v>
      </c>
      <c r="G95" s="14"/>
      <c r="H95" s="32">
        <f>+H91-H93</f>
        <v>-73543.789999999979</v>
      </c>
      <c r="I95" s="14"/>
      <c r="J95" s="30">
        <f>IF(H$12=0,0,H95/H$12)</f>
        <v>0</v>
      </c>
      <c r="K95" s="15"/>
      <c r="L95" s="32">
        <f>D95-H95</f>
        <v>-37451.040000000023</v>
      </c>
      <c r="M95" s="15"/>
      <c r="N95" s="30">
        <f>IF(H95=0,0,L95/H95)</f>
        <v>0.5092345662359804</v>
      </c>
      <c r="O95" s="28"/>
      <c r="P95" s="32">
        <f>+P91-P93</f>
        <v>-537483.51</v>
      </c>
      <c r="Q95" s="14"/>
      <c r="R95" s="30">
        <f>IF(P$12=0,0,P95/P$12)</f>
        <v>0</v>
      </c>
      <c r="S95" s="14"/>
      <c r="T95" s="32">
        <f>+T91-T93</f>
        <v>-487954.37000000005</v>
      </c>
      <c r="U95" s="14"/>
      <c r="V95" s="30">
        <f>IF(T$12=0,0,T95/T$12)</f>
        <v>0</v>
      </c>
      <c r="W95" s="15"/>
      <c r="X95" s="32">
        <f>P95-T95</f>
        <v>-49529.139999999956</v>
      </c>
      <c r="Y95" s="15"/>
      <c r="Z95" s="30">
        <f>IF(T95=0,0,X95/T95)</f>
        <v>0.10150363034969838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6">
        <f>SUM(D95:D97)</f>
        <v>-110994.83</v>
      </c>
      <c r="E98" s="14"/>
      <c r="F98" s="31">
        <f>IF(D$12=0,0,D98/D$12)</f>
        <v>0</v>
      </c>
      <c r="G98" s="14"/>
      <c r="H98" s="36">
        <f>SUM(H95:H97)</f>
        <v>-73543.789999999979</v>
      </c>
      <c r="I98" s="14"/>
      <c r="J98" s="31">
        <f>IF(H$12=0,0,H98/H$12)</f>
        <v>0</v>
      </c>
      <c r="K98" s="15"/>
      <c r="L98" s="36">
        <f>+D98-H98</f>
        <v>-37451.040000000023</v>
      </c>
      <c r="M98" s="15"/>
      <c r="N98" s="31">
        <f>IF(H98=0,0,L98/H98)</f>
        <v>0.5092345662359804</v>
      </c>
      <c r="O98" s="28"/>
      <c r="P98" s="36">
        <f>SUM(P95:P97)</f>
        <v>-537483.51</v>
      </c>
      <c r="Q98" s="14"/>
      <c r="R98" s="31">
        <f>IF(P$12=0,0,P98/P$12)</f>
        <v>0</v>
      </c>
      <c r="S98" s="14"/>
      <c r="T98" s="36">
        <f>SUM(T95:T97)</f>
        <v>-487954.37000000005</v>
      </c>
      <c r="U98" s="14"/>
      <c r="V98" s="31">
        <f>IF(T$12=0,0,T98/T$12)</f>
        <v>0</v>
      </c>
      <c r="W98" s="15"/>
      <c r="X98" s="36">
        <f>+P98-T98</f>
        <v>-49529.139999999956</v>
      </c>
      <c r="Y98" s="15"/>
      <c r="Z98" s="31">
        <f>IF(T98=0,0,X98/T98)</f>
        <v>0.10150363034969838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62">
        <v>43847.454021562502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6" t="s">
        <v>313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4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","412", " - ", "Chartroom")</f>
        <v>Department 412 - Chartroom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17857.580000000002</v>
      </c>
      <c r="E12" s="4"/>
      <c r="F12" s="12"/>
      <c r="G12" s="4"/>
      <c r="H12" s="4">
        <f>SUM(OSRRefH13x_0)</f>
        <v>54004.1</v>
      </c>
      <c r="I12" s="4"/>
      <c r="J12" s="12"/>
      <c r="K12" s="4"/>
      <c r="L12" s="4">
        <f t="shared" ref="L12:L15" si="0">+D12-H12</f>
        <v>-36146.519999999997</v>
      </c>
      <c r="M12" s="4"/>
      <c r="N12" s="12">
        <f t="shared" ref="N12:N15" si="1">IF(H12=0,0,L12/H12)</f>
        <v>-0.66932918056221657</v>
      </c>
      <c r="O12" s="10"/>
      <c r="P12" s="4">
        <f>SUM(OSRRefP13x_0)</f>
        <v>327912.18</v>
      </c>
      <c r="Q12" s="4"/>
      <c r="R12" s="12"/>
      <c r="S12" s="4"/>
      <c r="T12" s="4">
        <f>SUM(OSRRefT13x_0)</f>
        <v>531839.43000000005</v>
      </c>
      <c r="U12" s="4"/>
      <c r="V12" s="12"/>
      <c r="W12" s="4"/>
      <c r="X12" s="4">
        <f t="shared" ref="X12:X15" si="2">+P12-T12</f>
        <v>-203927.25000000006</v>
      </c>
      <c r="Y12" s="4"/>
      <c r="Z12" s="12">
        <f t="shared" ref="Z12:Z15" si="3">IF(T12=0,0,X12/T12)</f>
        <v>-0.38343762890991373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--13780.11</f>
        <v>13780.11</v>
      </c>
      <c r="E13" s="2"/>
      <c r="F13" s="19"/>
      <c r="G13" s="2"/>
      <c r="H13" s="2">
        <f>--47777.68</f>
        <v>47777.68</v>
      </c>
      <c r="I13" s="2"/>
      <c r="J13" s="19"/>
      <c r="K13" s="2"/>
      <c r="L13" s="2">
        <f t="shared" si="0"/>
        <v>-33997.57</v>
      </c>
      <c r="M13" s="2"/>
      <c r="N13" s="19">
        <f t="shared" si="1"/>
        <v>-0.71157850276530799</v>
      </c>
      <c r="O13" s="11"/>
      <c r="P13" s="2">
        <f>--293626</f>
        <v>293626</v>
      </c>
      <c r="Q13" s="2"/>
      <c r="R13" s="19"/>
      <c r="S13" s="2"/>
      <c r="T13" s="2">
        <f>--490941.62</f>
        <v>490941.62</v>
      </c>
      <c r="U13" s="2"/>
      <c r="V13" s="19"/>
      <c r="W13" s="2"/>
      <c r="X13" s="2">
        <f t="shared" si="2"/>
        <v>-197315.62</v>
      </c>
      <c r="Y13" s="2"/>
      <c r="Z13" s="19">
        <f t="shared" si="3"/>
        <v>-0.4019125940065949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--4077.47</f>
        <v>4077.47</v>
      </c>
      <c r="E14" s="2"/>
      <c r="F14" s="19"/>
      <c r="G14" s="2"/>
      <c r="H14" s="2">
        <f>--6226.42</f>
        <v>6226.42</v>
      </c>
      <c r="I14" s="2"/>
      <c r="J14" s="19"/>
      <c r="K14" s="2"/>
      <c r="L14" s="2">
        <f t="shared" si="0"/>
        <v>-2148.9500000000003</v>
      </c>
      <c r="M14" s="2"/>
      <c r="N14" s="19">
        <f t="shared" si="1"/>
        <v>-0.34513412201554028</v>
      </c>
      <c r="O14" s="11"/>
      <c r="P14" s="2">
        <f>--34286.18</f>
        <v>34286.18</v>
      </c>
      <c r="Q14" s="2"/>
      <c r="R14" s="19"/>
      <c r="S14" s="2"/>
      <c r="T14" s="2">
        <f>--40370.68</f>
        <v>40370.68</v>
      </c>
      <c r="U14" s="2"/>
      <c r="V14" s="19"/>
      <c r="W14" s="2"/>
      <c r="X14" s="2">
        <f t="shared" si="2"/>
        <v>-6084.5</v>
      </c>
      <c r="Y14" s="2"/>
      <c r="Z14" s="19">
        <f t="shared" si="3"/>
        <v>-0.15071581652823288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--527.13</f>
        <v>527.13</v>
      </c>
      <c r="U15" s="2"/>
      <c r="V15" s="19"/>
      <c r="W15" s="2"/>
      <c r="X15" s="2">
        <f t="shared" si="2"/>
        <v>-527.13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22777.279999999999</v>
      </c>
      <c r="E17" s="4"/>
      <c r="F17" s="12">
        <f t="shared" ref="F17:F18" si="4">IF(D$12=0,0,D17/D$12)</f>
        <v>1.2754964558467607</v>
      </c>
      <c r="G17" s="4"/>
      <c r="H17" s="4">
        <f>SUM(OSRRefH16x_0)</f>
        <v>19310.419999999998</v>
      </c>
      <c r="I17" s="4"/>
      <c r="J17" s="12">
        <f t="shared" ref="J17:J18" si="5">IF(H$12=0,0,H17/H$12)</f>
        <v>0.35757322129245739</v>
      </c>
      <c r="K17" s="4"/>
      <c r="L17" s="4">
        <f t="shared" ref="L17:L18" si="6">+D17-H17</f>
        <v>3466.8600000000006</v>
      </c>
      <c r="M17" s="4"/>
      <c r="N17" s="12">
        <f t="shared" ref="N17:N18" si="7">IF(H17=0,0,L17/H17)</f>
        <v>0.17953312253177306</v>
      </c>
      <c r="O17" s="10"/>
      <c r="P17" s="4">
        <f>SUM(OSRRefP16x_0)</f>
        <v>140186.66999999998</v>
      </c>
      <c r="Q17" s="4"/>
      <c r="R17" s="12">
        <f t="shared" ref="R17:R18" si="8">IF(P$12=0,0,P17/P$12)</f>
        <v>0.4275128481046358</v>
      </c>
      <c r="S17" s="4"/>
      <c r="T17" s="4">
        <f>SUM(OSRRefT16x_0)</f>
        <v>160921.38</v>
      </c>
      <c r="U17" s="4"/>
      <c r="V17" s="12">
        <f t="shared" ref="V17:V18" si="9">IF(T$12=0,0,T17/T$12)</f>
        <v>0.30257512121656716</v>
      </c>
      <c r="W17" s="4"/>
      <c r="X17" s="4">
        <f t="shared" ref="X17:X18" si="10">+P17-T17</f>
        <v>-20734.710000000021</v>
      </c>
      <c r="Y17" s="4"/>
      <c r="Z17" s="12">
        <f t="shared" ref="Z17:Z18" si="11">IF(T17=0,0,X17/T17)</f>
        <v>-0.1288499390199116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22777.279999999999</v>
      </c>
      <c r="E18" s="2"/>
      <c r="F18" s="19">
        <f t="shared" si="4"/>
        <v>1.2754964558467607</v>
      </c>
      <c r="G18" s="2"/>
      <c r="H18" s="2">
        <v>19310.419999999998</v>
      </c>
      <c r="I18" s="2"/>
      <c r="J18" s="19">
        <f t="shared" si="5"/>
        <v>0.35757322129245739</v>
      </c>
      <c r="K18" s="2"/>
      <c r="L18" s="2">
        <f t="shared" si="6"/>
        <v>3466.8600000000006</v>
      </c>
      <c r="M18" s="2"/>
      <c r="N18" s="19">
        <f t="shared" si="7"/>
        <v>0.17953312253177306</v>
      </c>
      <c r="O18" s="11"/>
      <c r="P18" s="2">
        <v>140186.66999999998</v>
      </c>
      <c r="Q18" s="2"/>
      <c r="R18" s="19">
        <f t="shared" si="8"/>
        <v>0.4275128481046358</v>
      </c>
      <c r="S18" s="2"/>
      <c r="T18" s="2">
        <v>160921.38</v>
      </c>
      <c r="U18" s="2"/>
      <c r="V18" s="19">
        <f t="shared" si="9"/>
        <v>0.30257512121656716</v>
      </c>
      <c r="W18" s="2"/>
      <c r="X18" s="2">
        <f t="shared" si="10"/>
        <v>-20734.710000000021</v>
      </c>
      <c r="Y18" s="2"/>
      <c r="Z18" s="19">
        <f t="shared" si="11"/>
        <v>-0.1288499390199116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D12-D17</f>
        <v>-4919.6999999999971</v>
      </c>
      <c r="E20" s="14"/>
      <c r="F20" s="21">
        <f>IF(D$12=0,0,D20/D$12)</f>
        <v>-0.27549645584676069</v>
      </c>
      <c r="G20" s="14"/>
      <c r="H20" s="20">
        <f>H12-H17</f>
        <v>34693.68</v>
      </c>
      <c r="I20" s="14"/>
      <c r="J20" s="21">
        <f>IF(H$12=0,0,H20/H$12)</f>
        <v>0.64242677870754261</v>
      </c>
      <c r="K20" s="15"/>
      <c r="L20" s="20">
        <f>+D20-H20</f>
        <v>-39613.379999999997</v>
      </c>
      <c r="M20" s="15"/>
      <c r="N20" s="21">
        <f>IF(H20=0,0,L20/H20)</f>
        <v>-1.1418039250952909</v>
      </c>
      <c r="O20" s="28"/>
      <c r="P20" s="20">
        <f>P12-P17</f>
        <v>187725.51</v>
      </c>
      <c r="Q20" s="14"/>
      <c r="R20" s="21">
        <f>IF(P$12=0,0,P20/P$12)</f>
        <v>0.57248715189536425</v>
      </c>
      <c r="S20" s="14"/>
      <c r="T20" s="20">
        <f>T12-T17</f>
        <v>370918.05000000005</v>
      </c>
      <c r="U20" s="14"/>
      <c r="V20" s="21">
        <f>IF(T$12=0,0,T20/T$12)</f>
        <v>0.69742487878343284</v>
      </c>
      <c r="W20" s="15"/>
      <c r="X20" s="20">
        <f>+P20-T20</f>
        <v>-183192.54000000004</v>
      </c>
      <c r="Y20" s="15"/>
      <c r="Z20" s="21">
        <f>IF(T20=0,0,X20/T20)</f>
        <v>-0.49388952627136917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28555.040000000001</v>
      </c>
      <c r="E22" s="22"/>
      <c r="F22" s="33">
        <f t="shared" ref="F22:F31" si="12">IF(D$12=0,0,D22/D$12)</f>
        <v>1.5990430954250239</v>
      </c>
      <c r="G22" s="22"/>
      <c r="H22" s="22">
        <f>SUM(OSRRefH22x_0)</f>
        <v>43360.94</v>
      </c>
      <c r="I22" s="22"/>
      <c r="J22" s="33">
        <f t="shared" ref="J22:J31" si="13">IF(H$12=0,0,H22/H$12)</f>
        <v>0.80291940797087635</v>
      </c>
      <c r="K22" s="4"/>
      <c r="L22" s="22">
        <f t="shared" ref="L22:L31" si="14">+D22-H22</f>
        <v>-14805.900000000001</v>
      </c>
      <c r="M22" s="4"/>
      <c r="N22" s="33">
        <f t="shared" ref="N22:N31" si="15">IF(H22=0,0,L22/H22)</f>
        <v>-0.34145708095811578</v>
      </c>
      <c r="O22" s="10"/>
      <c r="P22" s="22">
        <f>SUM(OSRRefP22x_0)</f>
        <v>257711.46</v>
      </c>
      <c r="Q22" s="22"/>
      <c r="R22" s="33">
        <f t="shared" ref="R22:R31" si="16">IF(P$12=0,0,P22/P$12)</f>
        <v>0.78591609497396531</v>
      </c>
      <c r="S22" s="22"/>
      <c r="T22" s="22">
        <f>SUM(OSRRefT22x_0)</f>
        <v>347454.61</v>
      </c>
      <c r="U22" s="22"/>
      <c r="V22" s="33">
        <f t="shared" ref="V22:V31" si="17">IF(T$12=0,0,T22/T$12)</f>
        <v>0.65330735255939931</v>
      </c>
      <c r="W22" s="4"/>
      <c r="X22" s="22">
        <f t="shared" ref="X22:X31" si="18">+P22-T22</f>
        <v>-89743.15</v>
      </c>
      <c r="Y22" s="4"/>
      <c r="Z22" s="33">
        <f t="shared" ref="Z22:Z31" si="19">IF(T22=0,0,X22/T22)</f>
        <v>-0.25828740623127722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8245.15</v>
      </c>
      <c r="E23" s="1"/>
      <c r="F23" s="5">
        <f t="shared" si="12"/>
        <v>0.46171709716546133</v>
      </c>
      <c r="G23" s="1"/>
      <c r="H23" s="1">
        <f>SUM(OSRRefH22_0x_0)</f>
        <v>11881.24</v>
      </c>
      <c r="I23" s="1"/>
      <c r="J23" s="5">
        <f t="shared" si="13"/>
        <v>0.22000625878405528</v>
      </c>
      <c r="K23" s="1"/>
      <c r="L23" s="1">
        <f t="shared" si="14"/>
        <v>-3636.09</v>
      </c>
      <c r="M23" s="1"/>
      <c r="N23" s="5">
        <f t="shared" si="15"/>
        <v>-0.30603623864175794</v>
      </c>
      <c r="O23" s="13"/>
      <c r="P23" s="1">
        <f>SUM(OSRRefP22_0x_0)</f>
        <v>69185.59</v>
      </c>
      <c r="Q23" s="1"/>
      <c r="R23" s="5">
        <f t="shared" si="16"/>
        <v>0.21098816762463657</v>
      </c>
      <c r="S23" s="1"/>
      <c r="T23" s="1">
        <f>SUM(OSRRefT22_0x_0)</f>
        <v>76177.060000000012</v>
      </c>
      <c r="U23" s="1"/>
      <c r="V23" s="5">
        <f t="shared" si="17"/>
        <v>0.14323319352233813</v>
      </c>
      <c r="W23" s="1"/>
      <c r="X23" s="1">
        <f t="shared" si="18"/>
        <v>-6991.4700000000157</v>
      </c>
      <c r="Y23" s="1"/>
      <c r="Z23" s="5">
        <f t="shared" si="19"/>
        <v>-9.1779204920746676E-2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852.44</v>
      </c>
      <c r="E24" s="2"/>
      <c r="F24" s="7">
        <f t="shared" si="12"/>
        <v>4.7735471435659253E-2</v>
      </c>
      <c r="G24" s="2"/>
      <c r="H24" s="6">
        <v>1753.03</v>
      </c>
      <c r="I24" s="2"/>
      <c r="J24" s="7">
        <f t="shared" si="13"/>
        <v>3.2461053882945928E-2</v>
      </c>
      <c r="K24" s="2"/>
      <c r="L24" s="6">
        <f t="shared" si="14"/>
        <v>-900.58999999999992</v>
      </c>
      <c r="M24" s="2"/>
      <c r="N24" s="7">
        <f t="shared" si="15"/>
        <v>-0.51373336451743545</v>
      </c>
      <c r="O24" s="11"/>
      <c r="P24" s="6">
        <v>10084.65</v>
      </c>
      <c r="Q24" s="2"/>
      <c r="R24" s="7">
        <f t="shared" si="16"/>
        <v>3.0754118374010993E-2</v>
      </c>
      <c r="S24" s="2"/>
      <c r="T24" s="6">
        <v>15615.070000000002</v>
      </c>
      <c r="U24" s="2"/>
      <c r="V24" s="7">
        <f t="shared" si="17"/>
        <v>2.936049702068912E-2</v>
      </c>
      <c r="W24" s="2"/>
      <c r="X24" s="6">
        <f t="shared" si="18"/>
        <v>-5530.4200000000019</v>
      </c>
      <c r="Y24" s="2"/>
      <c r="Z24" s="7">
        <f t="shared" si="19"/>
        <v>-0.35417196336615853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661.75</v>
      </c>
      <c r="E25" s="2"/>
      <c r="F25" s="7">
        <f t="shared" si="12"/>
        <v>3.7057092842367217E-2</v>
      </c>
      <c r="G25" s="2"/>
      <c r="H25" s="6">
        <v>1375.17</v>
      </c>
      <c r="I25" s="2"/>
      <c r="J25" s="7">
        <f t="shared" si="13"/>
        <v>2.5464177719839793E-2</v>
      </c>
      <c r="K25" s="2"/>
      <c r="L25" s="6">
        <f t="shared" si="14"/>
        <v>-713.42000000000007</v>
      </c>
      <c r="M25" s="2"/>
      <c r="N25" s="7">
        <f t="shared" si="15"/>
        <v>-0.51878676818138847</v>
      </c>
      <c r="O25" s="11"/>
      <c r="P25" s="6">
        <v>3070.79</v>
      </c>
      <c r="Q25" s="2"/>
      <c r="R25" s="7">
        <f t="shared" si="16"/>
        <v>9.3646719679641062E-3</v>
      </c>
      <c r="S25" s="2"/>
      <c r="T25" s="6">
        <v>7765.24</v>
      </c>
      <c r="U25" s="2"/>
      <c r="V25" s="7">
        <f t="shared" si="17"/>
        <v>1.4600722627880371E-2</v>
      </c>
      <c r="W25" s="2"/>
      <c r="X25" s="6">
        <f t="shared" si="18"/>
        <v>-4694.45</v>
      </c>
      <c r="Y25" s="2"/>
      <c r="Z25" s="7">
        <f t="shared" si="19"/>
        <v>-0.60454667209255608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5223.3</v>
      </c>
      <c r="E26" s="2"/>
      <c r="F26" s="7">
        <f t="shared" si="12"/>
        <v>0.29249763965778114</v>
      </c>
      <c r="G26" s="2"/>
      <c r="H26" s="6">
        <v>5466.7</v>
      </c>
      <c r="I26" s="2"/>
      <c r="J26" s="7">
        <f t="shared" si="13"/>
        <v>0.10122749939356457</v>
      </c>
      <c r="K26" s="2"/>
      <c r="L26" s="6">
        <f t="shared" si="14"/>
        <v>-243.39999999999964</v>
      </c>
      <c r="M26" s="2"/>
      <c r="N26" s="7">
        <f t="shared" si="15"/>
        <v>-4.4524118755373376E-2</v>
      </c>
      <c r="O26" s="11"/>
      <c r="P26" s="6">
        <v>31716.940000000002</v>
      </c>
      <c r="Q26" s="2"/>
      <c r="R26" s="7">
        <f t="shared" si="16"/>
        <v>9.6723885035316481E-2</v>
      </c>
      <c r="S26" s="2"/>
      <c r="T26" s="6">
        <v>29370.76</v>
      </c>
      <c r="U26" s="2"/>
      <c r="V26" s="7">
        <f t="shared" si="17"/>
        <v>5.5224863639764345E-2</v>
      </c>
      <c r="W26" s="2"/>
      <c r="X26" s="6">
        <f t="shared" si="18"/>
        <v>2346.1800000000039</v>
      </c>
      <c r="Y26" s="2"/>
      <c r="Z26" s="7">
        <f t="shared" si="19"/>
        <v>7.9881487574717303E-2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49.33</v>
      </c>
      <c r="E27" s="2"/>
      <c r="F27" s="7">
        <f t="shared" si="12"/>
        <v>2.7624123761450315E-3</v>
      </c>
      <c r="G27" s="2"/>
      <c r="H27" s="6">
        <v>107.07</v>
      </c>
      <c r="I27" s="2"/>
      <c r="J27" s="7">
        <f t="shared" si="13"/>
        <v>1.9826272449684377E-3</v>
      </c>
      <c r="K27" s="2"/>
      <c r="L27" s="6">
        <f t="shared" si="14"/>
        <v>-57.739999999999995</v>
      </c>
      <c r="M27" s="2"/>
      <c r="N27" s="7">
        <f t="shared" si="15"/>
        <v>-0.53927337256000751</v>
      </c>
      <c r="O27" s="11"/>
      <c r="P27" s="6">
        <v>377.72</v>
      </c>
      <c r="Q27" s="2"/>
      <c r="R27" s="7">
        <f t="shared" si="16"/>
        <v>1.1518937783890797E-3</v>
      </c>
      <c r="S27" s="2"/>
      <c r="T27" s="6">
        <v>607.4</v>
      </c>
      <c r="U27" s="2"/>
      <c r="V27" s="7">
        <f t="shared" si="17"/>
        <v>1.1420740278696522E-3</v>
      </c>
      <c r="W27" s="2"/>
      <c r="X27" s="6">
        <f t="shared" si="18"/>
        <v>-229.67999999999995</v>
      </c>
      <c r="Y27" s="2"/>
      <c r="Z27" s="7">
        <f t="shared" si="19"/>
        <v>-0.37813631873559428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214.92</v>
      </c>
      <c r="E28" s="2"/>
      <c r="F28" s="7">
        <f t="shared" si="12"/>
        <v>1.2035225377682753E-2</v>
      </c>
      <c r="G28" s="2"/>
      <c r="H28" s="6">
        <v>1045.72</v>
      </c>
      <c r="I28" s="2"/>
      <c r="J28" s="7">
        <f t="shared" si="13"/>
        <v>1.9363714977196175E-2</v>
      </c>
      <c r="K28" s="2"/>
      <c r="L28" s="6">
        <f t="shared" si="14"/>
        <v>-830.80000000000007</v>
      </c>
      <c r="M28" s="2"/>
      <c r="N28" s="7">
        <f t="shared" si="15"/>
        <v>-0.79447653291512077</v>
      </c>
      <c r="O28" s="11"/>
      <c r="P28" s="6">
        <v>5463.33</v>
      </c>
      <c r="Q28" s="2"/>
      <c r="R28" s="7">
        <f t="shared" si="16"/>
        <v>1.6660954771487903E-2</v>
      </c>
      <c r="S28" s="2"/>
      <c r="T28" s="6">
        <v>7275.25</v>
      </c>
      <c r="U28" s="2"/>
      <c r="V28" s="7">
        <f t="shared" si="17"/>
        <v>1.3679410719885886E-2</v>
      </c>
      <c r="W28" s="2"/>
      <c r="X28" s="6">
        <f t="shared" si="18"/>
        <v>-1811.92</v>
      </c>
      <c r="Y28" s="2"/>
      <c r="Z28" s="7">
        <f t="shared" si="19"/>
        <v>-0.24905260987594929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382.61</v>
      </c>
      <c r="E29" s="2"/>
      <c r="F29" s="7">
        <f t="shared" si="12"/>
        <v>2.1425635500442949E-2</v>
      </c>
      <c r="G29" s="2"/>
      <c r="H29" s="6">
        <v>904.7</v>
      </c>
      <c r="I29" s="2"/>
      <c r="J29" s="7">
        <f t="shared" si="13"/>
        <v>1.675243175981083E-2</v>
      </c>
      <c r="K29" s="2"/>
      <c r="L29" s="6">
        <f t="shared" si="14"/>
        <v>-522.09</v>
      </c>
      <c r="M29" s="2"/>
      <c r="N29" s="7">
        <f t="shared" si="15"/>
        <v>-0.57708632695921303</v>
      </c>
      <c r="O29" s="11"/>
      <c r="P29" s="6">
        <v>6570.88</v>
      </c>
      <c r="Q29" s="2"/>
      <c r="R29" s="7">
        <f t="shared" si="16"/>
        <v>2.0038535927515717E-2</v>
      </c>
      <c r="S29" s="2"/>
      <c r="T29" s="6">
        <v>6409.63</v>
      </c>
      <c r="U29" s="2"/>
      <c r="V29" s="7">
        <f t="shared" si="17"/>
        <v>1.2051814210164899E-2</v>
      </c>
      <c r="W29" s="2"/>
      <c r="X29" s="6">
        <f t="shared" si="18"/>
        <v>161.25</v>
      </c>
      <c r="Y29" s="2"/>
      <c r="Z29" s="7">
        <f t="shared" si="19"/>
        <v>2.5157458386833562E-2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353.36</v>
      </c>
      <c r="E30" s="2"/>
      <c r="F30" s="7">
        <f t="shared" si="12"/>
        <v>1.9787675597701369E-2</v>
      </c>
      <c r="G30" s="2"/>
      <c r="H30" s="6">
        <v>759.66</v>
      </c>
      <c r="I30" s="2"/>
      <c r="J30" s="7">
        <f t="shared" si="13"/>
        <v>1.4066709749815292E-2</v>
      </c>
      <c r="K30" s="2"/>
      <c r="L30" s="6">
        <f t="shared" si="14"/>
        <v>-406.29999999999995</v>
      </c>
      <c r="M30" s="2"/>
      <c r="N30" s="7">
        <f t="shared" si="15"/>
        <v>-0.53484453571334545</v>
      </c>
      <c r="O30" s="11"/>
      <c r="P30" s="6">
        <v>8888.9699999999993</v>
      </c>
      <c r="Q30" s="2"/>
      <c r="R30" s="7">
        <f t="shared" si="16"/>
        <v>2.7107776234478388E-2</v>
      </c>
      <c r="S30" s="2"/>
      <c r="T30" s="6">
        <v>5939.96</v>
      </c>
      <c r="U30" s="2"/>
      <c r="V30" s="7">
        <f t="shared" si="17"/>
        <v>1.116870932266154E-2</v>
      </c>
      <c r="W30" s="2"/>
      <c r="X30" s="6">
        <f t="shared" si="18"/>
        <v>2949.0099999999993</v>
      </c>
      <c r="Y30" s="2"/>
      <c r="Z30" s="7">
        <f t="shared" si="19"/>
        <v>0.49646967319645235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507.44</v>
      </c>
      <c r="E31" s="2"/>
      <c r="F31" s="7">
        <f t="shared" si="12"/>
        <v>2.8415944377681631E-2</v>
      </c>
      <c r="G31" s="2"/>
      <c r="H31" s="6">
        <v>469.19</v>
      </c>
      <c r="I31" s="2"/>
      <c r="J31" s="7">
        <f t="shared" si="13"/>
        <v>8.6880440559142739E-3</v>
      </c>
      <c r="K31" s="2"/>
      <c r="L31" s="6">
        <f t="shared" si="14"/>
        <v>38.25</v>
      </c>
      <c r="M31" s="2"/>
      <c r="N31" s="7">
        <f t="shared" si="15"/>
        <v>8.1523476629936698E-2</v>
      </c>
      <c r="O31" s="11"/>
      <c r="P31" s="6">
        <v>3012.31</v>
      </c>
      <c r="Q31" s="2"/>
      <c r="R31" s="7">
        <f t="shared" si="16"/>
        <v>9.1863315354739194E-3</v>
      </c>
      <c r="S31" s="2"/>
      <c r="T31" s="6">
        <v>3193.75</v>
      </c>
      <c r="U31" s="2"/>
      <c r="V31" s="7">
        <f t="shared" si="17"/>
        <v>6.0051019534222948E-3</v>
      </c>
      <c r="W31" s="2"/>
      <c r="X31" s="6">
        <f t="shared" si="18"/>
        <v>-181.44000000000005</v>
      </c>
      <c r="Y31" s="2"/>
      <c r="Z31" s="7">
        <f t="shared" si="19"/>
        <v>-5.6810958904109608E-2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15356.220000000001</v>
      </c>
      <c r="E32" s="1"/>
      <c r="F32" s="5">
        <f t="shared" ref="F32:F38" si="20">IF(D$12=0,0,D32/D$12)</f>
        <v>0.85992726898045535</v>
      </c>
      <c r="G32" s="1"/>
      <c r="H32" s="1">
        <f>SUM(OSRRefH22_1x_0)</f>
        <v>26461.47</v>
      </c>
      <c r="I32" s="1"/>
      <c r="J32" s="5">
        <f t="shared" ref="J32:J38" si="21">IF(H$12=0,0,H32/H$12)</f>
        <v>0.48999001927631425</v>
      </c>
      <c r="K32" s="1"/>
      <c r="L32" s="1">
        <f t="shared" ref="L32:L38" si="22">+D32-H32</f>
        <v>-11105.25</v>
      </c>
      <c r="M32" s="1"/>
      <c r="N32" s="5">
        <f t="shared" ref="N32:N38" si="23">IF(H32=0,0,L32/H32)</f>
        <v>-0.41967623113908636</v>
      </c>
      <c r="O32" s="13"/>
      <c r="P32" s="1">
        <f>SUM(OSRRefP22_1x_0)</f>
        <v>149543.99</v>
      </c>
      <c r="Q32" s="1"/>
      <c r="R32" s="5">
        <f t="shared" ref="R32:R38" si="24">IF(P$12=0,0,P32/P$12)</f>
        <v>0.4560489030935051</v>
      </c>
      <c r="S32" s="1"/>
      <c r="T32" s="1">
        <f>SUM(OSRRefT22_1x_0)</f>
        <v>215559.69999999998</v>
      </c>
      <c r="U32" s="1"/>
      <c r="V32" s="5">
        <f t="shared" ref="V32:V38" si="25">IF(T$12=0,0,T32/T$12)</f>
        <v>0.40530973794101721</v>
      </c>
      <c r="W32" s="1"/>
      <c r="X32" s="1">
        <f t="shared" ref="X32:X38" si="26">+P32-T32</f>
        <v>-66015.709999999992</v>
      </c>
      <c r="Y32" s="1"/>
      <c r="Z32" s="5">
        <f t="shared" ref="Z32:Z38" si="27">IF(T32=0,0,X32/T32)</f>
        <v>-0.30625256019562097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3076.94</v>
      </c>
      <c r="E33" s="2"/>
      <c r="F33" s="7">
        <f t="shared" si="20"/>
        <v>0.17230442198774973</v>
      </c>
      <c r="G33" s="2"/>
      <c r="H33" s="6">
        <v>12483.26</v>
      </c>
      <c r="I33" s="2"/>
      <c r="J33" s="7">
        <f t="shared" si="21"/>
        <v>0.23115393090524608</v>
      </c>
      <c r="K33" s="2"/>
      <c r="L33" s="6">
        <f t="shared" si="22"/>
        <v>-9406.32</v>
      </c>
      <c r="M33" s="2"/>
      <c r="N33" s="7">
        <f t="shared" si="23"/>
        <v>-0.7535147068954744</v>
      </c>
      <c r="O33" s="11"/>
      <c r="P33" s="6">
        <v>50284.009999999995</v>
      </c>
      <c r="Q33" s="2"/>
      <c r="R33" s="7">
        <f t="shared" si="24"/>
        <v>0.15334596598394118</v>
      </c>
      <c r="S33" s="2"/>
      <c r="T33" s="6">
        <v>78990.17</v>
      </c>
      <c r="U33" s="2"/>
      <c r="V33" s="7">
        <f t="shared" si="25"/>
        <v>0.14852259073758406</v>
      </c>
      <c r="W33" s="2"/>
      <c r="X33" s="6">
        <f t="shared" si="26"/>
        <v>-28706.160000000003</v>
      </c>
      <c r="Y33" s="2"/>
      <c r="Z33" s="7">
        <f t="shared" si="27"/>
        <v>-0.36341433370759935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4365.18</v>
      </c>
      <c r="E34" s="2"/>
      <c r="F34" s="7">
        <f t="shared" si="20"/>
        <v>0.2444440960085297</v>
      </c>
      <c r="G34" s="2"/>
      <c r="H34" s="6">
        <v>4828.1000000000004</v>
      </c>
      <c r="I34" s="2"/>
      <c r="J34" s="7">
        <f t="shared" si="21"/>
        <v>8.9402471293846222E-2</v>
      </c>
      <c r="K34" s="2"/>
      <c r="L34" s="6">
        <f t="shared" si="22"/>
        <v>-462.92000000000007</v>
      </c>
      <c r="M34" s="2"/>
      <c r="N34" s="7">
        <f t="shared" si="23"/>
        <v>-9.5880367018081655E-2</v>
      </c>
      <c r="O34" s="11"/>
      <c r="P34" s="6">
        <v>31641.929999999997</v>
      </c>
      <c r="Q34" s="2"/>
      <c r="R34" s="7">
        <f t="shared" si="24"/>
        <v>9.6495134764436011E-2</v>
      </c>
      <c r="S34" s="2"/>
      <c r="T34" s="6">
        <v>39867.82</v>
      </c>
      <c r="U34" s="2"/>
      <c r="V34" s="7">
        <f t="shared" si="25"/>
        <v>7.4962136598258608E-2</v>
      </c>
      <c r="W34" s="2"/>
      <c r="X34" s="6">
        <f t="shared" si="26"/>
        <v>-8225.8900000000031</v>
      </c>
      <c r="Y34" s="2"/>
      <c r="Z34" s="7">
        <f t="shared" si="27"/>
        <v>-0.20632906439328769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3540.22</v>
      </c>
      <c r="E35" s="2"/>
      <c r="F35" s="7">
        <f t="shared" si="20"/>
        <v>0.1982474669020102</v>
      </c>
      <c r="G35" s="2"/>
      <c r="H35" s="6">
        <v>5065.6099999999997</v>
      </c>
      <c r="I35" s="2"/>
      <c r="J35" s="7">
        <f t="shared" si="21"/>
        <v>9.3800470705002026E-2</v>
      </c>
      <c r="K35" s="2"/>
      <c r="L35" s="6">
        <f t="shared" si="22"/>
        <v>-1525.3899999999999</v>
      </c>
      <c r="M35" s="2"/>
      <c r="N35" s="7">
        <f t="shared" si="23"/>
        <v>-0.3011266165377911</v>
      </c>
      <c r="O35" s="11"/>
      <c r="P35" s="6">
        <v>32738.83</v>
      </c>
      <c r="Q35" s="2"/>
      <c r="R35" s="7">
        <f t="shared" si="24"/>
        <v>9.9840237712426547E-2</v>
      </c>
      <c r="S35" s="2"/>
      <c r="T35" s="6">
        <v>54880.93</v>
      </c>
      <c r="U35" s="2"/>
      <c r="V35" s="7">
        <f t="shared" si="25"/>
        <v>0.10319078824223318</v>
      </c>
      <c r="W35" s="2"/>
      <c r="X35" s="6">
        <f t="shared" si="26"/>
        <v>-22142.1</v>
      </c>
      <c r="Y35" s="2"/>
      <c r="Z35" s="7">
        <f t="shared" si="27"/>
        <v>-0.40345708427317101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1299.6300000000001</v>
      </c>
      <c r="Q36" s="2"/>
      <c r="R36" s="7">
        <f t="shared" si="24"/>
        <v>3.963347747558508E-3</v>
      </c>
      <c r="S36" s="2"/>
      <c r="T36" s="6">
        <v>189.75</v>
      </c>
      <c r="U36" s="2"/>
      <c r="V36" s="7">
        <f t="shared" si="25"/>
        <v>3.5678061703698797E-4</v>
      </c>
      <c r="W36" s="2"/>
      <c r="X36" s="6">
        <f t="shared" si="26"/>
        <v>1109.8800000000001</v>
      </c>
      <c r="Y36" s="2"/>
      <c r="Z36" s="7">
        <f t="shared" si="27"/>
        <v>5.8491699604743088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4373.88</v>
      </c>
      <c r="E37" s="2"/>
      <c r="F37" s="7">
        <f t="shared" si="20"/>
        <v>0.24493128408216566</v>
      </c>
      <c r="G37" s="2"/>
      <c r="H37" s="6">
        <v>3187.5</v>
      </c>
      <c r="I37" s="2"/>
      <c r="J37" s="7">
        <f t="shared" si="21"/>
        <v>5.9023296379348979E-2</v>
      </c>
      <c r="K37" s="2"/>
      <c r="L37" s="6">
        <f t="shared" si="22"/>
        <v>1186.3800000000001</v>
      </c>
      <c r="M37" s="2"/>
      <c r="N37" s="7">
        <f t="shared" si="23"/>
        <v>0.37219764705882358</v>
      </c>
      <c r="O37" s="11"/>
      <c r="P37" s="6">
        <v>30174.37</v>
      </c>
      <c r="Q37" s="2"/>
      <c r="R37" s="7">
        <f t="shared" si="24"/>
        <v>9.2019668192867984E-2</v>
      </c>
      <c r="S37" s="2"/>
      <c r="T37" s="6">
        <v>31071.24</v>
      </c>
      <c r="U37" s="2"/>
      <c r="V37" s="7">
        <f t="shared" si="25"/>
        <v>5.8422219653777828E-2</v>
      </c>
      <c r="W37" s="2"/>
      <c r="X37" s="6">
        <f t="shared" si="26"/>
        <v>-896.87000000000262</v>
      </c>
      <c r="Y37" s="2"/>
      <c r="Z37" s="7">
        <f t="shared" si="27"/>
        <v>-2.8864956789622899E-2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897</v>
      </c>
      <c r="I38" s="2"/>
      <c r="J38" s="7">
        <f t="shared" si="21"/>
        <v>1.6609849992870913E-2</v>
      </c>
      <c r="K38" s="2"/>
      <c r="L38" s="6">
        <f t="shared" si="22"/>
        <v>-897</v>
      </c>
      <c r="M38" s="2"/>
      <c r="N38" s="7">
        <f t="shared" si="23"/>
        <v>-1</v>
      </c>
      <c r="O38" s="11"/>
      <c r="P38" s="6">
        <v>3405.22</v>
      </c>
      <c r="Q38" s="2"/>
      <c r="R38" s="7">
        <f t="shared" si="24"/>
        <v>1.0384548692274865E-2</v>
      </c>
      <c r="S38" s="2"/>
      <c r="T38" s="6">
        <v>10559.79</v>
      </c>
      <c r="U38" s="2"/>
      <c r="V38" s="7">
        <f t="shared" si="25"/>
        <v>1.9855222092126566E-2</v>
      </c>
      <c r="W38" s="2"/>
      <c r="X38" s="6">
        <f t="shared" si="26"/>
        <v>-7154.5700000000015</v>
      </c>
      <c r="Y38" s="2"/>
      <c r="Z38" s="7">
        <f t="shared" si="27"/>
        <v>-0.67752957208429343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5" si="28">IF(D$12=0,0,D39/D$12)</f>
        <v>0</v>
      </c>
      <c r="G39" s="1"/>
      <c r="H39" s="1">
        <f>SUM(OSRRefH22_2x_0)</f>
        <v>18</v>
      </c>
      <c r="I39" s="1"/>
      <c r="J39" s="5">
        <f t="shared" ref="J39:J55" si="29">IF(H$12=0,0,H39/H$12)</f>
        <v>3.333080266127942E-4</v>
      </c>
      <c r="K39" s="1"/>
      <c r="L39" s="1">
        <f t="shared" ref="L39:L55" si="30">+D39-H39</f>
        <v>-18</v>
      </c>
      <c r="M39" s="1"/>
      <c r="N39" s="5">
        <f t="shared" ref="N39:N55" si="31">IF(H39=0,0,L39/H39)</f>
        <v>-1</v>
      </c>
      <c r="O39" s="13"/>
      <c r="P39" s="1">
        <f>SUM(OSRRefP22_2x_0)</f>
        <v>339.52</v>
      </c>
      <c r="Q39" s="1"/>
      <c r="R39" s="5">
        <f t="shared" ref="R39:R55" si="32">IF(P$12=0,0,P39/P$12)</f>
        <v>1.0353991730346825E-3</v>
      </c>
      <c r="S39" s="1"/>
      <c r="T39" s="1">
        <f>SUM(OSRRefT22_2x_0)</f>
        <v>1096.49</v>
      </c>
      <c r="U39" s="1"/>
      <c r="V39" s="5">
        <f t="shared" ref="V39:V55" si="33">IF(T$12=0,0,T39/T$12)</f>
        <v>2.0616936957833305E-3</v>
      </c>
      <c r="W39" s="1"/>
      <c r="X39" s="1">
        <f t="shared" ref="X39:X55" si="34">+P39-T39</f>
        <v>-756.97</v>
      </c>
      <c r="Y39" s="1"/>
      <c r="Z39" s="5">
        <f t="shared" ref="Z39:Z55" si="35">IF(T39=0,0,X39/T39)</f>
        <v>-0.69035741320030275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8"/>
        <v>0</v>
      </c>
      <c r="G40" s="2"/>
      <c r="H40" s="6">
        <v>18</v>
      </c>
      <c r="I40" s="2"/>
      <c r="J40" s="7">
        <f t="shared" si="29"/>
        <v>3.333080266127942E-4</v>
      </c>
      <c r="K40" s="2"/>
      <c r="L40" s="6">
        <f t="shared" si="30"/>
        <v>-18</v>
      </c>
      <c r="M40" s="2"/>
      <c r="N40" s="7">
        <f t="shared" si="31"/>
        <v>-1</v>
      </c>
      <c r="O40" s="11"/>
      <c r="P40" s="6">
        <v>339.52</v>
      </c>
      <c r="Q40" s="2"/>
      <c r="R40" s="7">
        <f t="shared" si="32"/>
        <v>1.0353991730346825E-3</v>
      </c>
      <c r="S40" s="2"/>
      <c r="T40" s="6">
        <v>1096.49</v>
      </c>
      <c r="U40" s="2"/>
      <c r="V40" s="7">
        <f t="shared" si="33"/>
        <v>2.0616936957833305E-3</v>
      </c>
      <c r="W40" s="2"/>
      <c r="X40" s="6">
        <f t="shared" si="34"/>
        <v>-756.97</v>
      </c>
      <c r="Y40" s="2"/>
      <c r="Z40" s="7">
        <f t="shared" si="35"/>
        <v>-0.69035741320030275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0.56999999999999995</v>
      </c>
      <c r="E41" s="1"/>
      <c r="F41" s="5">
        <f t="shared" si="28"/>
        <v>3.1919218617528239E-5</v>
      </c>
      <c r="G41" s="1"/>
      <c r="H41" s="1">
        <f>SUM(OSRRefH22_3x_0)</f>
        <v>-0.16</v>
      </c>
      <c r="I41" s="1"/>
      <c r="J41" s="5">
        <f t="shared" si="29"/>
        <v>-2.9627380143359486E-6</v>
      </c>
      <c r="K41" s="1"/>
      <c r="L41" s="1">
        <f t="shared" si="30"/>
        <v>0.73</v>
      </c>
      <c r="M41" s="1"/>
      <c r="N41" s="5">
        <f t="shared" si="31"/>
        <v>-4.5625</v>
      </c>
      <c r="O41" s="13"/>
      <c r="P41" s="1">
        <f>SUM(OSRRefP22_3x_0)</f>
        <v>0.23</v>
      </c>
      <c r="Q41" s="1"/>
      <c r="R41" s="5">
        <f t="shared" si="32"/>
        <v>7.0140730972542719E-7</v>
      </c>
      <c r="S41" s="1"/>
      <c r="T41" s="1">
        <f>SUM(OSRRefT22_3x_0)</f>
        <v>-13.03</v>
      </c>
      <c r="U41" s="1"/>
      <c r="V41" s="5">
        <f t="shared" si="33"/>
        <v>-2.4499875836584735E-5</v>
      </c>
      <c r="W41" s="1"/>
      <c r="X41" s="1">
        <f t="shared" si="34"/>
        <v>13.26</v>
      </c>
      <c r="Y41" s="1"/>
      <c r="Z41" s="5">
        <f t="shared" si="35"/>
        <v>-1.0176515732924021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0.56999999999999995</v>
      </c>
      <c r="E42" s="2"/>
      <c r="F42" s="7">
        <f t="shared" si="28"/>
        <v>3.1919218617528239E-5</v>
      </c>
      <c r="G42" s="2"/>
      <c r="H42" s="6">
        <v>-0.16</v>
      </c>
      <c r="I42" s="2"/>
      <c r="J42" s="7">
        <f t="shared" si="29"/>
        <v>-2.9627380143359486E-6</v>
      </c>
      <c r="K42" s="2"/>
      <c r="L42" s="6">
        <f t="shared" si="30"/>
        <v>0.73</v>
      </c>
      <c r="M42" s="2"/>
      <c r="N42" s="7">
        <f t="shared" si="31"/>
        <v>-4.5625</v>
      </c>
      <c r="O42" s="11"/>
      <c r="P42" s="6">
        <v>0.23</v>
      </c>
      <c r="Q42" s="2"/>
      <c r="R42" s="7">
        <f t="shared" si="32"/>
        <v>7.0140730972542719E-7</v>
      </c>
      <c r="S42" s="2"/>
      <c r="T42" s="6">
        <v>-13.03</v>
      </c>
      <c r="U42" s="2"/>
      <c r="V42" s="7">
        <f t="shared" si="33"/>
        <v>-2.4499875836584735E-5</v>
      </c>
      <c r="W42" s="2"/>
      <c r="X42" s="6">
        <f t="shared" si="34"/>
        <v>13.26</v>
      </c>
      <c r="Y42" s="2"/>
      <c r="Z42" s="7">
        <f t="shared" si="35"/>
        <v>-1.0176515732924021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452.6</v>
      </c>
      <c r="E43" s="1"/>
      <c r="F43" s="5">
        <f t="shared" si="28"/>
        <v>2.5344979554900494E-2</v>
      </c>
      <c r="G43" s="1"/>
      <c r="H43" s="1">
        <f>SUM(OSRRefH22_4x_0)</f>
        <v>449.52</v>
      </c>
      <c r="I43" s="1"/>
      <c r="J43" s="5">
        <f t="shared" si="29"/>
        <v>8.3238124512768474E-3</v>
      </c>
      <c r="K43" s="1"/>
      <c r="L43" s="1">
        <f t="shared" si="30"/>
        <v>3.0800000000000409</v>
      </c>
      <c r="M43" s="1"/>
      <c r="N43" s="5">
        <f t="shared" si="31"/>
        <v>6.8517529809575574E-3</v>
      </c>
      <c r="O43" s="13"/>
      <c r="P43" s="1">
        <f>SUM(OSRRefP22_4x_0)</f>
        <v>4559.67</v>
      </c>
      <c r="Q43" s="1"/>
      <c r="R43" s="5">
        <f t="shared" si="32"/>
        <v>1.3905155947546688E-2</v>
      </c>
      <c r="S43" s="1"/>
      <c r="T43" s="1">
        <f>SUM(OSRRefT22_4x_0)</f>
        <v>6120.09</v>
      </c>
      <c r="U43" s="1"/>
      <c r="V43" s="5">
        <f t="shared" si="33"/>
        <v>1.1507401773501449E-2</v>
      </c>
      <c r="W43" s="1"/>
      <c r="X43" s="1">
        <f t="shared" si="34"/>
        <v>-1560.42</v>
      </c>
      <c r="Y43" s="1"/>
      <c r="Z43" s="5">
        <f t="shared" si="35"/>
        <v>-0.25496683872295994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452.6</v>
      </c>
      <c r="E44" s="2"/>
      <c r="F44" s="7">
        <f t="shared" si="28"/>
        <v>2.5344979554900494E-2</v>
      </c>
      <c r="G44" s="2"/>
      <c r="H44" s="6">
        <v>449.52</v>
      </c>
      <c r="I44" s="2"/>
      <c r="J44" s="7">
        <f t="shared" si="29"/>
        <v>8.3238124512768474E-3</v>
      </c>
      <c r="K44" s="2"/>
      <c r="L44" s="6">
        <f t="shared" si="30"/>
        <v>3.0800000000000409</v>
      </c>
      <c r="M44" s="2"/>
      <c r="N44" s="7">
        <f t="shared" si="31"/>
        <v>6.8517529809575574E-3</v>
      </c>
      <c r="O44" s="11"/>
      <c r="P44" s="6">
        <v>4559.67</v>
      </c>
      <c r="Q44" s="2"/>
      <c r="R44" s="7">
        <f t="shared" si="32"/>
        <v>1.3905155947546688E-2</v>
      </c>
      <c r="S44" s="2"/>
      <c r="T44" s="6">
        <v>6120.09</v>
      </c>
      <c r="U44" s="2"/>
      <c r="V44" s="7">
        <f t="shared" si="33"/>
        <v>1.1507401773501449E-2</v>
      </c>
      <c r="W44" s="2"/>
      <c r="X44" s="6">
        <f t="shared" si="34"/>
        <v>-1560.42</v>
      </c>
      <c r="Y44" s="2"/>
      <c r="Z44" s="7">
        <f t="shared" si="35"/>
        <v>-0.25496683872295994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297.99</v>
      </c>
      <c r="E45" s="1"/>
      <c r="F45" s="5">
        <f t="shared" si="28"/>
        <v>1.6687031501468844E-2</v>
      </c>
      <c r="G45" s="1"/>
      <c r="H45" s="1">
        <f>SUM(OSRRefH22_5x_0)</f>
        <v>696.82</v>
      </c>
      <c r="I45" s="1"/>
      <c r="J45" s="5">
        <f t="shared" si="29"/>
        <v>1.2903094394684849E-2</v>
      </c>
      <c r="K45" s="1"/>
      <c r="L45" s="1">
        <f t="shared" si="30"/>
        <v>-398.83000000000004</v>
      </c>
      <c r="M45" s="1"/>
      <c r="N45" s="5">
        <f t="shared" si="31"/>
        <v>-0.57235728021583765</v>
      </c>
      <c r="O45" s="13"/>
      <c r="P45" s="1">
        <f>SUM(OSRRefP22_5x_0)</f>
        <v>1787.94</v>
      </c>
      <c r="Q45" s="1"/>
      <c r="R45" s="5">
        <f t="shared" si="32"/>
        <v>5.4524964580455661E-3</v>
      </c>
      <c r="S45" s="1"/>
      <c r="T45" s="1">
        <f>SUM(OSRRefT22_5x_0)</f>
        <v>4180.92</v>
      </c>
      <c r="U45" s="1"/>
      <c r="V45" s="5">
        <f t="shared" si="33"/>
        <v>7.8612448873901647E-3</v>
      </c>
      <c r="W45" s="1"/>
      <c r="X45" s="1">
        <f t="shared" si="34"/>
        <v>-2392.98</v>
      </c>
      <c r="Y45" s="1"/>
      <c r="Z45" s="5">
        <f t="shared" si="35"/>
        <v>-0.57235728021583765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297.99</v>
      </c>
      <c r="E46" s="2"/>
      <c r="F46" s="7">
        <f t="shared" si="28"/>
        <v>1.6687031501468844E-2</v>
      </c>
      <c r="G46" s="2"/>
      <c r="H46" s="6">
        <v>696.82</v>
      </c>
      <c r="I46" s="2"/>
      <c r="J46" s="7">
        <f t="shared" si="29"/>
        <v>1.2903094394684849E-2</v>
      </c>
      <c r="K46" s="2"/>
      <c r="L46" s="6">
        <f t="shared" si="30"/>
        <v>-398.83000000000004</v>
      </c>
      <c r="M46" s="2"/>
      <c r="N46" s="7">
        <f t="shared" si="31"/>
        <v>-0.57235728021583765</v>
      </c>
      <c r="O46" s="11"/>
      <c r="P46" s="6">
        <v>1787.94</v>
      </c>
      <c r="Q46" s="2"/>
      <c r="R46" s="7">
        <f t="shared" si="32"/>
        <v>5.4524964580455661E-3</v>
      </c>
      <c r="S46" s="2"/>
      <c r="T46" s="6">
        <v>4180.92</v>
      </c>
      <c r="U46" s="2"/>
      <c r="V46" s="7">
        <f t="shared" si="33"/>
        <v>7.8612448873901647E-3</v>
      </c>
      <c r="W46" s="2"/>
      <c r="X46" s="6">
        <f t="shared" si="34"/>
        <v>-2392.98</v>
      </c>
      <c r="Y46" s="2"/>
      <c r="Z46" s="7">
        <f t="shared" si="35"/>
        <v>-0.57235728021583765</v>
      </c>
    </row>
    <row r="47" spans="1:26" s="27" customFormat="1" outlineLevel="1" collapsed="1" x14ac:dyDescent="0.25">
      <c r="A47" s="25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60</v>
      </c>
      <c r="E47" s="1"/>
      <c r="F47" s="5">
        <f t="shared" si="28"/>
        <v>3.359917749213499E-3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60</v>
      </c>
      <c r="M47" s="1"/>
      <c r="N47" s="5">
        <f t="shared" si="31"/>
        <v>0</v>
      </c>
      <c r="O47" s="13"/>
      <c r="P47" s="1">
        <f>SUM(OSRRefP22_6x_0)</f>
        <v>60</v>
      </c>
      <c r="Q47" s="1"/>
      <c r="R47" s="5">
        <f t="shared" si="32"/>
        <v>1.8297581992837228E-4</v>
      </c>
      <c r="S47" s="1"/>
      <c r="T47" s="1">
        <f>SUM(OSRRefT22_6x_0)</f>
        <v>0</v>
      </c>
      <c r="U47" s="1"/>
      <c r="V47" s="5">
        <f t="shared" si="33"/>
        <v>0</v>
      </c>
      <c r="W47" s="1"/>
      <c r="X47" s="1">
        <f t="shared" si="34"/>
        <v>60</v>
      </c>
      <c r="Y47" s="1"/>
      <c r="Z47" s="5">
        <f t="shared" si="35"/>
        <v>0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>
        <v>60</v>
      </c>
      <c r="E48" s="2"/>
      <c r="F48" s="7">
        <f t="shared" si="28"/>
        <v>3.359917749213499E-3</v>
      </c>
      <c r="G48" s="2"/>
      <c r="H48" s="6"/>
      <c r="I48" s="2"/>
      <c r="J48" s="7">
        <f t="shared" si="29"/>
        <v>0</v>
      </c>
      <c r="K48" s="2"/>
      <c r="L48" s="6">
        <f t="shared" si="30"/>
        <v>60</v>
      </c>
      <c r="M48" s="2"/>
      <c r="N48" s="7">
        <f t="shared" si="31"/>
        <v>0</v>
      </c>
      <c r="O48" s="11"/>
      <c r="P48" s="6">
        <v>60</v>
      </c>
      <c r="Q48" s="2"/>
      <c r="R48" s="7">
        <f t="shared" si="32"/>
        <v>1.8297581992837228E-4</v>
      </c>
      <c r="S48" s="2"/>
      <c r="T48" s="6"/>
      <c r="U48" s="2"/>
      <c r="V48" s="7">
        <f t="shared" si="33"/>
        <v>0</v>
      </c>
      <c r="W48" s="2"/>
      <c r="X48" s="6">
        <f t="shared" si="34"/>
        <v>60</v>
      </c>
      <c r="Y48" s="2"/>
      <c r="Z48" s="7">
        <f t="shared" si="35"/>
        <v>0</v>
      </c>
    </row>
    <row r="49" spans="1:26" s="27" customFormat="1" outlineLevel="1" collapsed="1" x14ac:dyDescent="0.25">
      <c r="A49" s="25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126.35</v>
      </c>
      <c r="E49" s="1"/>
      <c r="F49" s="5">
        <f t="shared" si="28"/>
        <v>7.0754267935520931E-3</v>
      </c>
      <c r="G49" s="1"/>
      <c r="H49" s="1">
        <f>SUM(OSRRefH22_7x_0)</f>
        <v>343.4</v>
      </c>
      <c r="I49" s="1"/>
      <c r="J49" s="5">
        <f t="shared" si="29"/>
        <v>6.3587764632685295E-3</v>
      </c>
      <c r="K49" s="1"/>
      <c r="L49" s="1">
        <f t="shared" si="30"/>
        <v>-217.04999999999998</v>
      </c>
      <c r="M49" s="1"/>
      <c r="N49" s="5">
        <f t="shared" si="31"/>
        <v>-0.63206173558532319</v>
      </c>
      <c r="O49" s="13"/>
      <c r="P49" s="1">
        <f>SUM(OSRRefP22_7x_0)</f>
        <v>599.82000000000005</v>
      </c>
      <c r="Q49" s="1"/>
      <c r="R49" s="5">
        <f t="shared" si="32"/>
        <v>1.829209271823938E-3</v>
      </c>
      <c r="S49" s="1"/>
      <c r="T49" s="1">
        <f>SUM(OSRRefT22_7x_0)</f>
        <v>768.35</v>
      </c>
      <c r="U49" s="1"/>
      <c r="V49" s="5">
        <f t="shared" si="33"/>
        <v>1.444702962320789E-3</v>
      </c>
      <c r="W49" s="1"/>
      <c r="X49" s="1">
        <f t="shared" si="34"/>
        <v>-168.52999999999997</v>
      </c>
      <c r="Y49" s="1"/>
      <c r="Z49" s="5">
        <f t="shared" si="35"/>
        <v>-0.21934014446541286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>
        <v>126.35</v>
      </c>
      <c r="E50" s="2"/>
      <c r="F50" s="7">
        <f t="shared" si="28"/>
        <v>7.0754267935520931E-3</v>
      </c>
      <c r="G50" s="2"/>
      <c r="H50" s="6">
        <v>343.4</v>
      </c>
      <c r="I50" s="2"/>
      <c r="J50" s="7">
        <f t="shared" si="29"/>
        <v>6.3587764632685295E-3</v>
      </c>
      <c r="K50" s="2"/>
      <c r="L50" s="6">
        <f t="shared" si="30"/>
        <v>-217.04999999999998</v>
      </c>
      <c r="M50" s="2"/>
      <c r="N50" s="7">
        <f t="shared" si="31"/>
        <v>-0.63206173558532319</v>
      </c>
      <c r="O50" s="11"/>
      <c r="P50" s="6">
        <v>599.82000000000005</v>
      </c>
      <c r="Q50" s="2"/>
      <c r="R50" s="7">
        <f t="shared" si="32"/>
        <v>1.829209271823938E-3</v>
      </c>
      <c r="S50" s="2"/>
      <c r="T50" s="6">
        <v>768.35</v>
      </c>
      <c r="U50" s="2"/>
      <c r="V50" s="7">
        <f t="shared" si="33"/>
        <v>1.444702962320789E-3</v>
      </c>
      <c r="W50" s="2"/>
      <c r="X50" s="6">
        <f t="shared" si="34"/>
        <v>-168.52999999999997</v>
      </c>
      <c r="Y50" s="2"/>
      <c r="Z50" s="7">
        <f t="shared" si="35"/>
        <v>-0.21934014446541286</v>
      </c>
    </row>
    <row r="51" spans="1:26" s="27" customFormat="1" outlineLevel="1" collapsed="1" x14ac:dyDescent="0.25">
      <c r="A51" s="25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34.659999999999997</v>
      </c>
      <c r="E51" s="1"/>
      <c r="F51" s="5">
        <f t="shared" si="28"/>
        <v>1.9409124864623311E-3</v>
      </c>
      <c r="G51" s="1"/>
      <c r="H51" s="1">
        <f>SUM(OSRRefH22_8x_0)</f>
        <v>0</v>
      </c>
      <c r="I51" s="1"/>
      <c r="J51" s="5">
        <f t="shared" si="29"/>
        <v>0</v>
      </c>
      <c r="K51" s="1"/>
      <c r="L51" s="1">
        <f t="shared" si="30"/>
        <v>34.659999999999997</v>
      </c>
      <c r="M51" s="1"/>
      <c r="N51" s="5">
        <f t="shared" si="31"/>
        <v>0</v>
      </c>
      <c r="O51" s="13"/>
      <c r="P51" s="1">
        <f>SUM(OSRRefP22_8x_0)</f>
        <v>2491.7399999999998</v>
      </c>
      <c r="Q51" s="1"/>
      <c r="R51" s="5">
        <f t="shared" si="32"/>
        <v>7.598802825805372E-3</v>
      </c>
      <c r="S51" s="1"/>
      <c r="T51" s="1">
        <f>SUM(OSRRefT22_8x_0)</f>
        <v>1390.4</v>
      </c>
      <c r="U51" s="1"/>
      <c r="V51" s="5">
        <f t="shared" si="33"/>
        <v>2.6143228981724805E-3</v>
      </c>
      <c r="W51" s="1"/>
      <c r="X51" s="1">
        <f t="shared" si="34"/>
        <v>1101.3399999999997</v>
      </c>
      <c r="Y51" s="1"/>
      <c r="Z51" s="5">
        <f t="shared" si="35"/>
        <v>0.79210299194476386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>
        <v>34.659999999999997</v>
      </c>
      <c r="E52" s="2"/>
      <c r="F52" s="7">
        <f t="shared" si="28"/>
        <v>1.9409124864623311E-3</v>
      </c>
      <c r="G52" s="2"/>
      <c r="H52" s="6"/>
      <c r="I52" s="2"/>
      <c r="J52" s="7">
        <f t="shared" si="29"/>
        <v>0</v>
      </c>
      <c r="K52" s="2"/>
      <c r="L52" s="6">
        <f t="shared" si="30"/>
        <v>34.659999999999997</v>
      </c>
      <c r="M52" s="2"/>
      <c r="N52" s="7">
        <f t="shared" si="31"/>
        <v>0</v>
      </c>
      <c r="O52" s="11"/>
      <c r="P52" s="6">
        <v>2491.7399999999998</v>
      </c>
      <c r="Q52" s="2"/>
      <c r="R52" s="7">
        <f t="shared" si="32"/>
        <v>7.598802825805372E-3</v>
      </c>
      <c r="S52" s="2"/>
      <c r="T52" s="6">
        <v>1390.4</v>
      </c>
      <c r="U52" s="2"/>
      <c r="V52" s="7">
        <f t="shared" si="33"/>
        <v>2.6143228981724805E-3</v>
      </c>
      <c r="W52" s="2"/>
      <c r="X52" s="6">
        <f t="shared" si="34"/>
        <v>1101.3399999999997</v>
      </c>
      <c r="Y52" s="2"/>
      <c r="Z52" s="7">
        <f t="shared" si="35"/>
        <v>0.79210299194476386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1408.73</v>
      </c>
      <c r="E53" s="1"/>
      <c r="F53" s="5">
        <f t="shared" si="28"/>
        <v>7.88869488474922E-2</v>
      </c>
      <c r="G53" s="1"/>
      <c r="H53" s="1">
        <f>SUM(OSRRefH22_9x_0)</f>
        <v>548.55999999999995</v>
      </c>
      <c r="I53" s="1"/>
      <c r="J53" s="5">
        <f t="shared" si="29"/>
        <v>1.0157747282150799E-2</v>
      </c>
      <c r="K53" s="1"/>
      <c r="L53" s="1">
        <f t="shared" si="30"/>
        <v>860.17000000000007</v>
      </c>
      <c r="M53" s="1"/>
      <c r="N53" s="5">
        <f t="shared" si="31"/>
        <v>1.5680508968936855</v>
      </c>
      <c r="O53" s="13"/>
      <c r="P53" s="1">
        <f>SUM(OSRRefP22_9x_0)</f>
        <v>5041.6400000000003</v>
      </c>
      <c r="Q53" s="1"/>
      <c r="R53" s="5">
        <f t="shared" si="32"/>
        <v>1.5374970213061315E-2</v>
      </c>
      <c r="S53" s="1"/>
      <c r="T53" s="1">
        <f>SUM(OSRRefT22_9x_0)</f>
        <v>8980.119999999999</v>
      </c>
      <c r="U53" s="1"/>
      <c r="V53" s="5">
        <f t="shared" si="33"/>
        <v>1.688502110496019E-2</v>
      </c>
      <c r="W53" s="1"/>
      <c r="X53" s="1">
        <f t="shared" si="34"/>
        <v>-3938.4799999999987</v>
      </c>
      <c r="Y53" s="1"/>
      <c r="Z53" s="5">
        <f t="shared" si="35"/>
        <v>-0.43857765820501277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6">
        <v>995.26</v>
      </c>
      <c r="E54" s="2"/>
      <c r="F54" s="7">
        <f t="shared" si="28"/>
        <v>5.573319565137045E-2</v>
      </c>
      <c r="G54" s="2"/>
      <c r="H54" s="6">
        <v>57.23</v>
      </c>
      <c r="I54" s="2"/>
      <c r="J54" s="7">
        <f t="shared" si="29"/>
        <v>1.0597343535027897E-3</v>
      </c>
      <c r="K54" s="2"/>
      <c r="L54" s="6">
        <f t="shared" si="30"/>
        <v>938.03</v>
      </c>
      <c r="M54" s="2"/>
      <c r="N54" s="7">
        <f t="shared" si="31"/>
        <v>16.390529442600034</v>
      </c>
      <c r="O54" s="11"/>
      <c r="P54" s="6">
        <v>1071.28</v>
      </c>
      <c r="Q54" s="2"/>
      <c r="R54" s="7">
        <f t="shared" si="32"/>
        <v>3.2669722728811109E-3</v>
      </c>
      <c r="S54" s="2"/>
      <c r="T54" s="6">
        <v>114.46</v>
      </c>
      <c r="U54" s="2"/>
      <c r="V54" s="7">
        <f t="shared" si="33"/>
        <v>2.152153329436292E-4</v>
      </c>
      <c r="W54" s="2"/>
      <c r="X54" s="6">
        <f t="shared" si="34"/>
        <v>956.81999999999994</v>
      </c>
      <c r="Y54" s="2"/>
      <c r="Z54" s="7">
        <f t="shared" si="35"/>
        <v>8.3594268740171245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413.47</v>
      </c>
      <c r="E55" s="2"/>
      <c r="F55" s="7">
        <f t="shared" si="28"/>
        <v>2.3153753196121757E-2</v>
      </c>
      <c r="G55" s="2"/>
      <c r="H55" s="6">
        <v>491.33</v>
      </c>
      <c r="I55" s="2"/>
      <c r="J55" s="7">
        <f t="shared" si="29"/>
        <v>9.09801292864801E-3</v>
      </c>
      <c r="K55" s="2"/>
      <c r="L55" s="6">
        <f t="shared" si="30"/>
        <v>-77.859999999999957</v>
      </c>
      <c r="M55" s="2"/>
      <c r="N55" s="7">
        <f t="shared" si="31"/>
        <v>-0.15846783221053051</v>
      </c>
      <c r="O55" s="11"/>
      <c r="P55" s="6">
        <v>3970.36</v>
      </c>
      <c r="Q55" s="2"/>
      <c r="R55" s="7">
        <f t="shared" si="32"/>
        <v>1.2107997940180203E-2</v>
      </c>
      <c r="S55" s="2"/>
      <c r="T55" s="6">
        <v>8865.66</v>
      </c>
      <c r="U55" s="2"/>
      <c r="V55" s="7">
        <f t="shared" si="33"/>
        <v>1.6669805772016565E-2</v>
      </c>
      <c r="W55" s="2"/>
      <c r="X55" s="6">
        <f t="shared" si="34"/>
        <v>-4895.2999999999993</v>
      </c>
      <c r="Y55" s="2"/>
      <c r="Z55" s="7">
        <f t="shared" si="35"/>
        <v>-0.55216419307755982</v>
      </c>
    </row>
    <row r="56" spans="1:26" s="27" customFormat="1" outlineLevel="1" collapsed="1" x14ac:dyDescent="0.25">
      <c r="A56" s="25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0</v>
      </c>
      <c r="E56" s="1"/>
      <c r="F56" s="5">
        <f t="shared" ref="F56:F61" si="36">IF(D$12=0,0,D56/D$12)</f>
        <v>0</v>
      </c>
      <c r="G56" s="1"/>
      <c r="H56" s="1">
        <f>SUM(OSRRefH22_10x_0)</f>
        <v>0</v>
      </c>
      <c r="I56" s="1"/>
      <c r="J56" s="5">
        <f t="shared" ref="J56:J61" si="37">IF(H$12=0,0,H56/H$12)</f>
        <v>0</v>
      </c>
      <c r="K56" s="1"/>
      <c r="L56" s="1">
        <f t="shared" ref="L56:L61" si="38">+D56-H56</f>
        <v>0</v>
      </c>
      <c r="M56" s="1"/>
      <c r="N56" s="5">
        <f t="shared" ref="N56:N61" si="39">IF(H56=0,0,L56/H56)</f>
        <v>0</v>
      </c>
      <c r="O56" s="13"/>
      <c r="P56" s="1">
        <f>SUM(OSRRefP22_10x_0)</f>
        <v>0</v>
      </c>
      <c r="Q56" s="1"/>
      <c r="R56" s="5">
        <f t="shared" ref="R56:R61" si="40">IF(P$12=0,0,P56/P$12)</f>
        <v>0</v>
      </c>
      <c r="S56" s="1"/>
      <c r="T56" s="1">
        <f>SUM(OSRRefT22_10x_0)</f>
        <v>2954.27</v>
      </c>
      <c r="U56" s="1"/>
      <c r="V56" s="5">
        <f t="shared" ref="V56:V61" si="41">IF(T$12=0,0,T56/T$12)</f>
        <v>5.554815670586891E-3</v>
      </c>
      <c r="W56" s="1"/>
      <c r="X56" s="1">
        <f t="shared" ref="X56:X61" si="42">+P56-T56</f>
        <v>-2954.27</v>
      </c>
      <c r="Y56" s="1"/>
      <c r="Z56" s="5">
        <f t="shared" ref="Z56:Z61" si="43">IF(T56=0,0,X56/T56)</f>
        <v>-1</v>
      </c>
    </row>
    <row r="57" spans="1:26" s="24" customFormat="1" hidden="1" outlineLevel="2" x14ac:dyDescent="0.25">
      <c r="A57" s="26"/>
      <c r="B57" s="11" t="str">
        <f>CONCATENATE("          ", "6254", " - ", "ROYALTY &amp; COMMISSIONS")</f>
        <v xml:space="preserve">          6254 - ROYALTY &amp; COMMISSIONS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2954.27</v>
      </c>
      <c r="U57" s="2"/>
      <c r="V57" s="7">
        <f t="shared" si="41"/>
        <v>5.554815670586891E-3</v>
      </c>
      <c r="W57" s="2"/>
      <c r="X57" s="6">
        <f t="shared" si="42"/>
        <v>-2954.27</v>
      </c>
      <c r="Y57" s="2"/>
      <c r="Z57" s="7">
        <f t="shared" si="43"/>
        <v>-1</v>
      </c>
    </row>
    <row r="58" spans="1:26" s="27" customFormat="1" outlineLevel="1" collapsed="1" x14ac:dyDescent="0.25">
      <c r="A58" s="25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1970.45</v>
      </c>
      <c r="E58" s="1"/>
      <c r="F58" s="5">
        <f t="shared" si="36"/>
        <v>0.11034249881562899</v>
      </c>
      <c r="G58" s="1"/>
      <c r="H58" s="1">
        <f>SUM(OSRRefH22_11x_0)</f>
        <v>1890.16</v>
      </c>
      <c r="I58" s="1"/>
      <c r="J58" s="5">
        <f t="shared" si="37"/>
        <v>3.500030553235773E-2</v>
      </c>
      <c r="K58" s="1"/>
      <c r="L58" s="1">
        <f t="shared" si="38"/>
        <v>80.289999999999964</v>
      </c>
      <c r="M58" s="1"/>
      <c r="N58" s="5">
        <f t="shared" si="39"/>
        <v>4.2477885470013098E-2</v>
      </c>
      <c r="O58" s="13"/>
      <c r="P58" s="1">
        <f>SUM(OSRRefP22_11x_0)</f>
        <v>13933.66</v>
      </c>
      <c r="Q58" s="1"/>
      <c r="R58" s="5">
        <f t="shared" si="40"/>
        <v>4.2492047718386064E-2</v>
      </c>
      <c r="S58" s="1"/>
      <c r="T58" s="1">
        <f>SUM(OSRRefT22_11x_0)</f>
        <v>14996.880000000001</v>
      </c>
      <c r="U58" s="1"/>
      <c r="V58" s="5">
        <f t="shared" si="41"/>
        <v>2.8198134914517337E-2</v>
      </c>
      <c r="W58" s="1"/>
      <c r="X58" s="1">
        <f t="shared" si="42"/>
        <v>-1063.2200000000012</v>
      </c>
      <c r="Y58" s="1"/>
      <c r="Z58" s="5">
        <f t="shared" si="43"/>
        <v>-7.0896079717914728E-2</v>
      </c>
    </row>
    <row r="59" spans="1:26" s="24" customFormat="1" hidden="1" outlineLevel="2" x14ac:dyDescent="0.25">
      <c r="A59" s="26"/>
      <c r="B59" s="11" t="str">
        <f>CONCATENATE("          ", "6283", " - ", "PLANT SERVICE")</f>
        <v xml:space="preserve">          6283 - PLANT SERVICE</v>
      </c>
      <c r="C59" s="11"/>
      <c r="D59" s="6"/>
      <c r="E59" s="2"/>
      <c r="F59" s="7">
        <f t="shared" si="36"/>
        <v>0</v>
      </c>
      <c r="G59" s="2"/>
      <c r="H59" s="6">
        <v>57</v>
      </c>
      <c r="I59" s="2"/>
      <c r="J59" s="7">
        <f t="shared" si="37"/>
        <v>1.0554754176071816E-3</v>
      </c>
      <c r="K59" s="2"/>
      <c r="L59" s="6">
        <f t="shared" si="38"/>
        <v>-57</v>
      </c>
      <c r="M59" s="2"/>
      <c r="N59" s="7">
        <f t="shared" si="39"/>
        <v>-1</v>
      </c>
      <c r="O59" s="11"/>
      <c r="P59" s="6">
        <v>251.8</v>
      </c>
      <c r="Q59" s="2"/>
      <c r="R59" s="7">
        <f t="shared" si="40"/>
        <v>7.6788852429940239E-4</v>
      </c>
      <c r="S59" s="2"/>
      <c r="T59" s="6">
        <v>342</v>
      </c>
      <c r="U59" s="2"/>
      <c r="V59" s="7">
        <f t="shared" si="41"/>
        <v>6.4305123070698233E-4</v>
      </c>
      <c r="W59" s="2"/>
      <c r="X59" s="6">
        <f t="shared" si="42"/>
        <v>-90.199999999999989</v>
      </c>
      <c r="Y59" s="2"/>
      <c r="Z59" s="7">
        <f t="shared" si="43"/>
        <v>-0.2637426900584795</v>
      </c>
    </row>
    <row r="60" spans="1:26" s="24" customFormat="1" hidden="1" outlineLevel="2" x14ac:dyDescent="0.25">
      <c r="A60" s="26"/>
      <c r="B60" s="11" t="str">
        <f>CONCATENATE("          ", "6285", " - ", "JANITORIAL SERVICES")</f>
        <v xml:space="preserve">          6285 - JANITORIAL SERVICES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/>
      <c r="Q60" s="2"/>
      <c r="R60" s="7">
        <f t="shared" si="40"/>
        <v>0</v>
      </c>
      <c r="S60" s="2"/>
      <c r="T60" s="6">
        <v>246.12</v>
      </c>
      <c r="U60" s="2"/>
      <c r="V60" s="7">
        <f t="shared" si="41"/>
        <v>4.6277125409825291E-4</v>
      </c>
      <c r="W60" s="2"/>
      <c r="X60" s="6">
        <f t="shared" si="42"/>
        <v>-246.12</v>
      </c>
      <c r="Y60" s="2"/>
      <c r="Z60" s="7">
        <f t="shared" si="43"/>
        <v>-1</v>
      </c>
    </row>
    <row r="61" spans="1:26" s="24" customFormat="1" hidden="1" outlineLevel="2" x14ac:dyDescent="0.25">
      <c r="A61" s="26"/>
      <c r="B61" s="11" t="str">
        <f>CONCATENATE("          ", "6286", " - ", "LAUNDRY EXPENSE")</f>
        <v xml:space="preserve">          6286 - LAUNDRY EXPENSE</v>
      </c>
      <c r="C61" s="11"/>
      <c r="D61" s="6">
        <v>1970.45</v>
      </c>
      <c r="E61" s="2"/>
      <c r="F61" s="7">
        <f t="shared" si="36"/>
        <v>0.11034249881562899</v>
      </c>
      <c r="G61" s="2"/>
      <c r="H61" s="6">
        <v>1833.16</v>
      </c>
      <c r="I61" s="2"/>
      <c r="J61" s="7">
        <f t="shared" si="37"/>
        <v>3.3944830114750552E-2</v>
      </c>
      <c r="K61" s="2"/>
      <c r="L61" s="6">
        <f t="shared" si="38"/>
        <v>137.28999999999996</v>
      </c>
      <c r="M61" s="2"/>
      <c r="N61" s="7">
        <f t="shared" si="39"/>
        <v>7.4892535294245985E-2</v>
      </c>
      <c r="O61" s="11"/>
      <c r="P61" s="6">
        <v>13681.86</v>
      </c>
      <c r="Q61" s="2"/>
      <c r="R61" s="7">
        <f t="shared" si="40"/>
        <v>4.172415919408666E-2</v>
      </c>
      <c r="S61" s="2"/>
      <c r="T61" s="6">
        <v>14408.76</v>
      </c>
      <c r="U61" s="2"/>
      <c r="V61" s="7">
        <f t="shared" si="41"/>
        <v>2.70923124297121E-2</v>
      </c>
      <c r="W61" s="2"/>
      <c r="X61" s="6">
        <f t="shared" si="42"/>
        <v>-726.89999999999964</v>
      </c>
      <c r="Y61" s="2"/>
      <c r="Z61" s="7">
        <f t="shared" si="43"/>
        <v>-5.0448477176384343E-2</v>
      </c>
    </row>
    <row r="62" spans="1:26" s="27" customFormat="1" outlineLevel="1" collapsed="1" x14ac:dyDescent="0.25">
      <c r="A62" s="25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SUM(OSRRefD22_12x_0)</f>
        <v>379.64000000000004</v>
      </c>
      <c r="E62" s="1"/>
      <c r="F62" s="5">
        <f t="shared" ref="F62:F69" si="44">IF(D$12=0,0,D62/D$12)</f>
        <v>2.125931957185688E-2</v>
      </c>
      <c r="G62" s="1"/>
      <c r="H62" s="1">
        <f>SUM(OSRRefH22_12x_0)</f>
        <v>880.15</v>
      </c>
      <c r="I62" s="1"/>
      <c r="J62" s="5">
        <f t="shared" ref="J62:J69" si="45">IF(H$12=0,0,H62/H$12)</f>
        <v>1.6297836645736159E-2</v>
      </c>
      <c r="K62" s="1"/>
      <c r="L62" s="1">
        <f t="shared" ref="L62:L69" si="46">+D62-H62</f>
        <v>-500.50999999999993</v>
      </c>
      <c r="M62" s="1"/>
      <c r="N62" s="5">
        <f t="shared" ref="N62:N69" si="47">IF(H62=0,0,L62/H62)</f>
        <v>-0.56866443219905694</v>
      </c>
      <c r="O62" s="13"/>
      <c r="P62" s="1">
        <f>SUM(OSRRefP22_12x_0)</f>
        <v>8813.67</v>
      </c>
      <c r="Q62" s="1"/>
      <c r="R62" s="5">
        <f t="shared" ref="R62:R69" si="48">IF(P$12=0,0,P62/P$12)</f>
        <v>2.6878141580468282E-2</v>
      </c>
      <c r="S62" s="1"/>
      <c r="T62" s="1">
        <f>SUM(OSRRefT22_12x_0)</f>
        <v>13880.61</v>
      </c>
      <c r="U62" s="1"/>
      <c r="V62" s="5">
        <f t="shared" ref="V62:V69" si="49">IF(T$12=0,0,T62/T$12)</f>
        <v>2.6099249542291363E-2</v>
      </c>
      <c r="W62" s="1"/>
      <c r="X62" s="1">
        <f t="shared" ref="X62:X69" si="50">+P62-T62</f>
        <v>-5066.9400000000005</v>
      </c>
      <c r="Y62" s="1"/>
      <c r="Z62" s="5">
        <f t="shared" ref="Z62:Z69" si="51">IF(T62=0,0,X62/T62)</f>
        <v>-0.36503727141674613</v>
      </c>
    </row>
    <row r="63" spans="1:26" s="24" customFormat="1" hidden="1" outlineLevel="2" x14ac:dyDescent="0.25">
      <c r="A63" s="26"/>
      <c r="B63" s="11" t="str">
        <f>CONCATENATE("          ", "6234", " - ", "EXPENDABLE SUPPLIES &amp; EQUIPMEN")</f>
        <v xml:space="preserve">          6234 - EXPENDABLE SUPPLIES &amp; EQUIPMEN</v>
      </c>
      <c r="C63" s="11"/>
      <c r="D63" s="6"/>
      <c r="E63" s="2"/>
      <c r="F63" s="7">
        <f t="shared" si="44"/>
        <v>0</v>
      </c>
      <c r="G63" s="2"/>
      <c r="H63" s="6">
        <v>128.07</v>
      </c>
      <c r="I63" s="2"/>
      <c r="J63" s="7">
        <f t="shared" si="45"/>
        <v>2.3714866093500308E-3</v>
      </c>
      <c r="K63" s="2"/>
      <c r="L63" s="6">
        <f t="shared" si="46"/>
        <v>-128.07</v>
      </c>
      <c r="M63" s="2"/>
      <c r="N63" s="7">
        <f t="shared" si="47"/>
        <v>-1</v>
      </c>
      <c r="O63" s="11"/>
      <c r="P63" s="6">
        <v>287.29000000000002</v>
      </c>
      <c r="Q63" s="2"/>
      <c r="R63" s="7">
        <f t="shared" si="48"/>
        <v>8.761187217870346E-4</v>
      </c>
      <c r="S63" s="2"/>
      <c r="T63" s="6">
        <v>5094.0600000000004</v>
      </c>
      <c r="U63" s="2"/>
      <c r="V63" s="7">
        <f t="shared" si="49"/>
        <v>9.5781916733778082E-3</v>
      </c>
      <c r="W63" s="2"/>
      <c r="X63" s="6">
        <f t="shared" si="50"/>
        <v>-4806.7700000000004</v>
      </c>
      <c r="Y63" s="2"/>
      <c r="Z63" s="7">
        <f t="shared" si="51"/>
        <v>-0.94360294146515744</v>
      </c>
    </row>
    <row r="64" spans="1:26" s="24" customFormat="1" hidden="1" outlineLevel="2" x14ac:dyDescent="0.25">
      <c r="A64" s="26"/>
      <c r="B64" s="11" t="str">
        <f>CONCATENATE("          ", "6237", " - ", "JANITORIAL SUPPLIES")</f>
        <v xml:space="preserve">          6237 - JANITORIAL SUPPLIES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/>
      <c r="Q64" s="2"/>
      <c r="R64" s="7">
        <f t="shared" si="48"/>
        <v>0</v>
      </c>
      <c r="S64" s="2"/>
      <c r="T64" s="6">
        <v>493.59</v>
      </c>
      <c r="U64" s="2"/>
      <c r="V64" s="7">
        <f t="shared" si="49"/>
        <v>9.280808683177175E-4</v>
      </c>
      <c r="W64" s="2"/>
      <c r="X64" s="6">
        <f t="shared" si="50"/>
        <v>-493.59</v>
      </c>
      <c r="Y64" s="2"/>
      <c r="Z64" s="7">
        <f t="shared" si="51"/>
        <v>-1</v>
      </c>
    </row>
    <row r="65" spans="1:26" s="24" customFormat="1" hidden="1" outlineLevel="2" x14ac:dyDescent="0.25">
      <c r="A65" s="26"/>
      <c r="B65" s="11" t="str">
        <f>CONCATENATE("          ", "6239", " - ", "KITCHEN SUPPLIES")</f>
        <v xml:space="preserve">          6239 - KITCHEN SUPPLIES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>
        <v>3349.27</v>
      </c>
      <c r="Q65" s="2"/>
      <c r="R65" s="7">
        <f t="shared" si="48"/>
        <v>1.0213923740191658E-2</v>
      </c>
      <c r="S65" s="2"/>
      <c r="T65" s="6">
        <v>622.25</v>
      </c>
      <c r="U65" s="2"/>
      <c r="V65" s="7">
        <f t="shared" si="49"/>
        <v>1.1699959892029817E-3</v>
      </c>
      <c r="W65" s="2"/>
      <c r="X65" s="6">
        <f t="shared" si="50"/>
        <v>2727.02</v>
      </c>
      <c r="Y65" s="2"/>
      <c r="Z65" s="7">
        <f t="shared" si="51"/>
        <v>4.382515066291683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6">
        <v>24.6</v>
      </c>
      <c r="E66" s="2"/>
      <c r="F66" s="7">
        <f t="shared" si="44"/>
        <v>1.3775662771775346E-3</v>
      </c>
      <c r="G66" s="2"/>
      <c r="H66" s="6">
        <v>131.19999999999999</v>
      </c>
      <c r="I66" s="2"/>
      <c r="J66" s="7">
        <f t="shared" si="45"/>
        <v>2.4294451717554776E-3</v>
      </c>
      <c r="K66" s="2"/>
      <c r="L66" s="6">
        <f t="shared" si="46"/>
        <v>-106.6</v>
      </c>
      <c r="M66" s="2"/>
      <c r="N66" s="7">
        <f t="shared" si="47"/>
        <v>-0.8125</v>
      </c>
      <c r="O66" s="11"/>
      <c r="P66" s="6">
        <v>642.72</v>
      </c>
      <c r="Q66" s="2"/>
      <c r="R66" s="7">
        <f t="shared" si="48"/>
        <v>1.960036983072724E-3</v>
      </c>
      <c r="S66" s="2"/>
      <c r="T66" s="6">
        <v>1336.67</v>
      </c>
      <c r="U66" s="2"/>
      <c r="V66" s="7">
        <f t="shared" si="49"/>
        <v>2.5132961653482515E-3</v>
      </c>
      <c r="W66" s="2"/>
      <c r="X66" s="6">
        <f t="shared" si="50"/>
        <v>-693.95</v>
      </c>
      <c r="Y66" s="2"/>
      <c r="Z66" s="7">
        <f t="shared" si="51"/>
        <v>-0.51916329385712257</v>
      </c>
    </row>
    <row r="67" spans="1:26" s="24" customFormat="1" hidden="1" outlineLevel="2" x14ac:dyDescent="0.25">
      <c r="A67" s="26"/>
      <c r="B67" s="11" t="str">
        <f>CONCATENATE("          ", "6243", " - ", "PAPER SUPPLIES")</f>
        <v xml:space="preserve">          6243 - PAPER SUPPLIES</v>
      </c>
      <c r="C67" s="11"/>
      <c r="D67" s="6">
        <v>355.04</v>
      </c>
      <c r="E67" s="2"/>
      <c r="F67" s="7">
        <f t="shared" si="44"/>
        <v>1.9881753294679345E-2</v>
      </c>
      <c r="G67" s="2"/>
      <c r="H67" s="6">
        <v>473.72</v>
      </c>
      <c r="I67" s="2"/>
      <c r="J67" s="7">
        <f t="shared" si="45"/>
        <v>8.7719265759451607E-3</v>
      </c>
      <c r="K67" s="2"/>
      <c r="L67" s="6">
        <f t="shared" si="46"/>
        <v>-118.68</v>
      </c>
      <c r="M67" s="2"/>
      <c r="N67" s="7">
        <f t="shared" si="47"/>
        <v>-0.25052773790424726</v>
      </c>
      <c r="O67" s="11"/>
      <c r="P67" s="6">
        <v>3563.73</v>
      </c>
      <c r="Q67" s="2"/>
      <c r="R67" s="7">
        <f t="shared" si="48"/>
        <v>1.0867940312555637E-2</v>
      </c>
      <c r="S67" s="2"/>
      <c r="T67" s="6">
        <v>4449.6400000000003</v>
      </c>
      <c r="U67" s="2"/>
      <c r="V67" s="7">
        <f t="shared" si="49"/>
        <v>8.3665101701842597E-3</v>
      </c>
      <c r="W67" s="2"/>
      <c r="X67" s="6">
        <f t="shared" si="50"/>
        <v>-885.91000000000031</v>
      </c>
      <c r="Y67" s="2"/>
      <c r="Z67" s="7">
        <f t="shared" si="51"/>
        <v>-0.19909700560045313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44"/>
        <v>0</v>
      </c>
      <c r="G68" s="2"/>
      <c r="H68" s="6">
        <v>147.16</v>
      </c>
      <c r="I68" s="2"/>
      <c r="J68" s="7">
        <f t="shared" si="45"/>
        <v>2.7249782886854886E-3</v>
      </c>
      <c r="K68" s="2"/>
      <c r="L68" s="6">
        <f t="shared" si="46"/>
        <v>-147.16</v>
      </c>
      <c r="M68" s="2"/>
      <c r="N68" s="7">
        <f t="shared" si="47"/>
        <v>-1</v>
      </c>
      <c r="O68" s="11"/>
      <c r="P68" s="6">
        <v>366.09</v>
      </c>
      <c r="Q68" s="2"/>
      <c r="R68" s="7">
        <f t="shared" si="48"/>
        <v>1.1164269652929634E-3</v>
      </c>
      <c r="S68" s="2"/>
      <c r="T68" s="6">
        <v>1111.05</v>
      </c>
      <c r="U68" s="2"/>
      <c r="V68" s="7">
        <f t="shared" si="49"/>
        <v>2.0890703797572883E-3</v>
      </c>
      <c r="W68" s="2"/>
      <c r="X68" s="6">
        <f t="shared" si="50"/>
        <v>-744.96</v>
      </c>
      <c r="Y68" s="2"/>
      <c r="Z68" s="7">
        <f t="shared" si="51"/>
        <v>-0.67050087754826526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604.57000000000005</v>
      </c>
      <c r="Q69" s="2"/>
      <c r="R69" s="7">
        <f t="shared" si="48"/>
        <v>1.8436948575682674E-3</v>
      </c>
      <c r="S69" s="2"/>
      <c r="T69" s="6">
        <v>773.35</v>
      </c>
      <c r="U69" s="2"/>
      <c r="V69" s="7">
        <f t="shared" si="49"/>
        <v>1.454104296103055E-3</v>
      </c>
      <c r="W69" s="2"/>
      <c r="X69" s="6">
        <f t="shared" si="50"/>
        <v>-168.77999999999997</v>
      </c>
      <c r="Y69" s="2"/>
      <c r="Z69" s="7">
        <f t="shared" si="51"/>
        <v>-0.21824529643757673</v>
      </c>
    </row>
    <row r="70" spans="1:26" s="27" customFormat="1" outlineLevel="1" collapsed="1" x14ac:dyDescent="0.25">
      <c r="A70" s="25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SUM(OSRRefD22_13x_0)</f>
        <v>222.68</v>
      </c>
      <c r="E70" s="1"/>
      <c r="F70" s="5">
        <f t="shared" ref="F70:F73" si="52">IF(D$12=0,0,D70/D$12)</f>
        <v>1.2469774739914365E-2</v>
      </c>
      <c r="G70" s="1"/>
      <c r="H70" s="1">
        <f>SUM(OSRRefH22_13x_0)</f>
        <v>191.78</v>
      </c>
      <c r="I70" s="1"/>
      <c r="J70" s="5">
        <f t="shared" ref="J70:J73" si="53">IF(H$12=0,0,H70/H$12)</f>
        <v>3.5512118524334267E-3</v>
      </c>
      <c r="K70" s="1"/>
      <c r="L70" s="1">
        <f t="shared" ref="L70:L73" si="54">+D70-H70</f>
        <v>30.900000000000006</v>
      </c>
      <c r="M70" s="1"/>
      <c r="N70" s="5">
        <f t="shared" ref="N70:N73" si="55">IF(H70=0,0,L70/H70)</f>
        <v>0.16112211909479615</v>
      </c>
      <c r="O70" s="13"/>
      <c r="P70" s="1">
        <f>SUM(OSRRefP22_13x_0)</f>
        <v>1178.99</v>
      </c>
      <c r="Q70" s="1"/>
      <c r="R70" s="5">
        <f t="shared" ref="R70:R73" si="56">IF(P$12=0,0,P70/P$12)</f>
        <v>3.5954443656225276E-3</v>
      </c>
      <c r="S70" s="1"/>
      <c r="T70" s="1">
        <f>SUM(OSRRefT22_13x_0)</f>
        <v>1250.25</v>
      </c>
      <c r="U70" s="1"/>
      <c r="V70" s="5">
        <f t="shared" ref="V70:V73" si="57">IF(T$12=0,0,T70/T$12)</f>
        <v>2.350803512255569E-3</v>
      </c>
      <c r="W70" s="1"/>
      <c r="X70" s="1">
        <f t="shared" ref="X70:X73" si="58">+P70-T70</f>
        <v>-71.259999999999991</v>
      </c>
      <c r="Y70" s="1"/>
      <c r="Z70" s="5">
        <f t="shared" ref="Z70:Z73" si="59">IF(T70=0,0,X70/T70)</f>
        <v>-5.6996600679864021E-2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6">
        <v>222.68</v>
      </c>
      <c r="E71" s="2"/>
      <c r="F71" s="7">
        <f t="shared" si="52"/>
        <v>1.2469774739914365E-2</v>
      </c>
      <c r="G71" s="2"/>
      <c r="H71" s="6">
        <v>191.78</v>
      </c>
      <c r="I71" s="2"/>
      <c r="J71" s="7">
        <f t="shared" si="53"/>
        <v>3.5512118524334267E-3</v>
      </c>
      <c r="K71" s="2"/>
      <c r="L71" s="6">
        <f t="shared" si="54"/>
        <v>30.900000000000006</v>
      </c>
      <c r="M71" s="2"/>
      <c r="N71" s="7">
        <f t="shared" si="55"/>
        <v>0.16112211909479615</v>
      </c>
      <c r="O71" s="11"/>
      <c r="P71" s="6">
        <v>1178.99</v>
      </c>
      <c r="Q71" s="2"/>
      <c r="R71" s="7">
        <f t="shared" si="56"/>
        <v>3.5954443656225276E-3</v>
      </c>
      <c r="S71" s="2"/>
      <c r="T71" s="6">
        <v>1250.25</v>
      </c>
      <c r="U71" s="2"/>
      <c r="V71" s="7">
        <f t="shared" si="57"/>
        <v>2.350803512255569E-3</v>
      </c>
      <c r="W71" s="2"/>
      <c r="X71" s="6">
        <f t="shared" si="58"/>
        <v>-71.259999999999991</v>
      </c>
      <c r="Y71" s="2"/>
      <c r="Z71" s="7">
        <f t="shared" si="59"/>
        <v>-5.6996600679864021E-2</v>
      </c>
    </row>
    <row r="72" spans="1:26" s="27" customFormat="1" outlineLevel="1" collapsed="1" x14ac:dyDescent="0.25">
      <c r="A72" s="25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SUM(OSRRefD22_14x_0)</f>
        <v>0</v>
      </c>
      <c r="E72" s="1"/>
      <c r="F72" s="5">
        <f t="shared" si="52"/>
        <v>0</v>
      </c>
      <c r="G72" s="1"/>
      <c r="H72" s="1">
        <f>SUM(OSRRefH22_14x_0)</f>
        <v>0</v>
      </c>
      <c r="I72" s="1"/>
      <c r="J72" s="5">
        <f t="shared" si="53"/>
        <v>0</v>
      </c>
      <c r="K72" s="1"/>
      <c r="L72" s="1">
        <f t="shared" si="54"/>
        <v>0</v>
      </c>
      <c r="M72" s="1"/>
      <c r="N72" s="5">
        <f t="shared" si="55"/>
        <v>0</v>
      </c>
      <c r="O72" s="13"/>
      <c r="P72" s="1">
        <f>SUM(OSRRefP22_14x_0)</f>
        <v>175</v>
      </c>
      <c r="Q72" s="1"/>
      <c r="R72" s="5">
        <f t="shared" si="56"/>
        <v>5.336794747910858E-4</v>
      </c>
      <c r="S72" s="1"/>
      <c r="T72" s="1">
        <f>SUM(OSRRefT22_14x_0)</f>
        <v>112.5</v>
      </c>
      <c r="U72" s="1"/>
      <c r="V72" s="5">
        <f t="shared" si="57"/>
        <v>2.1153001010098104E-4</v>
      </c>
      <c r="W72" s="1"/>
      <c r="X72" s="1">
        <f t="shared" si="58"/>
        <v>62.5</v>
      </c>
      <c r="Y72" s="1"/>
      <c r="Z72" s="5">
        <f t="shared" si="59"/>
        <v>0.55555555555555558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52"/>
        <v>0</v>
      </c>
      <c r="G73" s="2"/>
      <c r="H73" s="6"/>
      <c r="I73" s="2"/>
      <c r="J73" s="7">
        <f t="shared" si="53"/>
        <v>0</v>
      </c>
      <c r="K73" s="2"/>
      <c r="L73" s="6">
        <f t="shared" si="54"/>
        <v>0</v>
      </c>
      <c r="M73" s="2"/>
      <c r="N73" s="7">
        <f t="shared" si="55"/>
        <v>0</v>
      </c>
      <c r="O73" s="11"/>
      <c r="P73" s="6">
        <v>175</v>
      </c>
      <c r="Q73" s="2"/>
      <c r="R73" s="7">
        <f t="shared" si="56"/>
        <v>5.336794747910858E-4</v>
      </c>
      <c r="S73" s="2"/>
      <c r="T73" s="6">
        <v>112.5</v>
      </c>
      <c r="U73" s="2"/>
      <c r="V73" s="7">
        <f t="shared" si="57"/>
        <v>2.1153001010098104E-4</v>
      </c>
      <c r="W73" s="2"/>
      <c r="X73" s="6">
        <f t="shared" si="58"/>
        <v>62.5</v>
      </c>
      <c r="Y73" s="2"/>
      <c r="Z73" s="7">
        <f t="shared" si="59"/>
        <v>0.55555555555555558</v>
      </c>
    </row>
    <row r="74" spans="1:26" s="61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0">
        <f>+D20-D22+D75</f>
        <v>-33474.74</v>
      </c>
      <c r="E77" s="14"/>
      <c r="F77" s="21">
        <f>IF(D$12=0,0,D77/D$12)</f>
        <v>-1.8745395512717846</v>
      </c>
      <c r="G77" s="14"/>
      <c r="H77" s="20">
        <f>+H20-H22+H75</f>
        <v>-8667.260000000002</v>
      </c>
      <c r="I77" s="14"/>
      <c r="J77" s="21">
        <f>IF(H$12=0,0,H77/H$12)</f>
        <v>-0.16049262926333374</v>
      </c>
      <c r="K77" s="15"/>
      <c r="L77" s="20">
        <f>+D77-H77</f>
        <v>-24807.479999999996</v>
      </c>
      <c r="M77" s="15"/>
      <c r="N77" s="21">
        <f>IF(H77=0,0,L77/H77)</f>
        <v>2.8622055874636265</v>
      </c>
      <c r="O77" s="28"/>
      <c r="P77" s="20">
        <f>+P20-P22+P75</f>
        <v>-69985.949999999983</v>
      </c>
      <c r="Q77" s="14"/>
      <c r="R77" s="21">
        <f>IF(P$12=0,0,P77/P$12)</f>
        <v>-0.21342894307860105</v>
      </c>
      <c r="S77" s="14"/>
      <c r="T77" s="20">
        <f>+T20-T22+T75</f>
        <v>23463.440000000061</v>
      </c>
      <c r="U77" s="14"/>
      <c r="V77" s="21">
        <f>IF(T$12=0,0,T77/T$12)</f>
        <v>4.4117526224033553E-2</v>
      </c>
      <c r="W77" s="15"/>
      <c r="X77" s="20">
        <f>+P77-T77</f>
        <v>-93449.390000000043</v>
      </c>
      <c r="Y77" s="15"/>
      <c r="Z77" s="21">
        <f>IF(T77=0,0,X77/T77)</f>
        <v>-3.9827659541823279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2584.36</v>
      </c>
      <c r="E79" s="4"/>
      <c r="F79" s="12">
        <f>IF(D$12=0,0,D79/D$12)</f>
        <v>0.14472061723928997</v>
      </c>
      <c r="G79" s="4"/>
      <c r="H79" s="4">
        <v>7114.55</v>
      </c>
      <c r="I79" s="4"/>
      <c r="J79" s="12">
        <f>IF(H$12=0,0,H79/H$12)</f>
        <v>0.1317409233743364</v>
      </c>
      <c r="K79" s="4"/>
      <c r="L79" s="4">
        <f>+D79-H79</f>
        <v>-4530.1900000000005</v>
      </c>
      <c r="M79" s="4"/>
      <c r="N79" s="12">
        <f>IF(H79=0,0,L79/H79)</f>
        <v>-0.63675004041014549</v>
      </c>
      <c r="O79" s="10"/>
      <c r="P79" s="4">
        <v>35417.040000000001</v>
      </c>
      <c r="Q79" s="4"/>
      <c r="R79" s="12">
        <f>IF(P$12=0,0,P79/P$12)</f>
        <v>0.10800769889059932</v>
      </c>
      <c r="S79" s="4"/>
      <c r="T79" s="4">
        <v>57393.53</v>
      </c>
      <c r="U79" s="4"/>
      <c r="V79" s="12">
        <f>IF(T$12=0,0,T79/T$12)</f>
        <v>0.10791514649449739</v>
      </c>
      <c r="W79" s="4"/>
      <c r="X79" s="4">
        <f>+P79-T79</f>
        <v>-21976.489999999998</v>
      </c>
      <c r="Y79" s="4"/>
      <c r="Z79" s="12">
        <f>IF(T79=0,0,X79/T79)</f>
        <v>-0.38290884007308834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2">
        <f>+D77-D79</f>
        <v>-36059.1</v>
      </c>
      <c r="E81" s="14"/>
      <c r="F81" s="30">
        <f>IF(D$12=0,0,D81/D$12)</f>
        <v>-2.0192601685110745</v>
      </c>
      <c r="G81" s="14"/>
      <c r="H81" s="32">
        <f>+H77-H79</f>
        <v>-15781.810000000001</v>
      </c>
      <c r="I81" s="14"/>
      <c r="J81" s="30">
        <f>IF(H$12=0,0,H81/H$12)</f>
        <v>-0.29223355263767015</v>
      </c>
      <c r="K81" s="15"/>
      <c r="L81" s="32">
        <f>D81-H81</f>
        <v>-20277.289999999997</v>
      </c>
      <c r="M81" s="15"/>
      <c r="N81" s="30">
        <f>IF(H81=0,0,L81/H81)</f>
        <v>1.2848519909946956</v>
      </c>
      <c r="O81" s="28"/>
      <c r="P81" s="32">
        <f>+P77-P79</f>
        <v>-105402.98999999999</v>
      </c>
      <c r="Q81" s="14"/>
      <c r="R81" s="30">
        <f>IF(P$12=0,0,P81/P$12)</f>
        <v>-0.32143664196920041</v>
      </c>
      <c r="S81" s="14"/>
      <c r="T81" s="32">
        <f>+T77-T79</f>
        <v>-33930.089999999938</v>
      </c>
      <c r="U81" s="14"/>
      <c r="V81" s="30">
        <f>IF(T$12=0,0,T81/T$12)</f>
        <v>-6.3797620270463845E-2</v>
      </c>
      <c r="W81" s="15"/>
      <c r="X81" s="32">
        <f>P81-T81</f>
        <v>-71472.900000000052</v>
      </c>
      <c r="Y81" s="15"/>
      <c r="Z81" s="30">
        <f>IF(T81=0,0,X81/T81)</f>
        <v>2.1064754028061872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6">
        <f>SUM(D81:D83)</f>
        <v>-36059.1</v>
      </c>
      <c r="E84" s="14"/>
      <c r="F84" s="31">
        <f>IF(D$12=0,0,D84/D$12)</f>
        <v>-2.0192601685110745</v>
      </c>
      <c r="G84" s="14"/>
      <c r="H84" s="36">
        <f>SUM(H81:H83)</f>
        <v>-15781.810000000001</v>
      </c>
      <c r="I84" s="14"/>
      <c r="J84" s="31">
        <f>IF(H$12=0,0,H84/H$12)</f>
        <v>-0.29223355263767015</v>
      </c>
      <c r="K84" s="15"/>
      <c r="L84" s="36">
        <f>+D84-H84</f>
        <v>-20277.289999999997</v>
      </c>
      <c r="M84" s="15"/>
      <c r="N84" s="31">
        <f>IF(H84=0,0,L84/H84)</f>
        <v>1.2848519909946956</v>
      </c>
      <c r="O84" s="28"/>
      <c r="P84" s="36">
        <f>SUM(P81:P83)</f>
        <v>-105402.98999999999</v>
      </c>
      <c r="Q84" s="14"/>
      <c r="R84" s="31">
        <f>IF(P$12=0,0,P84/P$12)</f>
        <v>-0.32143664196920041</v>
      </c>
      <c r="S84" s="14"/>
      <c r="T84" s="36">
        <f>SUM(T81:T83)</f>
        <v>-33930.089999999938</v>
      </c>
      <c r="U84" s="14"/>
      <c r="V84" s="31">
        <f>IF(T$12=0,0,T84/T$12)</f>
        <v>-6.3797620270463845E-2</v>
      </c>
      <c r="W84" s="15"/>
      <c r="X84" s="36">
        <f>+P84-T84</f>
        <v>-71472.900000000052</v>
      </c>
      <c r="Y84" s="15"/>
      <c r="Z84" s="31">
        <f>IF(T84=0,0,X84/T84)</f>
        <v>2.1064754028061872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2">
        <v>43847.454037928241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6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4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","420", " - ", "Catering")</f>
        <v>Department 420 - Catering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48580.84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48580.84</v>
      </c>
      <c r="M12" s="4"/>
      <c r="N12" s="12">
        <f t="shared" ref="N12:N14" si="1">IF(H12=0,0,L12/H12)</f>
        <v>0</v>
      </c>
      <c r="O12" s="10"/>
      <c r="P12" s="4">
        <f>SUM(OSRRefP13x_0)</f>
        <v>107189.09999999999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107189.09999999999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--48364.96</f>
        <v>48364.959999999999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48364.959999999999</v>
      </c>
      <c r="M13" s="2"/>
      <c r="N13" s="19">
        <f t="shared" si="1"/>
        <v>0</v>
      </c>
      <c r="O13" s="11"/>
      <c r="P13" s="2">
        <f>--106840.48</f>
        <v>106840.48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106840.48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--215.88</f>
        <v>215.88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215.88</v>
      </c>
      <c r="M14" s="2"/>
      <c r="N14" s="19">
        <f t="shared" si="1"/>
        <v>0</v>
      </c>
      <c r="O14" s="11"/>
      <c r="P14" s="2">
        <f>--348.62</f>
        <v>348.62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348.62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175.22</v>
      </c>
      <c r="E16" s="4"/>
      <c r="F16" s="12">
        <f t="shared" ref="F16:F17" si="6">IF(D$12=0,0,D16/D$12)</f>
        <v>3.6067717231731689E-3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175.22</v>
      </c>
      <c r="M16" s="4"/>
      <c r="N16" s="12">
        <f t="shared" ref="N16:N17" si="9">IF(H16=0,0,L16/H16)</f>
        <v>0</v>
      </c>
      <c r="O16" s="10"/>
      <c r="P16" s="4">
        <f>SUM(OSRRefP16x_0)</f>
        <v>175.22</v>
      </c>
      <c r="Q16" s="4"/>
      <c r="R16" s="12">
        <f t="shared" ref="R16:R17" si="10">IF(P$12=0,0,P16/P$12)</f>
        <v>1.634681138287382E-3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175.22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175.22</v>
      </c>
      <c r="E17" s="2"/>
      <c r="F17" s="19">
        <f t="shared" si="6"/>
        <v>3.6067717231731689E-3</v>
      </c>
      <c r="G17" s="2"/>
      <c r="H17" s="2"/>
      <c r="I17" s="2"/>
      <c r="J17" s="19">
        <f t="shared" si="7"/>
        <v>0</v>
      </c>
      <c r="K17" s="2"/>
      <c r="L17" s="2">
        <f t="shared" si="8"/>
        <v>175.22</v>
      </c>
      <c r="M17" s="2"/>
      <c r="N17" s="19">
        <f t="shared" si="9"/>
        <v>0</v>
      </c>
      <c r="O17" s="11"/>
      <c r="P17" s="2">
        <v>175.22</v>
      </c>
      <c r="Q17" s="2"/>
      <c r="R17" s="19">
        <f t="shared" si="10"/>
        <v>1.634681138287382E-3</v>
      </c>
      <c r="S17" s="2"/>
      <c r="T17" s="2"/>
      <c r="U17" s="2"/>
      <c r="V17" s="19">
        <f t="shared" si="11"/>
        <v>0</v>
      </c>
      <c r="W17" s="2"/>
      <c r="X17" s="2">
        <f t="shared" si="12"/>
        <v>175.22</v>
      </c>
      <c r="Y17" s="2"/>
      <c r="Z17" s="19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9" t="s">
        <v>6</v>
      </c>
      <c r="C19" s="29"/>
      <c r="D19" s="20">
        <f>D12-D16</f>
        <v>48405.619999999995</v>
      </c>
      <c r="E19" s="14"/>
      <c r="F19" s="21">
        <f>IF(D$12=0,0,D19/D$12)</f>
        <v>0.99639322827682686</v>
      </c>
      <c r="G19" s="14"/>
      <c r="H19" s="20">
        <f>H12-H16</f>
        <v>0</v>
      </c>
      <c r="I19" s="14"/>
      <c r="J19" s="21">
        <f>IF(H$12=0,0,H19/H$12)</f>
        <v>0</v>
      </c>
      <c r="K19" s="15"/>
      <c r="L19" s="20">
        <f>+D19-H19</f>
        <v>48405.619999999995</v>
      </c>
      <c r="M19" s="15"/>
      <c r="N19" s="21">
        <f>IF(H19=0,0,L19/H19)</f>
        <v>0</v>
      </c>
      <c r="O19" s="28"/>
      <c r="P19" s="20">
        <f>P12-P16</f>
        <v>107013.87999999999</v>
      </c>
      <c r="Q19" s="14"/>
      <c r="R19" s="21">
        <f>IF(P$12=0,0,P19/P$12)</f>
        <v>0.99836531886171265</v>
      </c>
      <c r="S19" s="14"/>
      <c r="T19" s="20">
        <f>T12-T16</f>
        <v>0</v>
      </c>
      <c r="U19" s="14"/>
      <c r="V19" s="21">
        <f>IF(T$12=0,0,T19/T$12)</f>
        <v>0</v>
      </c>
      <c r="W19" s="15"/>
      <c r="X19" s="20">
        <f>+P19-T19</f>
        <v>107013.87999999999</v>
      </c>
      <c r="Y19" s="15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8" t="s">
        <v>9</v>
      </c>
      <c r="C21" s="10"/>
      <c r="D21" s="22">
        <f>SUM(OSRRefD22x_0)</f>
        <v>30632.219999999998</v>
      </c>
      <c r="E21" s="22"/>
      <c r="F21" s="33">
        <f t="shared" ref="F21:F29" si="14">IF(D$12=0,0,D21/D$12)</f>
        <v>0.63054117631560092</v>
      </c>
      <c r="G21" s="22"/>
      <c r="H21" s="22">
        <f>SUM(OSRRefH22x_0)</f>
        <v>0</v>
      </c>
      <c r="I21" s="22"/>
      <c r="J21" s="33">
        <f t="shared" ref="J21:J29" si="15">IF(H$12=0,0,H21/H$12)</f>
        <v>0</v>
      </c>
      <c r="K21" s="4"/>
      <c r="L21" s="22">
        <f t="shared" ref="L21:L29" si="16">+D21-H21</f>
        <v>30632.219999999998</v>
      </c>
      <c r="M21" s="4"/>
      <c r="N21" s="33">
        <f t="shared" ref="N21:N29" si="17">IF(H21=0,0,L21/H21)</f>
        <v>0</v>
      </c>
      <c r="O21" s="10"/>
      <c r="P21" s="22">
        <f>SUM(OSRRefP22x_0)</f>
        <v>110901.16</v>
      </c>
      <c r="Q21" s="22"/>
      <c r="R21" s="33">
        <f t="shared" ref="R21:R29" si="18">IF(P$12=0,0,P21/P$12)</f>
        <v>1.0346309466167736</v>
      </c>
      <c r="S21" s="22"/>
      <c r="T21" s="22">
        <f>SUM(OSRRefT22x_0)</f>
        <v>0</v>
      </c>
      <c r="U21" s="22"/>
      <c r="V21" s="33">
        <f t="shared" ref="V21:V29" si="19">IF(T$12=0,0,T21/T$12)</f>
        <v>0</v>
      </c>
      <c r="W21" s="4"/>
      <c r="X21" s="22">
        <f t="shared" ref="X21:X29" si="20">+P21-T21</f>
        <v>110901.16</v>
      </c>
      <c r="Y21" s="4"/>
      <c r="Z21" s="33">
        <f t="shared" ref="Z21:Z29" si="21">IF(T21=0,0,X21/T21)</f>
        <v>0</v>
      </c>
    </row>
    <row r="22" spans="1:26" s="27" customFormat="1" outlineLevel="1" collapsed="1" x14ac:dyDescent="0.25">
      <c r="A22" s="25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6738.38</v>
      </c>
      <c r="E22" s="1"/>
      <c r="F22" s="5">
        <f t="shared" si="14"/>
        <v>0.13870447690900364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6738.38</v>
      </c>
      <c r="M22" s="1"/>
      <c r="N22" s="5">
        <f t="shared" si="17"/>
        <v>0</v>
      </c>
      <c r="O22" s="13"/>
      <c r="P22" s="1">
        <f>SUM(OSRRefP22_0x_0)</f>
        <v>21795.899999999998</v>
      </c>
      <c r="Q22" s="1"/>
      <c r="R22" s="5">
        <f t="shared" si="18"/>
        <v>0.20334063818056128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21795.899999999998</v>
      </c>
      <c r="Y22" s="1"/>
      <c r="Z22" s="5">
        <f t="shared" si="21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6">
        <v>1656.76</v>
      </c>
      <c r="E23" s="2"/>
      <c r="F23" s="7">
        <f t="shared" si="14"/>
        <v>3.4103156717751278E-2</v>
      </c>
      <c r="G23" s="2"/>
      <c r="H23" s="6"/>
      <c r="I23" s="2"/>
      <c r="J23" s="7">
        <f t="shared" si="15"/>
        <v>0</v>
      </c>
      <c r="K23" s="2"/>
      <c r="L23" s="6">
        <f t="shared" si="16"/>
        <v>1656.76</v>
      </c>
      <c r="M23" s="2"/>
      <c r="N23" s="7">
        <f t="shared" si="17"/>
        <v>0</v>
      </c>
      <c r="O23" s="11"/>
      <c r="P23" s="6">
        <v>6673.61</v>
      </c>
      <c r="Q23" s="2"/>
      <c r="R23" s="7">
        <f t="shared" si="18"/>
        <v>6.2260155183689388E-2</v>
      </c>
      <c r="S23" s="2"/>
      <c r="T23" s="6"/>
      <c r="U23" s="2"/>
      <c r="V23" s="7">
        <f t="shared" si="19"/>
        <v>0</v>
      </c>
      <c r="W23" s="2"/>
      <c r="X23" s="6">
        <f t="shared" si="20"/>
        <v>6673.61</v>
      </c>
      <c r="Y23" s="2"/>
      <c r="Z23" s="7">
        <f t="shared" si="21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6">
        <v>1472.62</v>
      </c>
      <c r="E24" s="2"/>
      <c r="F24" s="7">
        <f t="shared" si="14"/>
        <v>3.0312773513179271E-2</v>
      </c>
      <c r="G24" s="2"/>
      <c r="H24" s="6"/>
      <c r="I24" s="2"/>
      <c r="J24" s="7">
        <f t="shared" si="15"/>
        <v>0</v>
      </c>
      <c r="K24" s="2"/>
      <c r="L24" s="6">
        <f t="shared" si="16"/>
        <v>1472.62</v>
      </c>
      <c r="M24" s="2"/>
      <c r="N24" s="7">
        <f t="shared" si="17"/>
        <v>0</v>
      </c>
      <c r="O24" s="11"/>
      <c r="P24" s="6">
        <v>4069.89</v>
      </c>
      <c r="Q24" s="2"/>
      <c r="R24" s="7">
        <f t="shared" si="18"/>
        <v>3.796925247063368E-2</v>
      </c>
      <c r="S24" s="2"/>
      <c r="T24" s="6"/>
      <c r="U24" s="2"/>
      <c r="V24" s="7">
        <f t="shared" si="19"/>
        <v>0</v>
      </c>
      <c r="W24" s="2"/>
      <c r="X24" s="6">
        <f t="shared" si="20"/>
        <v>4069.89</v>
      </c>
      <c r="Y24" s="2"/>
      <c r="Z24" s="7">
        <f t="shared" si="21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6">
        <v>160.13999999999999</v>
      </c>
      <c r="E25" s="2"/>
      <c r="F25" s="7">
        <f t="shared" si="14"/>
        <v>3.2963612815258029E-3</v>
      </c>
      <c r="G25" s="2"/>
      <c r="H25" s="6"/>
      <c r="I25" s="2"/>
      <c r="J25" s="7">
        <f t="shared" si="15"/>
        <v>0</v>
      </c>
      <c r="K25" s="2"/>
      <c r="L25" s="6">
        <f t="shared" si="16"/>
        <v>160.13999999999999</v>
      </c>
      <c r="M25" s="2"/>
      <c r="N25" s="7">
        <f t="shared" si="17"/>
        <v>0</v>
      </c>
      <c r="O25" s="11"/>
      <c r="P25" s="6">
        <v>428.74</v>
      </c>
      <c r="Q25" s="2"/>
      <c r="R25" s="7">
        <f t="shared" si="18"/>
        <v>3.9998469993684062E-3</v>
      </c>
      <c r="S25" s="2"/>
      <c r="T25" s="6"/>
      <c r="U25" s="2"/>
      <c r="V25" s="7">
        <f t="shared" si="19"/>
        <v>0</v>
      </c>
      <c r="W25" s="2"/>
      <c r="X25" s="6">
        <f t="shared" si="20"/>
        <v>428.74</v>
      </c>
      <c r="Y25" s="2"/>
      <c r="Z25" s="7">
        <f t="shared" si="21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>
        <v>98.68</v>
      </c>
      <c r="E26" s="2"/>
      <c r="F26" s="7">
        <f t="shared" si="14"/>
        <v>2.0312534735916466E-3</v>
      </c>
      <c r="G26" s="2"/>
      <c r="H26" s="6"/>
      <c r="I26" s="2"/>
      <c r="J26" s="7">
        <f t="shared" si="15"/>
        <v>0</v>
      </c>
      <c r="K26" s="2"/>
      <c r="L26" s="6">
        <f t="shared" si="16"/>
        <v>98.68</v>
      </c>
      <c r="M26" s="2"/>
      <c r="N26" s="7">
        <f t="shared" si="17"/>
        <v>0</v>
      </c>
      <c r="O26" s="11"/>
      <c r="P26" s="6">
        <v>272.73</v>
      </c>
      <c r="Q26" s="2"/>
      <c r="R26" s="7">
        <f t="shared" si="18"/>
        <v>2.5443818447957864E-3</v>
      </c>
      <c r="S26" s="2"/>
      <c r="T26" s="6"/>
      <c r="U26" s="2"/>
      <c r="V26" s="7">
        <f t="shared" si="19"/>
        <v>0</v>
      </c>
      <c r="W26" s="2"/>
      <c r="X26" s="6">
        <f t="shared" si="20"/>
        <v>272.73</v>
      </c>
      <c r="Y26" s="2"/>
      <c r="Z26" s="7">
        <f t="shared" si="21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6">
        <v>1491.42</v>
      </c>
      <c r="E27" s="2"/>
      <c r="F27" s="7">
        <f t="shared" si="14"/>
        <v>3.0699757352898802E-2</v>
      </c>
      <c r="G27" s="2"/>
      <c r="H27" s="6"/>
      <c r="I27" s="2"/>
      <c r="J27" s="7">
        <f t="shared" si="15"/>
        <v>0</v>
      </c>
      <c r="K27" s="2"/>
      <c r="L27" s="6">
        <f t="shared" si="16"/>
        <v>1491.42</v>
      </c>
      <c r="M27" s="2"/>
      <c r="N27" s="7">
        <f t="shared" si="17"/>
        <v>0</v>
      </c>
      <c r="O27" s="11"/>
      <c r="P27" s="6">
        <v>3845.27</v>
      </c>
      <c r="Q27" s="2"/>
      <c r="R27" s="7">
        <f t="shared" si="18"/>
        <v>3.5873703576203182E-2</v>
      </c>
      <c r="S27" s="2"/>
      <c r="T27" s="6"/>
      <c r="U27" s="2"/>
      <c r="V27" s="7">
        <f t="shared" si="19"/>
        <v>0</v>
      </c>
      <c r="W27" s="2"/>
      <c r="X27" s="6">
        <f t="shared" si="20"/>
        <v>3845.27</v>
      </c>
      <c r="Y27" s="2"/>
      <c r="Z27" s="7">
        <f t="shared" si="2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6">
        <v>1005.42</v>
      </c>
      <c r="E28" s="2"/>
      <c r="F28" s="7">
        <f t="shared" si="14"/>
        <v>2.0695813411213147E-2</v>
      </c>
      <c r="G28" s="2"/>
      <c r="H28" s="6"/>
      <c r="I28" s="2"/>
      <c r="J28" s="7">
        <f t="shared" si="15"/>
        <v>0</v>
      </c>
      <c r="K28" s="2"/>
      <c r="L28" s="6">
        <f t="shared" si="16"/>
        <v>1005.42</v>
      </c>
      <c r="M28" s="2"/>
      <c r="N28" s="7">
        <f t="shared" si="17"/>
        <v>0</v>
      </c>
      <c r="O28" s="11"/>
      <c r="P28" s="6">
        <v>3518.97</v>
      </c>
      <c r="Q28" s="2"/>
      <c r="R28" s="7">
        <f t="shared" si="18"/>
        <v>3.2829550765889441E-2</v>
      </c>
      <c r="S28" s="2"/>
      <c r="T28" s="6"/>
      <c r="U28" s="2"/>
      <c r="V28" s="7">
        <f t="shared" si="19"/>
        <v>0</v>
      </c>
      <c r="W28" s="2"/>
      <c r="X28" s="6">
        <f t="shared" si="20"/>
        <v>3518.97</v>
      </c>
      <c r="Y28" s="2"/>
      <c r="Z28" s="7">
        <f t="shared" si="21"/>
        <v>0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6">
        <v>853.34</v>
      </c>
      <c r="E29" s="2"/>
      <c r="F29" s="7">
        <f t="shared" si="14"/>
        <v>1.7565361158843693E-2</v>
      </c>
      <c r="G29" s="2"/>
      <c r="H29" s="6"/>
      <c r="I29" s="2"/>
      <c r="J29" s="7">
        <f t="shared" si="15"/>
        <v>0</v>
      </c>
      <c r="K29" s="2"/>
      <c r="L29" s="6">
        <f t="shared" si="16"/>
        <v>853.34</v>
      </c>
      <c r="M29" s="2"/>
      <c r="N29" s="7">
        <f t="shared" si="17"/>
        <v>0</v>
      </c>
      <c r="O29" s="11"/>
      <c r="P29" s="6">
        <v>2986.69</v>
      </c>
      <c r="Q29" s="2"/>
      <c r="R29" s="7">
        <f t="shared" si="18"/>
        <v>2.7863747339981398E-2</v>
      </c>
      <c r="S29" s="2"/>
      <c r="T29" s="6"/>
      <c r="U29" s="2"/>
      <c r="V29" s="7">
        <f t="shared" si="19"/>
        <v>0</v>
      </c>
      <c r="W29" s="2"/>
      <c r="X29" s="6">
        <f t="shared" si="20"/>
        <v>2986.69</v>
      </c>
      <c r="Y29" s="2"/>
      <c r="Z29" s="7">
        <f t="shared" si="21"/>
        <v>0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22023.83</v>
      </c>
      <c r="E30" s="1"/>
      <c r="F30" s="5">
        <f t="shared" ref="F30:F34" si="22">IF(D$12=0,0,D30/D$12)</f>
        <v>0.45334395206011263</v>
      </c>
      <c r="G30" s="1"/>
      <c r="H30" s="1">
        <f>SUM(OSRRefH22_1x_0)</f>
        <v>0</v>
      </c>
      <c r="I30" s="1"/>
      <c r="J30" s="5">
        <f t="shared" ref="J30:J34" si="23">IF(H$12=0,0,H30/H$12)</f>
        <v>0</v>
      </c>
      <c r="K30" s="1"/>
      <c r="L30" s="1">
        <f t="shared" ref="L30:L34" si="24">+D30-H30</f>
        <v>22023.83</v>
      </c>
      <c r="M30" s="1"/>
      <c r="N30" s="5">
        <f t="shared" ref="N30:N34" si="25">IF(H30=0,0,L30/H30)</f>
        <v>0</v>
      </c>
      <c r="O30" s="13"/>
      <c r="P30" s="1">
        <f>SUM(OSRRefP22_1x_0)</f>
        <v>85301.47</v>
      </c>
      <c r="Q30" s="1"/>
      <c r="R30" s="5">
        <f t="shared" ref="R30:R34" si="26">IF(P$12=0,0,P30/P$12)</f>
        <v>0.79580358450626054</v>
      </c>
      <c r="S30" s="1"/>
      <c r="T30" s="1">
        <f>SUM(OSRRefT22_1x_0)</f>
        <v>0</v>
      </c>
      <c r="U30" s="1"/>
      <c r="V30" s="5">
        <f t="shared" ref="V30:V34" si="27">IF(T$12=0,0,T30/T$12)</f>
        <v>0</v>
      </c>
      <c r="W30" s="1"/>
      <c r="X30" s="1">
        <f t="shared" ref="X30:X34" si="28">+P30-T30</f>
        <v>85301.47</v>
      </c>
      <c r="Y30" s="1"/>
      <c r="Z30" s="5">
        <f t="shared" ref="Z30:Z34" si="29">IF(T30=0,0,X30/T30)</f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16234.550000000001</v>
      </c>
      <c r="E31" s="2"/>
      <c r="F31" s="7">
        <f t="shared" si="22"/>
        <v>0.33417598378290703</v>
      </c>
      <c r="G31" s="2"/>
      <c r="H31" s="6"/>
      <c r="I31" s="2"/>
      <c r="J31" s="7">
        <f t="shared" si="23"/>
        <v>0</v>
      </c>
      <c r="K31" s="2"/>
      <c r="L31" s="6">
        <f t="shared" si="24"/>
        <v>16234.550000000001</v>
      </c>
      <c r="M31" s="2"/>
      <c r="N31" s="7">
        <f t="shared" si="25"/>
        <v>0</v>
      </c>
      <c r="O31" s="11"/>
      <c r="P31" s="6">
        <v>59654.82</v>
      </c>
      <c r="Q31" s="2"/>
      <c r="R31" s="7">
        <f t="shared" si="26"/>
        <v>0.55653811814820731</v>
      </c>
      <c r="S31" s="2"/>
      <c r="T31" s="6"/>
      <c r="U31" s="2"/>
      <c r="V31" s="7">
        <f t="shared" si="27"/>
        <v>0</v>
      </c>
      <c r="W31" s="2"/>
      <c r="X31" s="6">
        <f t="shared" si="28"/>
        <v>59654.82</v>
      </c>
      <c r="Y31" s="2"/>
      <c r="Z31" s="7">
        <f t="shared" si="29"/>
        <v>0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2821.19</v>
      </c>
      <c r="E32" s="2"/>
      <c r="F32" s="7">
        <f t="shared" si="22"/>
        <v>5.8072071211613473E-2</v>
      </c>
      <c r="G32" s="2"/>
      <c r="H32" s="6"/>
      <c r="I32" s="2"/>
      <c r="J32" s="7">
        <f t="shared" si="23"/>
        <v>0</v>
      </c>
      <c r="K32" s="2"/>
      <c r="L32" s="6">
        <f t="shared" si="24"/>
        <v>2821.19</v>
      </c>
      <c r="M32" s="2"/>
      <c r="N32" s="7">
        <f t="shared" si="25"/>
        <v>0</v>
      </c>
      <c r="O32" s="11"/>
      <c r="P32" s="6">
        <v>9386.98</v>
      </c>
      <c r="Q32" s="2"/>
      <c r="R32" s="7">
        <f t="shared" si="26"/>
        <v>8.7574016387860332E-2</v>
      </c>
      <c r="S32" s="2"/>
      <c r="T32" s="6"/>
      <c r="U32" s="2"/>
      <c r="V32" s="7">
        <f t="shared" si="27"/>
        <v>0</v>
      </c>
      <c r="W32" s="2"/>
      <c r="X32" s="6">
        <f t="shared" si="28"/>
        <v>9386.98</v>
      </c>
      <c r="Y32" s="2"/>
      <c r="Z32" s="7">
        <f t="shared" si="29"/>
        <v>0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1687.68</v>
      </c>
      <c r="E33" s="2"/>
      <c r="F33" s="7">
        <f t="shared" si="22"/>
        <v>3.4739621628609142E-2</v>
      </c>
      <c r="G33" s="2"/>
      <c r="H33" s="6"/>
      <c r="I33" s="2"/>
      <c r="J33" s="7">
        <f t="shared" si="23"/>
        <v>0</v>
      </c>
      <c r="K33" s="2"/>
      <c r="L33" s="6">
        <f t="shared" si="24"/>
        <v>1687.68</v>
      </c>
      <c r="M33" s="2"/>
      <c r="N33" s="7">
        <f t="shared" si="25"/>
        <v>0</v>
      </c>
      <c r="O33" s="11"/>
      <c r="P33" s="6">
        <v>12452.22</v>
      </c>
      <c r="Q33" s="2"/>
      <c r="R33" s="7">
        <f t="shared" si="26"/>
        <v>0.11617058077733651</v>
      </c>
      <c r="S33" s="2"/>
      <c r="T33" s="6"/>
      <c r="U33" s="2"/>
      <c r="V33" s="7">
        <f t="shared" si="27"/>
        <v>0</v>
      </c>
      <c r="W33" s="2"/>
      <c r="X33" s="6">
        <f t="shared" si="28"/>
        <v>12452.22</v>
      </c>
      <c r="Y33" s="2"/>
      <c r="Z33" s="7">
        <f t="shared" si="29"/>
        <v>0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>
        <v>1280.4100000000001</v>
      </c>
      <c r="E34" s="2"/>
      <c r="F34" s="7">
        <f t="shared" si="22"/>
        <v>2.635627543698298E-2</v>
      </c>
      <c r="G34" s="2"/>
      <c r="H34" s="6"/>
      <c r="I34" s="2"/>
      <c r="J34" s="7">
        <f t="shared" si="23"/>
        <v>0</v>
      </c>
      <c r="K34" s="2"/>
      <c r="L34" s="6">
        <f t="shared" si="24"/>
        <v>1280.4100000000001</v>
      </c>
      <c r="M34" s="2"/>
      <c r="N34" s="7">
        <f t="shared" si="25"/>
        <v>0</v>
      </c>
      <c r="O34" s="11"/>
      <c r="P34" s="6">
        <v>3807.45</v>
      </c>
      <c r="Q34" s="2"/>
      <c r="R34" s="7">
        <f t="shared" si="26"/>
        <v>3.5520869192856366E-2</v>
      </c>
      <c r="S34" s="2"/>
      <c r="T34" s="6"/>
      <c r="U34" s="2"/>
      <c r="V34" s="7">
        <f t="shared" si="27"/>
        <v>0</v>
      </c>
      <c r="W34" s="2"/>
      <c r="X34" s="6">
        <f t="shared" si="28"/>
        <v>3807.45</v>
      </c>
      <c r="Y34" s="2"/>
      <c r="Z34" s="7">
        <f t="shared" si="29"/>
        <v>0</v>
      </c>
    </row>
    <row r="35" spans="1:26" s="27" customFormat="1" outlineLevel="1" collapsed="1" x14ac:dyDescent="0.25">
      <c r="A35" s="25"/>
      <c r="B35" s="13" t="str">
        <f>CONCATENATE("     ","Bank/card Fees                                    ")</f>
        <v xml:space="preserve">     Bank/card Fees                                    </v>
      </c>
      <c r="C35" s="13"/>
      <c r="D35" s="1">
        <f>SUM(OSRRefD22_2x_0)</f>
        <v>43.37</v>
      </c>
      <c r="E35" s="1"/>
      <c r="F35" s="5">
        <f t="shared" ref="F35:F41" si="30">IF(D$12=0,0,D35/D$12)</f>
        <v>8.9273878343807973E-4</v>
      </c>
      <c r="G35" s="1"/>
      <c r="H35" s="1">
        <f>SUM(OSRRefH22_2x_0)</f>
        <v>0</v>
      </c>
      <c r="I35" s="1"/>
      <c r="J35" s="5">
        <f t="shared" ref="J35:J41" si="31">IF(H$12=0,0,H35/H$12)</f>
        <v>0</v>
      </c>
      <c r="K35" s="1"/>
      <c r="L35" s="1">
        <f t="shared" ref="L35:L41" si="32">+D35-H35</f>
        <v>43.37</v>
      </c>
      <c r="M35" s="1"/>
      <c r="N35" s="5">
        <f t="shared" ref="N35:N41" si="33">IF(H35=0,0,L35/H35)</f>
        <v>0</v>
      </c>
      <c r="O35" s="13"/>
      <c r="P35" s="1">
        <f>SUM(OSRRefP22_2x_0)</f>
        <v>245.96</v>
      </c>
      <c r="Q35" s="1"/>
      <c r="R35" s="5">
        <f t="shared" ref="R35:R41" si="34">IF(P$12=0,0,P35/P$12)</f>
        <v>2.2946363016388797E-3</v>
      </c>
      <c r="S35" s="1"/>
      <c r="T35" s="1">
        <f>SUM(OSRRefT22_2x_0)</f>
        <v>0</v>
      </c>
      <c r="U35" s="1"/>
      <c r="V35" s="5">
        <f t="shared" ref="V35:V41" si="35">IF(T$12=0,0,T35/T$12)</f>
        <v>0</v>
      </c>
      <c r="W35" s="1"/>
      <c r="X35" s="1">
        <f t="shared" ref="X35:X41" si="36">+P35-T35</f>
        <v>245.96</v>
      </c>
      <c r="Y35" s="1"/>
      <c r="Z35" s="5">
        <f t="shared" ref="Z35:Z41" si="37">IF(T35=0,0,X35/T35)</f>
        <v>0</v>
      </c>
    </row>
    <row r="36" spans="1:26" s="24" customFormat="1" hidden="1" outlineLevel="2" x14ac:dyDescent="0.25">
      <c r="A36" s="26"/>
      <c r="B36" s="11" t="str">
        <f>CONCATENATE("          ", "6381", " - ", "BANK/CREDIT CARD FEES")</f>
        <v xml:space="preserve">          6381 - BANK/CREDIT CARD FEES</v>
      </c>
      <c r="C36" s="11"/>
      <c r="D36" s="6">
        <v>43.37</v>
      </c>
      <c r="E36" s="2"/>
      <c r="F36" s="7">
        <f t="shared" si="30"/>
        <v>8.9273878343807973E-4</v>
      </c>
      <c r="G36" s="2"/>
      <c r="H36" s="6"/>
      <c r="I36" s="2"/>
      <c r="J36" s="7">
        <f t="shared" si="31"/>
        <v>0</v>
      </c>
      <c r="K36" s="2"/>
      <c r="L36" s="6">
        <f t="shared" si="32"/>
        <v>43.37</v>
      </c>
      <c r="M36" s="2"/>
      <c r="N36" s="7">
        <f t="shared" si="33"/>
        <v>0</v>
      </c>
      <c r="O36" s="11"/>
      <c r="P36" s="6">
        <v>245.96</v>
      </c>
      <c r="Q36" s="2"/>
      <c r="R36" s="7">
        <f t="shared" si="34"/>
        <v>2.2946363016388797E-3</v>
      </c>
      <c r="S36" s="2"/>
      <c r="T36" s="6"/>
      <c r="U36" s="2"/>
      <c r="V36" s="7">
        <f t="shared" si="35"/>
        <v>0</v>
      </c>
      <c r="W36" s="2"/>
      <c r="X36" s="6">
        <f t="shared" si="36"/>
        <v>245.96</v>
      </c>
      <c r="Y36" s="2"/>
      <c r="Z36" s="7">
        <f t="shared" si="37"/>
        <v>0</v>
      </c>
    </row>
    <row r="37" spans="1:26" s="27" customFormat="1" outlineLevel="1" collapsed="1" x14ac:dyDescent="0.25">
      <c r="A37" s="25"/>
      <c r="B37" s="13" t="str">
        <f>CONCATENATE("     ","Repair and Maintenance                            ")</f>
        <v xml:space="preserve">     Repair and Maintenance                            </v>
      </c>
      <c r="C37" s="13"/>
      <c r="D37" s="1">
        <f>SUM(OSRRefD22_3x_0)</f>
        <v>0</v>
      </c>
      <c r="E37" s="1"/>
      <c r="F37" s="5">
        <f t="shared" si="30"/>
        <v>0</v>
      </c>
      <c r="G37" s="1"/>
      <c r="H37" s="1">
        <f>SUM(OSRRefH22_3x_0)</f>
        <v>0</v>
      </c>
      <c r="I37" s="1"/>
      <c r="J37" s="5">
        <f t="shared" si="31"/>
        <v>0</v>
      </c>
      <c r="K37" s="1"/>
      <c r="L37" s="1">
        <f t="shared" si="32"/>
        <v>0</v>
      </c>
      <c r="M37" s="1"/>
      <c r="N37" s="5">
        <f t="shared" si="33"/>
        <v>0</v>
      </c>
      <c r="O37" s="13"/>
      <c r="P37" s="1">
        <f>SUM(OSRRefP22_3x_0)</f>
        <v>1151.21</v>
      </c>
      <c r="Q37" s="1"/>
      <c r="R37" s="5">
        <f t="shared" si="34"/>
        <v>1.0739991286427445E-2</v>
      </c>
      <c r="S37" s="1"/>
      <c r="T37" s="1">
        <f>SUM(OSRRefT22_3x_0)</f>
        <v>0</v>
      </c>
      <c r="U37" s="1"/>
      <c r="V37" s="5">
        <f t="shared" si="35"/>
        <v>0</v>
      </c>
      <c r="W37" s="1"/>
      <c r="X37" s="1">
        <f t="shared" si="36"/>
        <v>1151.21</v>
      </c>
      <c r="Y37" s="1"/>
      <c r="Z37" s="5">
        <f t="shared" si="37"/>
        <v>0</v>
      </c>
    </row>
    <row r="38" spans="1:26" s="24" customFormat="1" hidden="1" outlineLevel="2" x14ac:dyDescent="0.25">
      <c r="A38" s="26"/>
      <c r="B38" s="11" t="str">
        <f>CONCATENATE("          ", "6375", " - ", "OUTSIDE REPAIRS &amp; MAINTENANCE")</f>
        <v xml:space="preserve">          6375 - OUTSIDE REPAIRS &amp; MAINTENANCE</v>
      </c>
      <c r="C38" s="11"/>
      <c r="D38" s="6"/>
      <c r="E38" s="2"/>
      <c r="F38" s="7">
        <f t="shared" si="30"/>
        <v>0</v>
      </c>
      <c r="G38" s="2"/>
      <c r="H38" s="6"/>
      <c r="I38" s="2"/>
      <c r="J38" s="7">
        <f t="shared" si="31"/>
        <v>0</v>
      </c>
      <c r="K38" s="2"/>
      <c r="L38" s="6">
        <f t="shared" si="32"/>
        <v>0</v>
      </c>
      <c r="M38" s="2"/>
      <c r="N38" s="7">
        <f t="shared" si="33"/>
        <v>0</v>
      </c>
      <c r="O38" s="11"/>
      <c r="P38" s="6">
        <v>1151.21</v>
      </c>
      <c r="Q38" s="2"/>
      <c r="R38" s="7">
        <f t="shared" si="34"/>
        <v>1.0739991286427445E-2</v>
      </c>
      <c r="S38" s="2"/>
      <c r="T38" s="6"/>
      <c r="U38" s="2"/>
      <c r="V38" s="7">
        <f t="shared" si="35"/>
        <v>0</v>
      </c>
      <c r="W38" s="2"/>
      <c r="X38" s="6">
        <f t="shared" si="36"/>
        <v>1151.21</v>
      </c>
      <c r="Y38" s="2"/>
      <c r="Z38" s="7">
        <f t="shared" si="37"/>
        <v>0</v>
      </c>
    </row>
    <row r="39" spans="1:26" s="27" customFormat="1" outlineLevel="1" collapsed="1" x14ac:dyDescent="0.25">
      <c r="A39" s="25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SUM(OSRRefD22_4x_0)</f>
        <v>557.49</v>
      </c>
      <c r="E39" s="1"/>
      <c r="F39" s="5">
        <f t="shared" si="30"/>
        <v>1.1475511744959536E-2</v>
      </c>
      <c r="G39" s="1"/>
      <c r="H39" s="1">
        <f>SUM(OSRRefH22_4x_0)</f>
        <v>0</v>
      </c>
      <c r="I39" s="1"/>
      <c r="J39" s="5">
        <f t="shared" si="31"/>
        <v>0</v>
      </c>
      <c r="K39" s="1"/>
      <c r="L39" s="1">
        <f t="shared" si="32"/>
        <v>557.49</v>
      </c>
      <c r="M39" s="1"/>
      <c r="N39" s="5">
        <f t="shared" si="33"/>
        <v>0</v>
      </c>
      <c r="O39" s="13"/>
      <c r="P39" s="1">
        <f>SUM(OSRRefP22_4x_0)</f>
        <v>1137.47</v>
      </c>
      <c r="Q39" s="1"/>
      <c r="R39" s="5">
        <f t="shared" si="34"/>
        <v>1.0611806610933389E-2</v>
      </c>
      <c r="S39" s="1"/>
      <c r="T39" s="1">
        <f>SUM(OSRRefT22_4x_0)</f>
        <v>0</v>
      </c>
      <c r="U39" s="1"/>
      <c r="V39" s="5">
        <f t="shared" si="35"/>
        <v>0</v>
      </c>
      <c r="W39" s="1"/>
      <c r="X39" s="1">
        <f t="shared" si="36"/>
        <v>1137.47</v>
      </c>
      <c r="Y39" s="1"/>
      <c r="Z39" s="5">
        <f t="shared" si="37"/>
        <v>0</v>
      </c>
    </row>
    <row r="40" spans="1:26" s="24" customFormat="1" hidden="1" outlineLevel="2" x14ac:dyDescent="0.25">
      <c r="A40" s="26"/>
      <c r="B40" s="11" t="str">
        <f>CONCATENATE("          ", "6241", " - ", "OFFICE EXPENSE")</f>
        <v xml:space="preserve">          6241 - OFFICE EXPENSE</v>
      </c>
      <c r="C40" s="11"/>
      <c r="D40" s="6">
        <v>334.1</v>
      </c>
      <c r="E40" s="2"/>
      <c r="F40" s="7">
        <f t="shared" si="30"/>
        <v>6.8771968537390468E-3</v>
      </c>
      <c r="G40" s="2"/>
      <c r="H40" s="6"/>
      <c r="I40" s="2"/>
      <c r="J40" s="7">
        <f t="shared" si="31"/>
        <v>0</v>
      </c>
      <c r="K40" s="2"/>
      <c r="L40" s="6">
        <f t="shared" si="32"/>
        <v>334.1</v>
      </c>
      <c r="M40" s="2"/>
      <c r="N40" s="7">
        <f t="shared" si="33"/>
        <v>0</v>
      </c>
      <c r="O40" s="11"/>
      <c r="P40" s="6">
        <v>914.08</v>
      </c>
      <c r="Q40" s="2"/>
      <c r="R40" s="7">
        <f t="shared" si="34"/>
        <v>8.5277327638724476E-3</v>
      </c>
      <c r="S40" s="2"/>
      <c r="T40" s="6"/>
      <c r="U40" s="2"/>
      <c r="V40" s="7">
        <f t="shared" si="35"/>
        <v>0</v>
      </c>
      <c r="W40" s="2"/>
      <c r="X40" s="6">
        <f t="shared" si="36"/>
        <v>914.08</v>
      </c>
      <c r="Y40" s="2"/>
      <c r="Z40" s="7">
        <f t="shared" si="37"/>
        <v>0</v>
      </c>
    </row>
    <row r="41" spans="1:26" s="24" customFormat="1" hidden="1" outlineLevel="2" x14ac:dyDescent="0.25">
      <c r="A41" s="26"/>
      <c r="B41" s="11" t="str">
        <f>CONCATENATE("          ", "6247", " - ", "STORE SUPPLIES")</f>
        <v xml:space="preserve">          6247 - STORE SUPPLIES</v>
      </c>
      <c r="C41" s="11"/>
      <c r="D41" s="6">
        <v>223.39</v>
      </c>
      <c r="E41" s="2"/>
      <c r="F41" s="7">
        <f t="shared" si="30"/>
        <v>4.5983148912204898E-3</v>
      </c>
      <c r="G41" s="2"/>
      <c r="H41" s="6"/>
      <c r="I41" s="2"/>
      <c r="J41" s="7">
        <f t="shared" si="31"/>
        <v>0</v>
      </c>
      <c r="K41" s="2"/>
      <c r="L41" s="6">
        <f t="shared" si="32"/>
        <v>223.39</v>
      </c>
      <c r="M41" s="2"/>
      <c r="N41" s="7">
        <f t="shared" si="33"/>
        <v>0</v>
      </c>
      <c r="O41" s="11"/>
      <c r="P41" s="6">
        <v>223.39</v>
      </c>
      <c r="Q41" s="2"/>
      <c r="R41" s="7">
        <f t="shared" si="34"/>
        <v>2.0840738470609419E-3</v>
      </c>
      <c r="S41" s="2"/>
      <c r="T41" s="6"/>
      <c r="U41" s="2"/>
      <c r="V41" s="7">
        <f t="shared" si="35"/>
        <v>0</v>
      </c>
      <c r="W41" s="2"/>
      <c r="X41" s="6">
        <f t="shared" si="36"/>
        <v>223.39</v>
      </c>
      <c r="Y41" s="2"/>
      <c r="Z41" s="7">
        <f t="shared" si="37"/>
        <v>0</v>
      </c>
    </row>
    <row r="42" spans="1:26" s="27" customFormat="1" outlineLevel="1" collapsed="1" x14ac:dyDescent="0.25">
      <c r="A42" s="25"/>
      <c r="B42" s="13" t="str">
        <f>CONCATENATE("     ","Travel                                            ")</f>
        <v xml:space="preserve">     Travel                                            </v>
      </c>
      <c r="C42" s="13"/>
      <c r="D42" s="1">
        <f>SUM(OSRRefD22_5x_0)</f>
        <v>1269.1500000000001</v>
      </c>
      <c r="E42" s="1"/>
      <c r="F42" s="5">
        <f t="shared" ref="F42:F43" si="38">IF(D$12=0,0,D42/D$12)</f>
        <v>2.6124496818087133E-2</v>
      </c>
      <c r="G42" s="1"/>
      <c r="H42" s="1">
        <f>SUM(OSRRefH22_5x_0)</f>
        <v>0</v>
      </c>
      <c r="I42" s="1"/>
      <c r="J42" s="5">
        <f t="shared" ref="J42:J43" si="39">IF(H$12=0,0,H42/H$12)</f>
        <v>0</v>
      </c>
      <c r="K42" s="1"/>
      <c r="L42" s="1">
        <f t="shared" ref="L42:L43" si="40">+D42-H42</f>
        <v>1269.1500000000001</v>
      </c>
      <c r="M42" s="1"/>
      <c r="N42" s="5">
        <f t="shared" ref="N42:N43" si="41">IF(H42=0,0,L42/H42)</f>
        <v>0</v>
      </c>
      <c r="O42" s="13"/>
      <c r="P42" s="1">
        <f>SUM(OSRRefP22_5x_0)</f>
        <v>1269.1500000000001</v>
      </c>
      <c r="Q42" s="1"/>
      <c r="R42" s="5">
        <f t="shared" ref="R42:R43" si="42">IF(P$12=0,0,P42/P$12)</f>
        <v>1.1840289730952122E-2</v>
      </c>
      <c r="S42" s="1"/>
      <c r="T42" s="1">
        <f>SUM(OSRRefT22_5x_0)</f>
        <v>0</v>
      </c>
      <c r="U42" s="1"/>
      <c r="V42" s="5">
        <f t="shared" ref="V42:V43" si="43">IF(T$12=0,0,T42/T$12)</f>
        <v>0</v>
      </c>
      <c r="W42" s="1"/>
      <c r="X42" s="1">
        <f t="shared" ref="X42:X43" si="44">+P42-T42</f>
        <v>1269.1500000000001</v>
      </c>
      <c r="Y42" s="1"/>
      <c r="Z42" s="5">
        <f t="shared" ref="Z42:Z43" si="45">IF(T42=0,0,X42/T42)</f>
        <v>0</v>
      </c>
    </row>
    <row r="43" spans="1:26" s="24" customFormat="1" hidden="1" outlineLevel="2" x14ac:dyDescent="0.25">
      <c r="A43" s="26"/>
      <c r="B43" s="11" t="str">
        <f>CONCATENATE("          ", "6292", " - ", "TRAVEL/CONFERENCE")</f>
        <v xml:space="preserve">          6292 - TRAVEL/CONFERENCE</v>
      </c>
      <c r="C43" s="11"/>
      <c r="D43" s="6">
        <v>1269.1500000000001</v>
      </c>
      <c r="E43" s="2"/>
      <c r="F43" s="7">
        <f t="shared" si="38"/>
        <v>2.6124496818087133E-2</v>
      </c>
      <c r="G43" s="2"/>
      <c r="H43" s="6"/>
      <c r="I43" s="2"/>
      <c r="J43" s="7">
        <f t="shared" si="39"/>
        <v>0</v>
      </c>
      <c r="K43" s="2"/>
      <c r="L43" s="6">
        <f t="shared" si="40"/>
        <v>1269.1500000000001</v>
      </c>
      <c r="M43" s="2"/>
      <c r="N43" s="7">
        <f t="shared" si="41"/>
        <v>0</v>
      </c>
      <c r="O43" s="11"/>
      <c r="P43" s="6">
        <v>1269.1500000000001</v>
      </c>
      <c r="Q43" s="2"/>
      <c r="R43" s="7">
        <f t="shared" si="42"/>
        <v>1.1840289730952122E-2</v>
      </c>
      <c r="S43" s="2"/>
      <c r="T43" s="6"/>
      <c r="U43" s="2"/>
      <c r="V43" s="7">
        <f t="shared" si="43"/>
        <v>0</v>
      </c>
      <c r="W43" s="2"/>
      <c r="X43" s="6">
        <f t="shared" si="44"/>
        <v>1269.1500000000001</v>
      </c>
      <c r="Y43" s="2"/>
      <c r="Z43" s="7">
        <f t="shared" si="45"/>
        <v>0</v>
      </c>
    </row>
    <row r="44" spans="1:26" s="61" customFormat="1" x14ac:dyDescent="0.25">
      <c r="A44" s="37"/>
      <c r="B44" s="37"/>
      <c r="C44" s="37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25">
      <c r="A45" s="10"/>
      <c r="B45" s="28" t="s">
        <v>0</v>
      </c>
      <c r="C45" s="10"/>
      <c r="D45" s="4">
        <f>SUM(0)</f>
        <v>0</v>
      </c>
      <c r="E45" s="4"/>
      <c r="F45" s="12">
        <f>IF(D$12=0,0,D45/D$12)</f>
        <v>0</v>
      </c>
      <c r="G45" s="4"/>
      <c r="H45" s="4">
        <f>SUM(0)</f>
        <v>0</v>
      </c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>
        <f>SUM(0)</f>
        <v>0</v>
      </c>
      <c r="Q45" s="4"/>
      <c r="R45" s="12">
        <f>IF(P$12=0,0,P45/P$12)</f>
        <v>0</v>
      </c>
      <c r="S45" s="4"/>
      <c r="T45" s="4">
        <f>SUM(0)</f>
        <v>0</v>
      </c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9" t="s">
        <v>3</v>
      </c>
      <c r="C47" s="29"/>
      <c r="D47" s="20">
        <f>+D19-D21+D45</f>
        <v>17773.399999999998</v>
      </c>
      <c r="E47" s="14"/>
      <c r="F47" s="21">
        <f>IF(D$12=0,0,D47/D$12)</f>
        <v>0.36585205196122583</v>
      </c>
      <c r="G47" s="14"/>
      <c r="H47" s="20">
        <f>+H19-H21+H45</f>
        <v>0</v>
      </c>
      <c r="I47" s="14"/>
      <c r="J47" s="21">
        <f>IF(H$12=0,0,H47/H$12)</f>
        <v>0</v>
      </c>
      <c r="K47" s="15"/>
      <c r="L47" s="20">
        <f>+D47-H47</f>
        <v>17773.399999999998</v>
      </c>
      <c r="M47" s="15"/>
      <c r="N47" s="21">
        <f>IF(H47=0,0,L47/H47)</f>
        <v>0</v>
      </c>
      <c r="O47" s="28"/>
      <c r="P47" s="20">
        <f>+P19-P21+P45</f>
        <v>-3887.2800000000134</v>
      </c>
      <c r="Q47" s="14"/>
      <c r="R47" s="21">
        <f>IF(P$12=0,0,P47/P$12)</f>
        <v>-3.6265627755061043E-2</v>
      </c>
      <c r="S47" s="14"/>
      <c r="T47" s="20">
        <f>+T19-T21+T45</f>
        <v>0</v>
      </c>
      <c r="U47" s="14"/>
      <c r="V47" s="21">
        <f>IF(T$12=0,0,T47/T$12)</f>
        <v>0</v>
      </c>
      <c r="W47" s="15"/>
      <c r="X47" s="20">
        <f>+P47-T47</f>
        <v>-3887.2800000000134</v>
      </c>
      <c r="Y47" s="15"/>
      <c r="Z47" s="21">
        <f>IF(T47=0,0,X47/T47)</f>
        <v>0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51"/>
      <c r="B49" s="10" t="s">
        <v>13</v>
      </c>
      <c r="C49" s="10"/>
      <c r="D49" s="4">
        <v>5371.03</v>
      </c>
      <c r="E49" s="4"/>
      <c r="F49" s="12">
        <f>IF(D$12=0,0,D49/D$12)</f>
        <v>0.11055860705578578</v>
      </c>
      <c r="G49" s="4"/>
      <c r="H49" s="4"/>
      <c r="I49" s="4"/>
      <c r="J49" s="12">
        <f>IF(H$12=0,0,H49/H$12)</f>
        <v>0</v>
      </c>
      <c r="K49" s="4"/>
      <c r="L49" s="4">
        <f>+D49-H49</f>
        <v>5371.03</v>
      </c>
      <c r="M49" s="4"/>
      <c r="N49" s="12">
        <f>IF(H49=0,0,L49/H49)</f>
        <v>0</v>
      </c>
      <c r="O49" s="10"/>
      <c r="P49" s="4">
        <v>11577.25</v>
      </c>
      <c r="Q49" s="4"/>
      <c r="R49" s="12">
        <f>IF(P$12=0,0,P49/P$12)</f>
        <v>0.1080077172025887</v>
      </c>
      <c r="S49" s="4"/>
      <c r="T49" s="4"/>
      <c r="U49" s="4"/>
      <c r="V49" s="12">
        <f>IF(T$12=0,0,T49/T$12)</f>
        <v>0</v>
      </c>
      <c r="W49" s="4"/>
      <c r="X49" s="4">
        <f>+P49-T49</f>
        <v>11577.25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9" t="s">
        <v>4</v>
      </c>
      <c r="C51" s="29"/>
      <c r="D51" s="32">
        <f>+D47-D49</f>
        <v>12402.369999999999</v>
      </c>
      <c r="E51" s="14"/>
      <c r="F51" s="30">
        <f>IF(D$12=0,0,D51/D$12)</f>
        <v>0.25529344490544009</v>
      </c>
      <c r="G51" s="14"/>
      <c r="H51" s="32">
        <f>+H47-H49</f>
        <v>0</v>
      </c>
      <c r="I51" s="14"/>
      <c r="J51" s="30">
        <f>IF(H$12=0,0,H51/H$12)</f>
        <v>0</v>
      </c>
      <c r="K51" s="15"/>
      <c r="L51" s="32">
        <f>D51-H51</f>
        <v>12402.369999999999</v>
      </c>
      <c r="M51" s="15"/>
      <c r="N51" s="30">
        <f>IF(H51=0,0,L51/H51)</f>
        <v>0</v>
      </c>
      <c r="O51" s="28"/>
      <c r="P51" s="32">
        <f>+P47-P49</f>
        <v>-15464.530000000013</v>
      </c>
      <c r="Q51" s="14"/>
      <c r="R51" s="30">
        <f>IF(P$12=0,0,P51/P$12)</f>
        <v>-0.14427334495764974</v>
      </c>
      <c r="S51" s="14"/>
      <c r="T51" s="32">
        <f>+T47-T49</f>
        <v>0</v>
      </c>
      <c r="U51" s="14"/>
      <c r="V51" s="30">
        <f>IF(T$12=0,0,T51/T$12)</f>
        <v>0</v>
      </c>
      <c r="W51" s="15"/>
      <c r="X51" s="32">
        <f>P51-T51</f>
        <v>-15464.530000000013</v>
      </c>
      <c r="Y51" s="15"/>
      <c r="Z51" s="30">
        <f>IF(T51=0,0,X51/T51)</f>
        <v>0</v>
      </c>
    </row>
    <row r="52" spans="1:26" ht="15.75" thickTop="1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9" t="s">
        <v>5</v>
      </c>
      <c r="C54" s="29"/>
      <c r="D54" s="36">
        <f>SUM(D51:D53)</f>
        <v>12402.369999999999</v>
      </c>
      <c r="E54" s="14"/>
      <c r="F54" s="31">
        <f>IF(D$12=0,0,D54/D$12)</f>
        <v>0.25529344490544009</v>
      </c>
      <c r="G54" s="14"/>
      <c r="H54" s="36">
        <f>SUM(H51:H53)</f>
        <v>0</v>
      </c>
      <c r="I54" s="14"/>
      <c r="J54" s="31">
        <f>IF(H$12=0,0,H54/H$12)</f>
        <v>0</v>
      </c>
      <c r="K54" s="15"/>
      <c r="L54" s="36">
        <f>+D54-H54</f>
        <v>12402.369999999999</v>
      </c>
      <c r="M54" s="15"/>
      <c r="N54" s="31">
        <f>IF(H54=0,0,L54/H54)</f>
        <v>0</v>
      </c>
      <c r="O54" s="28"/>
      <c r="P54" s="36">
        <f>SUM(P51:P53)</f>
        <v>-15464.530000000013</v>
      </c>
      <c r="Q54" s="14"/>
      <c r="R54" s="31">
        <f>IF(P$12=0,0,P54/P$12)</f>
        <v>-0.14427334495764974</v>
      </c>
      <c r="S54" s="14"/>
      <c r="T54" s="36">
        <f>SUM(T51:T53)</f>
        <v>0</v>
      </c>
      <c r="U54" s="14"/>
      <c r="V54" s="31">
        <f>IF(T$12=0,0,T54/T$12)</f>
        <v>0</v>
      </c>
      <c r="W54" s="15"/>
      <c r="X54" s="36">
        <f>+P54-T54</f>
        <v>-15464.530000000013</v>
      </c>
      <c r="Y54" s="15"/>
      <c r="Z54" s="31">
        <f>IF(T54=0,0,X54/T54)</f>
        <v>0</v>
      </c>
    </row>
    <row r="55" spans="1:26" ht="15.75" thickTop="1" x14ac:dyDescent="0.25">
      <c r="A55" s="9"/>
      <c r="C55" s="9"/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62">
        <v>43847.454129826387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6" t="s">
        <v>313</v>
      </c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A58" s="9"/>
      <c r="B58" s="54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","413", " - ", "Beach Walk")</f>
        <v>Department 413 - Beach Walk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18544.97</v>
      </c>
      <c r="E12" s="4"/>
      <c r="F12" s="12"/>
      <c r="G12" s="4"/>
      <c r="H12" s="4">
        <f>SUM(OSRRefH13x_0)</f>
        <v>23255.27</v>
      </c>
      <c r="I12" s="4"/>
      <c r="J12" s="12"/>
      <c r="K12" s="4"/>
      <c r="L12" s="4">
        <f t="shared" ref="L12:L14" si="0">+D12-H12</f>
        <v>-4710.2999999999993</v>
      </c>
      <c r="M12" s="4"/>
      <c r="N12" s="12">
        <f t="shared" ref="N12:N14" si="1">IF(H12=0,0,L12/H12)</f>
        <v>-0.20254763758924318</v>
      </c>
      <c r="O12" s="10"/>
      <c r="P12" s="4">
        <f>SUM(OSRRefP13x_0)</f>
        <v>180648.61</v>
      </c>
      <c r="Q12" s="4"/>
      <c r="R12" s="12"/>
      <c r="S12" s="4"/>
      <c r="T12" s="4">
        <f>SUM(OSRRefT13x_0)</f>
        <v>192067.53999999998</v>
      </c>
      <c r="U12" s="4"/>
      <c r="V12" s="12"/>
      <c r="W12" s="4"/>
      <c r="X12" s="4">
        <f t="shared" ref="X12:X14" si="2">+P12-T12</f>
        <v>-11418.929999999993</v>
      </c>
      <c r="Y12" s="4"/>
      <c r="Z12" s="12">
        <f t="shared" ref="Z12:Z14" si="3">IF(T12=0,0,X12/T12)</f>
        <v>-5.9452680031201494E-2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--3616.5</f>
        <v>3616.5</v>
      </c>
      <c r="E13" s="2"/>
      <c r="F13" s="19"/>
      <c r="G13" s="2"/>
      <c r="H13" s="2">
        <f>--5479.02</f>
        <v>5479.02</v>
      </c>
      <c r="I13" s="2"/>
      <c r="J13" s="19"/>
      <c r="K13" s="2"/>
      <c r="L13" s="2">
        <f t="shared" si="0"/>
        <v>-1862.5200000000004</v>
      </c>
      <c r="M13" s="2"/>
      <c r="N13" s="19">
        <f t="shared" si="1"/>
        <v>-0.33993670400911119</v>
      </c>
      <c r="O13" s="11"/>
      <c r="P13" s="2">
        <f>--42705.2</f>
        <v>42705.2</v>
      </c>
      <c r="Q13" s="2"/>
      <c r="R13" s="19"/>
      <c r="S13" s="2"/>
      <c r="T13" s="2">
        <f>--54882.89</f>
        <v>54882.89</v>
      </c>
      <c r="U13" s="2"/>
      <c r="V13" s="19"/>
      <c r="W13" s="2"/>
      <c r="X13" s="2">
        <f t="shared" si="2"/>
        <v>-12177.690000000002</v>
      </c>
      <c r="Y13" s="2"/>
      <c r="Z13" s="19">
        <f t="shared" si="3"/>
        <v>-0.22188499913178775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--14928.47</f>
        <v>14928.47</v>
      </c>
      <c r="E14" s="2"/>
      <c r="F14" s="19"/>
      <c r="G14" s="2"/>
      <c r="H14" s="2">
        <f>--17776.25</f>
        <v>17776.25</v>
      </c>
      <c r="I14" s="2"/>
      <c r="J14" s="19"/>
      <c r="K14" s="2"/>
      <c r="L14" s="2">
        <f t="shared" si="0"/>
        <v>-2847.7800000000007</v>
      </c>
      <c r="M14" s="2"/>
      <c r="N14" s="19">
        <f t="shared" si="1"/>
        <v>-0.16020139230715144</v>
      </c>
      <c r="O14" s="11"/>
      <c r="P14" s="2">
        <f>--137943.41</f>
        <v>137943.41</v>
      </c>
      <c r="Q14" s="2"/>
      <c r="R14" s="19"/>
      <c r="S14" s="2"/>
      <c r="T14" s="2">
        <f>--137184.65</f>
        <v>137184.65</v>
      </c>
      <c r="U14" s="2"/>
      <c r="V14" s="19"/>
      <c r="W14" s="2"/>
      <c r="X14" s="2">
        <f t="shared" si="2"/>
        <v>758.76000000000931</v>
      </c>
      <c r="Y14" s="2"/>
      <c r="Z14" s="19">
        <f t="shared" si="3"/>
        <v>5.530939503800238E-3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7100.5999999999995</v>
      </c>
      <c r="E16" s="4"/>
      <c r="F16" s="12">
        <f t="shared" ref="F16:F18" si="4">IF(D$12=0,0,D16/D$12)</f>
        <v>0.38288549401805444</v>
      </c>
      <c r="G16" s="4"/>
      <c r="H16" s="4">
        <f>SUM(OSRRefH16x_0)</f>
        <v>6976.53</v>
      </c>
      <c r="I16" s="4"/>
      <c r="J16" s="12">
        <f t="shared" ref="J16:J18" si="5">IF(H$12=0,0,H16/H$12)</f>
        <v>0.29999780694870454</v>
      </c>
      <c r="K16" s="4"/>
      <c r="L16" s="4">
        <f t="shared" ref="L16:L18" si="6">+D16-H16</f>
        <v>124.06999999999971</v>
      </c>
      <c r="M16" s="4"/>
      <c r="N16" s="12">
        <f t="shared" ref="N16:N18" si="7">IF(H16=0,0,L16/H16)</f>
        <v>1.7783912632784452E-2</v>
      </c>
      <c r="O16" s="10"/>
      <c r="P16" s="4">
        <f>SUM(OSRRefP16x_0)</f>
        <v>56369.090000000004</v>
      </c>
      <c r="Q16" s="4"/>
      <c r="R16" s="12">
        <f t="shared" ref="R16:R18" si="8">IF(P$12=0,0,P16/P$12)</f>
        <v>0.31203721966086539</v>
      </c>
      <c r="S16" s="4"/>
      <c r="T16" s="4">
        <f>SUM(OSRRefT16x_0)</f>
        <v>58099.93</v>
      </c>
      <c r="U16" s="4"/>
      <c r="V16" s="12">
        <f t="shared" ref="V16:V18" si="9">IF(T$12=0,0,T16/T$12)</f>
        <v>0.30249739232355455</v>
      </c>
      <c r="W16" s="4"/>
      <c r="X16" s="4">
        <f t="shared" ref="X16:X18" si="10">+P16-T16</f>
        <v>-1730.8399999999965</v>
      </c>
      <c r="Y16" s="4"/>
      <c r="Z16" s="12">
        <f t="shared" ref="Z16:Z18" si="11">IF(T16=0,0,X16/T16)</f>
        <v>-2.979074157232197E-2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4557.4799999999996</v>
      </c>
      <c r="E17" s="2"/>
      <c r="F17" s="19">
        <f t="shared" si="4"/>
        <v>0.24575289148486082</v>
      </c>
      <c r="G17" s="2"/>
      <c r="H17" s="2">
        <v>5491.96</v>
      </c>
      <c r="I17" s="2"/>
      <c r="J17" s="19">
        <f t="shared" si="5"/>
        <v>0.23615980377781037</v>
      </c>
      <c r="K17" s="2"/>
      <c r="L17" s="2">
        <f t="shared" si="6"/>
        <v>-934.48000000000047</v>
      </c>
      <c r="M17" s="2"/>
      <c r="N17" s="19">
        <f t="shared" si="7"/>
        <v>-0.17015418903269516</v>
      </c>
      <c r="O17" s="11"/>
      <c r="P17" s="2">
        <v>58323.040000000001</v>
      </c>
      <c r="Q17" s="2"/>
      <c r="R17" s="19">
        <f t="shared" si="8"/>
        <v>0.32285352209463447</v>
      </c>
      <c r="S17" s="2"/>
      <c r="T17" s="2">
        <v>64026.65</v>
      </c>
      <c r="U17" s="2"/>
      <c r="V17" s="19">
        <f t="shared" si="9"/>
        <v>0.33335487089593591</v>
      </c>
      <c r="W17" s="2"/>
      <c r="X17" s="2">
        <f t="shared" si="10"/>
        <v>-5703.6100000000006</v>
      </c>
      <c r="Y17" s="2"/>
      <c r="Z17" s="19">
        <f t="shared" si="11"/>
        <v>-8.9081812026710755E-2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2543.12</v>
      </c>
      <c r="E18" s="2"/>
      <c r="F18" s="19">
        <f t="shared" si="4"/>
        <v>0.13713260253319362</v>
      </c>
      <c r="G18" s="2"/>
      <c r="H18" s="2">
        <v>1484.57</v>
      </c>
      <c r="I18" s="2"/>
      <c r="J18" s="19">
        <f t="shared" si="5"/>
        <v>6.3838003170894164E-2</v>
      </c>
      <c r="K18" s="2"/>
      <c r="L18" s="2">
        <f t="shared" si="6"/>
        <v>1058.55</v>
      </c>
      <c r="M18" s="2"/>
      <c r="N18" s="19">
        <f t="shared" si="7"/>
        <v>0.71303475080326295</v>
      </c>
      <c r="O18" s="11"/>
      <c r="P18" s="2">
        <v>-1953.95</v>
      </c>
      <c r="Q18" s="2"/>
      <c r="R18" s="19">
        <f t="shared" si="8"/>
        <v>-1.0816302433769074E-2</v>
      </c>
      <c r="S18" s="2"/>
      <c r="T18" s="2">
        <v>-5926.72</v>
      </c>
      <c r="U18" s="2"/>
      <c r="V18" s="19">
        <f t="shared" si="9"/>
        <v>-3.0857478572381365E-2</v>
      </c>
      <c r="W18" s="2"/>
      <c r="X18" s="2">
        <f t="shared" si="10"/>
        <v>3972.7700000000004</v>
      </c>
      <c r="Y18" s="2"/>
      <c r="Z18" s="19">
        <f t="shared" si="11"/>
        <v>-0.67031511527455323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11444.370000000003</v>
      </c>
      <c r="E20" s="14"/>
      <c r="F20" s="21">
        <f>IF(D$12=0,0,D20/D$12)</f>
        <v>0.61711450598194562</v>
      </c>
      <c r="G20" s="14"/>
      <c r="H20" s="20">
        <f>H12-H16</f>
        <v>16278.740000000002</v>
      </c>
      <c r="I20" s="14"/>
      <c r="J20" s="21">
        <f>IF(H$12=0,0,H20/H$12)</f>
        <v>0.70000219305129552</v>
      </c>
      <c r="K20" s="15"/>
      <c r="L20" s="20">
        <f>+D20-H20</f>
        <v>-4834.369999999999</v>
      </c>
      <c r="M20" s="15"/>
      <c r="N20" s="21">
        <f>IF(H20=0,0,L20/H20)</f>
        <v>-0.29697445871117778</v>
      </c>
      <c r="O20" s="28"/>
      <c r="P20" s="20">
        <f>P12-P16</f>
        <v>124279.51999999999</v>
      </c>
      <c r="Q20" s="14"/>
      <c r="R20" s="21">
        <f>IF(P$12=0,0,P20/P$12)</f>
        <v>0.68796278033913461</v>
      </c>
      <c r="S20" s="14"/>
      <c r="T20" s="20">
        <f>T12-T16</f>
        <v>133967.60999999999</v>
      </c>
      <c r="U20" s="14"/>
      <c r="V20" s="21">
        <f>IF(T$12=0,0,T20/T$12)</f>
        <v>0.69750260767644545</v>
      </c>
      <c r="W20" s="15"/>
      <c r="X20" s="20">
        <f>+P20-T20</f>
        <v>-9688.0899999999965</v>
      </c>
      <c r="Y20" s="15"/>
      <c r="Z20" s="21">
        <f>IF(T20=0,0,X20/T20)</f>
        <v>-7.2316659228301508E-2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16260.3</v>
      </c>
      <c r="E22" s="22"/>
      <c r="F22" s="33">
        <f t="shared" ref="F22:F31" si="12">IF(D$12=0,0,D22/D$12)</f>
        <v>0.87680379100100991</v>
      </c>
      <c r="G22" s="22"/>
      <c r="H22" s="22">
        <f>SUM(OSRRefH22x_0)</f>
        <v>16567.41</v>
      </c>
      <c r="I22" s="22"/>
      <c r="J22" s="33">
        <f t="shared" ref="J22:J31" si="13">IF(H$12=0,0,H22/H$12)</f>
        <v>0.71241529339371246</v>
      </c>
      <c r="K22" s="4"/>
      <c r="L22" s="22">
        <f t="shared" ref="L22:L31" si="14">+D22-H22</f>
        <v>-307.11000000000058</v>
      </c>
      <c r="M22" s="4"/>
      <c r="N22" s="33">
        <f t="shared" ref="N22:N31" si="15">IF(H22=0,0,L22/H22)</f>
        <v>-1.853699522134121E-2</v>
      </c>
      <c r="O22" s="10"/>
      <c r="P22" s="22">
        <f>SUM(OSRRefP22x_0)</f>
        <v>121907.70000000003</v>
      </c>
      <c r="Q22" s="22"/>
      <c r="R22" s="33">
        <f t="shared" ref="R22:R31" si="16">IF(P$12=0,0,P22/P$12)</f>
        <v>0.6748333131375881</v>
      </c>
      <c r="S22" s="22"/>
      <c r="T22" s="22">
        <f>SUM(OSRRefT22x_0)</f>
        <v>112623.87000000001</v>
      </c>
      <c r="U22" s="22"/>
      <c r="V22" s="33">
        <f t="shared" ref="V22:V31" si="17">IF(T$12=0,0,T22/T$12)</f>
        <v>0.58637638614000065</v>
      </c>
      <c r="W22" s="4"/>
      <c r="X22" s="22">
        <f t="shared" ref="X22:X31" si="18">+P22-T22</f>
        <v>9283.8300000000163</v>
      </c>
      <c r="Y22" s="4"/>
      <c r="Z22" s="33">
        <f t="shared" ref="Z22:Z31" si="19">IF(T22=0,0,X22/T22)</f>
        <v>8.2432170018664916E-2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3386.8799999999997</v>
      </c>
      <c r="E23" s="1"/>
      <c r="F23" s="5">
        <f t="shared" si="12"/>
        <v>0.18263065402640175</v>
      </c>
      <c r="G23" s="1"/>
      <c r="H23" s="1">
        <f>SUM(OSRRefH22_0x_0)</f>
        <v>3362.9200000000005</v>
      </c>
      <c r="I23" s="1"/>
      <c r="J23" s="5">
        <f t="shared" si="13"/>
        <v>0.14460894240316283</v>
      </c>
      <c r="K23" s="1"/>
      <c r="L23" s="1">
        <f t="shared" si="14"/>
        <v>23.959999999999127</v>
      </c>
      <c r="M23" s="1"/>
      <c r="N23" s="5">
        <f t="shared" si="15"/>
        <v>7.124760624694945E-3</v>
      </c>
      <c r="O23" s="13"/>
      <c r="P23" s="1">
        <f>SUM(OSRRefP22_0x_0)</f>
        <v>20934.900000000001</v>
      </c>
      <c r="Q23" s="1"/>
      <c r="R23" s="5">
        <f t="shared" si="16"/>
        <v>0.11588741258512868</v>
      </c>
      <c r="S23" s="1"/>
      <c r="T23" s="1">
        <f>SUM(OSRRefT22_0x_0)</f>
        <v>21228.809999999998</v>
      </c>
      <c r="U23" s="1"/>
      <c r="V23" s="5">
        <f t="shared" si="17"/>
        <v>0.11052783828022164</v>
      </c>
      <c r="W23" s="1"/>
      <c r="X23" s="1">
        <f t="shared" si="18"/>
        <v>-293.90999999999622</v>
      </c>
      <c r="Y23" s="1"/>
      <c r="Z23" s="5">
        <f t="shared" si="19"/>
        <v>-1.3844864596743589E-2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549.4</v>
      </c>
      <c r="E24" s="2"/>
      <c r="F24" s="7">
        <f t="shared" si="12"/>
        <v>2.9625283837072799E-2</v>
      </c>
      <c r="G24" s="2"/>
      <c r="H24" s="6">
        <v>506.88</v>
      </c>
      <c r="I24" s="2"/>
      <c r="J24" s="7">
        <f t="shared" si="13"/>
        <v>2.179634981662221E-2</v>
      </c>
      <c r="K24" s="2"/>
      <c r="L24" s="6">
        <f t="shared" si="14"/>
        <v>42.519999999999982</v>
      </c>
      <c r="M24" s="2"/>
      <c r="N24" s="7">
        <f t="shared" si="15"/>
        <v>8.3885732323232293E-2</v>
      </c>
      <c r="O24" s="11"/>
      <c r="P24" s="6">
        <v>4351.34</v>
      </c>
      <c r="Q24" s="2"/>
      <c r="R24" s="7">
        <f t="shared" si="16"/>
        <v>2.4087315147346001E-2</v>
      </c>
      <c r="S24" s="2"/>
      <c r="T24" s="6">
        <v>3967.27</v>
      </c>
      <c r="U24" s="2"/>
      <c r="V24" s="7">
        <f t="shared" si="17"/>
        <v>2.0655598546219733E-2</v>
      </c>
      <c r="W24" s="2"/>
      <c r="X24" s="6">
        <f t="shared" si="18"/>
        <v>384.07000000000016</v>
      </c>
      <c r="Y24" s="2"/>
      <c r="Z24" s="7">
        <f t="shared" si="19"/>
        <v>9.6809644919554294E-2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596.79999999999995</v>
      </c>
      <c r="E25" s="2"/>
      <c r="F25" s="7">
        <f t="shared" si="12"/>
        <v>3.2181232970449662E-2</v>
      </c>
      <c r="G25" s="2"/>
      <c r="H25" s="6">
        <v>486.34</v>
      </c>
      <c r="I25" s="2"/>
      <c r="J25" s="7">
        <f t="shared" si="13"/>
        <v>2.0913109157623195E-2</v>
      </c>
      <c r="K25" s="2"/>
      <c r="L25" s="6">
        <f t="shared" si="14"/>
        <v>110.45999999999998</v>
      </c>
      <c r="M25" s="2"/>
      <c r="N25" s="7">
        <f t="shared" si="15"/>
        <v>0.22712505654480403</v>
      </c>
      <c r="O25" s="11"/>
      <c r="P25" s="6">
        <v>2344.12</v>
      </c>
      <c r="Q25" s="2"/>
      <c r="R25" s="7">
        <f t="shared" si="16"/>
        <v>1.2976130843187777E-2</v>
      </c>
      <c r="S25" s="2"/>
      <c r="T25" s="6">
        <v>2676.8</v>
      </c>
      <c r="U25" s="2"/>
      <c r="V25" s="7">
        <f t="shared" si="17"/>
        <v>1.393676411953837E-2</v>
      </c>
      <c r="W25" s="2"/>
      <c r="X25" s="6">
        <f t="shared" si="18"/>
        <v>-332.68000000000029</v>
      </c>
      <c r="Y25" s="2"/>
      <c r="Z25" s="7">
        <f t="shared" si="19"/>
        <v>-0.12428272564255838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1286.5999999999999</v>
      </c>
      <c r="E26" s="2"/>
      <c r="F26" s="7">
        <f t="shared" si="12"/>
        <v>6.937730284815774E-2</v>
      </c>
      <c r="G26" s="2"/>
      <c r="H26" s="6">
        <v>1415.41</v>
      </c>
      <c r="I26" s="2"/>
      <c r="J26" s="7">
        <f t="shared" si="13"/>
        <v>6.0864053610213943E-2</v>
      </c>
      <c r="K26" s="2"/>
      <c r="L26" s="6">
        <f t="shared" si="14"/>
        <v>-128.81000000000017</v>
      </c>
      <c r="M26" s="2"/>
      <c r="N26" s="7">
        <f t="shared" si="15"/>
        <v>-9.1005433054733381E-2</v>
      </c>
      <c r="O26" s="11"/>
      <c r="P26" s="6">
        <v>7727.32</v>
      </c>
      <c r="Q26" s="2"/>
      <c r="R26" s="7">
        <f t="shared" si="16"/>
        <v>4.2775419085704564E-2</v>
      </c>
      <c r="S26" s="2"/>
      <c r="T26" s="6">
        <v>7602.51</v>
      </c>
      <c r="U26" s="2"/>
      <c r="V26" s="7">
        <f t="shared" si="17"/>
        <v>3.958248228722043E-2</v>
      </c>
      <c r="W26" s="2"/>
      <c r="X26" s="6">
        <f t="shared" si="18"/>
        <v>124.80999999999949</v>
      </c>
      <c r="Y26" s="2"/>
      <c r="Z26" s="7">
        <f t="shared" si="19"/>
        <v>1.6416946508455692E-2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39.99</v>
      </c>
      <c r="E27" s="2"/>
      <c r="F27" s="7">
        <f t="shared" si="12"/>
        <v>2.1563798701211166E-3</v>
      </c>
      <c r="G27" s="2"/>
      <c r="H27" s="6">
        <v>37.07</v>
      </c>
      <c r="I27" s="2"/>
      <c r="J27" s="7">
        <f t="shared" si="13"/>
        <v>1.5940472847659906E-3</v>
      </c>
      <c r="K27" s="2"/>
      <c r="L27" s="6">
        <f t="shared" si="14"/>
        <v>2.9200000000000017</v>
      </c>
      <c r="M27" s="2"/>
      <c r="N27" s="7">
        <f t="shared" si="15"/>
        <v>7.8769894793633707E-2</v>
      </c>
      <c r="O27" s="11"/>
      <c r="P27" s="6">
        <v>206.91</v>
      </c>
      <c r="Q27" s="2"/>
      <c r="R27" s="7">
        <f t="shared" si="16"/>
        <v>1.1453727764636551E-3</v>
      </c>
      <c r="S27" s="2"/>
      <c r="T27" s="6">
        <v>199.79</v>
      </c>
      <c r="U27" s="2"/>
      <c r="V27" s="7">
        <f t="shared" si="17"/>
        <v>1.0402070021826699E-3</v>
      </c>
      <c r="W27" s="2"/>
      <c r="X27" s="6">
        <f t="shared" si="18"/>
        <v>7.1200000000000045</v>
      </c>
      <c r="Y27" s="2"/>
      <c r="Z27" s="7">
        <f t="shared" si="19"/>
        <v>3.5637419290254789E-2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326.52</v>
      </c>
      <c r="E28" s="2"/>
      <c r="F28" s="7">
        <f t="shared" si="12"/>
        <v>1.7606930612451784E-2</v>
      </c>
      <c r="G28" s="2"/>
      <c r="H28" s="6">
        <v>310.52</v>
      </c>
      <c r="I28" s="2"/>
      <c r="J28" s="7">
        <f t="shared" si="13"/>
        <v>1.335267231900554E-2</v>
      </c>
      <c r="K28" s="2"/>
      <c r="L28" s="6">
        <f t="shared" si="14"/>
        <v>16</v>
      </c>
      <c r="M28" s="2"/>
      <c r="N28" s="7">
        <f t="shared" si="15"/>
        <v>5.1526471724848644E-2</v>
      </c>
      <c r="O28" s="11"/>
      <c r="P28" s="6">
        <v>1959.12</v>
      </c>
      <c r="Q28" s="2"/>
      <c r="R28" s="7">
        <f t="shared" si="16"/>
        <v>1.0844921530257E-2</v>
      </c>
      <c r="S28" s="2"/>
      <c r="T28" s="6">
        <v>1922.23</v>
      </c>
      <c r="U28" s="2"/>
      <c r="V28" s="7">
        <f t="shared" si="17"/>
        <v>1.0008094027757111E-2</v>
      </c>
      <c r="W28" s="2"/>
      <c r="X28" s="6">
        <f t="shared" si="18"/>
        <v>36.889999999999873</v>
      </c>
      <c r="Y28" s="2"/>
      <c r="Z28" s="7">
        <f t="shared" si="19"/>
        <v>1.9191251827304679E-2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269.38</v>
      </c>
      <c r="E29" s="2"/>
      <c r="F29" s="7">
        <f t="shared" si="12"/>
        <v>1.452577167825022E-2</v>
      </c>
      <c r="G29" s="2"/>
      <c r="H29" s="6">
        <v>261.52</v>
      </c>
      <c r="I29" s="2"/>
      <c r="J29" s="7">
        <f t="shared" si="13"/>
        <v>1.124562303512279E-2</v>
      </c>
      <c r="K29" s="2"/>
      <c r="L29" s="6">
        <f t="shared" si="14"/>
        <v>7.8600000000000136</v>
      </c>
      <c r="M29" s="2"/>
      <c r="N29" s="7">
        <f t="shared" si="15"/>
        <v>3.0055062710309017E-2</v>
      </c>
      <c r="O29" s="11"/>
      <c r="P29" s="6">
        <v>1835.06</v>
      </c>
      <c r="Q29" s="2"/>
      <c r="R29" s="7">
        <f t="shared" si="16"/>
        <v>1.0158173926718838E-2</v>
      </c>
      <c r="S29" s="2"/>
      <c r="T29" s="6">
        <v>1849</v>
      </c>
      <c r="U29" s="2"/>
      <c r="V29" s="7">
        <f t="shared" si="17"/>
        <v>9.6268218981718622E-3</v>
      </c>
      <c r="W29" s="2"/>
      <c r="X29" s="6">
        <f t="shared" si="18"/>
        <v>-13.940000000000055</v>
      </c>
      <c r="Y29" s="2"/>
      <c r="Z29" s="7">
        <f t="shared" si="19"/>
        <v>-7.5392103839913762E-3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215.62</v>
      </c>
      <c r="E30" s="2"/>
      <c r="F30" s="7">
        <f t="shared" si="12"/>
        <v>1.1626872407989874E-2</v>
      </c>
      <c r="G30" s="2"/>
      <c r="H30" s="6">
        <v>209.34</v>
      </c>
      <c r="I30" s="2"/>
      <c r="J30" s="7">
        <f t="shared" si="13"/>
        <v>9.0018305528166299E-3</v>
      </c>
      <c r="K30" s="2"/>
      <c r="L30" s="6">
        <f t="shared" si="14"/>
        <v>6.2800000000000011</v>
      </c>
      <c r="M30" s="2"/>
      <c r="N30" s="7">
        <f t="shared" si="15"/>
        <v>2.9999044616413496E-2</v>
      </c>
      <c r="O30" s="11"/>
      <c r="P30" s="6">
        <v>1735.42</v>
      </c>
      <c r="Q30" s="2"/>
      <c r="R30" s="7">
        <f t="shared" si="16"/>
        <v>9.6066058853151448E-3</v>
      </c>
      <c r="S30" s="2"/>
      <c r="T30" s="6">
        <v>2216.16</v>
      </c>
      <c r="U30" s="2"/>
      <c r="V30" s="7">
        <f t="shared" si="17"/>
        <v>1.1538441112954328E-2</v>
      </c>
      <c r="W30" s="2"/>
      <c r="X30" s="6">
        <f t="shared" si="18"/>
        <v>-480.73999999999978</v>
      </c>
      <c r="Y30" s="2"/>
      <c r="Z30" s="7">
        <f t="shared" si="19"/>
        <v>-0.21692477077467323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102.57</v>
      </c>
      <c r="E31" s="2"/>
      <c r="F31" s="7">
        <f t="shared" si="12"/>
        <v>5.5308798019085489E-3</v>
      </c>
      <c r="G31" s="2"/>
      <c r="H31" s="6">
        <v>135.84</v>
      </c>
      <c r="I31" s="2"/>
      <c r="J31" s="7">
        <f t="shared" si="13"/>
        <v>5.8412566269925052E-3</v>
      </c>
      <c r="K31" s="2"/>
      <c r="L31" s="6">
        <f t="shared" si="14"/>
        <v>-33.27000000000001</v>
      </c>
      <c r="M31" s="2"/>
      <c r="N31" s="7">
        <f t="shared" si="15"/>
        <v>-0.24492049469964672</v>
      </c>
      <c r="O31" s="11"/>
      <c r="P31" s="6">
        <v>775.61</v>
      </c>
      <c r="Q31" s="2"/>
      <c r="R31" s="7">
        <f t="shared" si="16"/>
        <v>4.2934733901356902E-3</v>
      </c>
      <c r="S31" s="2"/>
      <c r="T31" s="6">
        <v>795.05</v>
      </c>
      <c r="U31" s="2"/>
      <c r="V31" s="7">
        <f t="shared" si="17"/>
        <v>4.1394292861771436E-3</v>
      </c>
      <c r="W31" s="2"/>
      <c r="X31" s="6">
        <f t="shared" si="18"/>
        <v>-19.439999999999941</v>
      </c>
      <c r="Y31" s="2"/>
      <c r="Z31" s="7">
        <f t="shared" si="19"/>
        <v>-2.4451292371548885E-2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9360.41</v>
      </c>
      <c r="E32" s="1"/>
      <c r="F32" s="5">
        <f t="shared" ref="F32:F37" si="20">IF(D$12=0,0,D32/D$12)</f>
        <v>0.50474117779645911</v>
      </c>
      <c r="G32" s="1"/>
      <c r="H32" s="1">
        <f>SUM(OSRRefH22_1x_0)</f>
        <v>10031.970000000001</v>
      </c>
      <c r="I32" s="1"/>
      <c r="J32" s="5">
        <f t="shared" ref="J32:J37" si="21">IF(H$12=0,0,H32/H$12)</f>
        <v>0.43138480009047414</v>
      </c>
      <c r="K32" s="1"/>
      <c r="L32" s="1">
        <f t="shared" ref="L32:L37" si="22">+D32-H32</f>
        <v>-671.56000000000131</v>
      </c>
      <c r="M32" s="1"/>
      <c r="N32" s="5">
        <f t="shared" ref="N32:N37" si="23">IF(H32=0,0,L32/H32)</f>
        <v>-6.6941986469257905E-2</v>
      </c>
      <c r="O32" s="13"/>
      <c r="P32" s="1">
        <f>SUM(OSRRefP22_1x_0)</f>
        <v>75035.42</v>
      </c>
      <c r="Q32" s="1"/>
      <c r="R32" s="5">
        <f t="shared" ref="R32:R37" si="24">IF(P$12=0,0,P32/P$12)</f>
        <v>0.41536671663291513</v>
      </c>
      <c r="S32" s="1"/>
      <c r="T32" s="1">
        <f>SUM(OSRRefT22_1x_0)</f>
        <v>71339.740000000005</v>
      </c>
      <c r="U32" s="1"/>
      <c r="V32" s="5">
        <f t="shared" ref="V32:V37" si="25">IF(T$12=0,0,T32/T$12)</f>
        <v>0.37143048742124785</v>
      </c>
      <c r="W32" s="1"/>
      <c r="X32" s="1">
        <f t="shared" ref="X32:X37" si="26">+P32-T32</f>
        <v>3695.679999999993</v>
      </c>
      <c r="Y32" s="1"/>
      <c r="Z32" s="5">
        <f t="shared" ref="Z32:Z37" si="27">IF(T32=0,0,X32/T32)</f>
        <v>5.1803945458730197E-2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4440.8900000000003</v>
      </c>
      <c r="E33" s="2"/>
      <c r="F33" s="7">
        <f t="shared" si="20"/>
        <v>0.23946601153843872</v>
      </c>
      <c r="G33" s="2"/>
      <c r="H33" s="6">
        <v>4538.46</v>
      </c>
      <c r="I33" s="2"/>
      <c r="J33" s="7">
        <f t="shared" si="21"/>
        <v>0.19515834475368379</v>
      </c>
      <c r="K33" s="2"/>
      <c r="L33" s="6">
        <f t="shared" si="22"/>
        <v>-97.569999999999709</v>
      </c>
      <c r="M33" s="2"/>
      <c r="N33" s="7">
        <f t="shared" si="23"/>
        <v>-2.1498481863892093E-2</v>
      </c>
      <c r="O33" s="11"/>
      <c r="P33" s="6">
        <v>28982.649999999998</v>
      </c>
      <c r="Q33" s="2"/>
      <c r="R33" s="7">
        <f t="shared" si="24"/>
        <v>0.16043660673613819</v>
      </c>
      <c r="S33" s="2"/>
      <c r="T33" s="6">
        <v>25978.85</v>
      </c>
      <c r="U33" s="2"/>
      <c r="V33" s="7">
        <f t="shared" si="25"/>
        <v>0.13525893027004982</v>
      </c>
      <c r="W33" s="2"/>
      <c r="X33" s="6">
        <f t="shared" si="26"/>
        <v>3003.7999999999993</v>
      </c>
      <c r="Y33" s="2"/>
      <c r="Z33" s="7">
        <f t="shared" si="27"/>
        <v>0.11562482557926927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2495.52</v>
      </c>
      <c r="E34" s="2"/>
      <c r="F34" s="7">
        <f t="shared" si="20"/>
        <v>0.13456586880431728</v>
      </c>
      <c r="G34" s="2"/>
      <c r="H34" s="6">
        <v>1717.38</v>
      </c>
      <c r="I34" s="2"/>
      <c r="J34" s="7">
        <f t="shared" si="21"/>
        <v>7.3849067329684839E-2</v>
      </c>
      <c r="K34" s="2"/>
      <c r="L34" s="6">
        <f t="shared" si="22"/>
        <v>778.13999999999987</v>
      </c>
      <c r="M34" s="2"/>
      <c r="N34" s="7">
        <f t="shared" si="23"/>
        <v>0.45309715962687341</v>
      </c>
      <c r="O34" s="11"/>
      <c r="P34" s="6">
        <v>20389.46</v>
      </c>
      <c r="Q34" s="2"/>
      <c r="R34" s="7">
        <f t="shared" si="24"/>
        <v>0.11286807022760928</v>
      </c>
      <c r="S34" s="2"/>
      <c r="T34" s="6">
        <v>13402.87</v>
      </c>
      <c r="U34" s="2"/>
      <c r="V34" s="7">
        <f t="shared" si="25"/>
        <v>6.9782067287371949E-2</v>
      </c>
      <c r="W34" s="2"/>
      <c r="X34" s="6">
        <f t="shared" si="26"/>
        <v>6986.5899999999983</v>
      </c>
      <c r="Y34" s="2"/>
      <c r="Z34" s="7">
        <f t="shared" si="27"/>
        <v>0.52127566707727513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370.13</v>
      </c>
      <c r="I35" s="2"/>
      <c r="J35" s="7">
        <f t="shared" si="21"/>
        <v>1.5915962274357598E-2</v>
      </c>
      <c r="K35" s="2"/>
      <c r="L35" s="6">
        <f t="shared" si="22"/>
        <v>-370.13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3860.75</v>
      </c>
      <c r="U35" s="2"/>
      <c r="V35" s="7">
        <f t="shared" si="25"/>
        <v>2.0101001970452687E-2</v>
      </c>
      <c r="W35" s="2"/>
      <c r="X35" s="6">
        <f t="shared" si="26"/>
        <v>-3860.75</v>
      </c>
      <c r="Y35" s="2"/>
      <c r="Z35" s="7">
        <f t="shared" si="27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2184</v>
      </c>
      <c r="E36" s="2"/>
      <c r="F36" s="7">
        <f t="shared" si="20"/>
        <v>0.11776778285432653</v>
      </c>
      <c r="G36" s="2"/>
      <c r="H36" s="6">
        <v>2523.25</v>
      </c>
      <c r="I36" s="2"/>
      <c r="J36" s="7">
        <f t="shared" si="21"/>
        <v>0.10850228786851324</v>
      </c>
      <c r="K36" s="2"/>
      <c r="L36" s="6">
        <f t="shared" si="22"/>
        <v>-339.25</v>
      </c>
      <c r="M36" s="2"/>
      <c r="N36" s="7">
        <f t="shared" si="23"/>
        <v>-0.13444961854750817</v>
      </c>
      <c r="O36" s="11"/>
      <c r="P36" s="6">
        <v>23119.31</v>
      </c>
      <c r="Q36" s="2"/>
      <c r="R36" s="7">
        <f t="shared" si="24"/>
        <v>0.12797945137800951</v>
      </c>
      <c r="S36" s="2"/>
      <c r="T36" s="6">
        <v>21959.27</v>
      </c>
      <c r="U36" s="2"/>
      <c r="V36" s="7">
        <f t="shared" si="25"/>
        <v>0.11433097961269251</v>
      </c>
      <c r="W36" s="2"/>
      <c r="X36" s="6">
        <f t="shared" si="26"/>
        <v>1160.0400000000009</v>
      </c>
      <c r="Y36" s="2"/>
      <c r="Z36" s="7">
        <f t="shared" si="27"/>
        <v>5.2826892697252728E-2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240</v>
      </c>
      <c r="E37" s="2"/>
      <c r="F37" s="7">
        <f t="shared" si="20"/>
        <v>1.2941514599376541E-2</v>
      </c>
      <c r="G37" s="2"/>
      <c r="H37" s="6">
        <v>882.75</v>
      </c>
      <c r="I37" s="2"/>
      <c r="J37" s="7">
        <f t="shared" si="21"/>
        <v>3.7959137864234646E-2</v>
      </c>
      <c r="K37" s="2"/>
      <c r="L37" s="6">
        <f t="shared" si="22"/>
        <v>-642.75</v>
      </c>
      <c r="M37" s="2"/>
      <c r="N37" s="7">
        <f t="shared" si="23"/>
        <v>-0.7281223449447749</v>
      </c>
      <c r="O37" s="11"/>
      <c r="P37" s="6">
        <v>2544</v>
      </c>
      <c r="Q37" s="2"/>
      <c r="R37" s="7">
        <f t="shared" si="24"/>
        <v>1.4082588291158177E-2</v>
      </c>
      <c r="S37" s="2"/>
      <c r="T37" s="6">
        <v>6138</v>
      </c>
      <c r="U37" s="2"/>
      <c r="V37" s="7">
        <f t="shared" si="25"/>
        <v>3.1957508280680849E-2</v>
      </c>
      <c r="W37" s="2"/>
      <c r="X37" s="6">
        <f t="shared" si="26"/>
        <v>-3594</v>
      </c>
      <c r="Y37" s="2"/>
      <c r="Z37" s="7">
        <f t="shared" si="27"/>
        <v>-0.58553274682306944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350</v>
      </c>
      <c r="E38" s="1"/>
      <c r="F38" s="5">
        <f t="shared" ref="F38:F51" si="28">IF(D$12=0,0,D38/D$12)</f>
        <v>1.8873042124090789E-2</v>
      </c>
      <c r="G38" s="1"/>
      <c r="H38" s="1">
        <f>SUM(OSRRefH22_2x_0)</f>
        <v>69.88</v>
      </c>
      <c r="I38" s="1"/>
      <c r="J38" s="5">
        <f t="shared" ref="J38:J51" si="29">IF(H$12=0,0,H38/H$12)</f>
        <v>3.0049102848515624E-3</v>
      </c>
      <c r="K38" s="1"/>
      <c r="L38" s="1">
        <f t="shared" ref="L38:L51" si="30">+D38-H38</f>
        <v>280.12</v>
      </c>
      <c r="M38" s="1"/>
      <c r="N38" s="5">
        <f t="shared" ref="N38:N51" si="31">IF(H38=0,0,L38/H38)</f>
        <v>4.0085861476817408</v>
      </c>
      <c r="O38" s="13"/>
      <c r="P38" s="1">
        <f>SUM(OSRRefP22_2x_0)</f>
        <v>1815</v>
      </c>
      <c r="Q38" s="1"/>
      <c r="R38" s="5">
        <f t="shared" ref="R38:R51" si="32">IF(P$12=0,0,P38/P$12)</f>
        <v>1.0047129618102238E-2</v>
      </c>
      <c r="S38" s="1"/>
      <c r="T38" s="1">
        <f>SUM(OSRRefT22_2x_0)</f>
        <v>1266.58</v>
      </c>
      <c r="U38" s="1"/>
      <c r="V38" s="5">
        <f t="shared" ref="V38:V51" si="33">IF(T$12=0,0,T38/T$12)</f>
        <v>6.5944510977752934E-3</v>
      </c>
      <c r="W38" s="1"/>
      <c r="X38" s="1">
        <f t="shared" ref="X38:X51" si="34">+P38-T38</f>
        <v>548.42000000000007</v>
      </c>
      <c r="Y38" s="1"/>
      <c r="Z38" s="5">
        <f t="shared" ref="Z38:Z51" si="35">IF(T38=0,0,X38/T38)</f>
        <v>0.43299278371678068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350</v>
      </c>
      <c r="E39" s="2"/>
      <c r="F39" s="7">
        <f t="shared" si="28"/>
        <v>1.8873042124090789E-2</v>
      </c>
      <c r="G39" s="2"/>
      <c r="H39" s="6">
        <v>69.88</v>
      </c>
      <c r="I39" s="2"/>
      <c r="J39" s="7">
        <f t="shared" si="29"/>
        <v>3.0049102848515624E-3</v>
      </c>
      <c r="K39" s="2"/>
      <c r="L39" s="6">
        <f t="shared" si="30"/>
        <v>280.12</v>
      </c>
      <c r="M39" s="2"/>
      <c r="N39" s="7">
        <f t="shared" si="31"/>
        <v>4.0085861476817408</v>
      </c>
      <c r="O39" s="11"/>
      <c r="P39" s="6">
        <v>1815</v>
      </c>
      <c r="Q39" s="2"/>
      <c r="R39" s="7">
        <f t="shared" si="32"/>
        <v>1.0047129618102238E-2</v>
      </c>
      <c r="S39" s="2"/>
      <c r="T39" s="6">
        <v>1266.58</v>
      </c>
      <c r="U39" s="2"/>
      <c r="V39" s="7">
        <f t="shared" si="33"/>
        <v>6.5944510977752934E-3</v>
      </c>
      <c r="W39" s="2"/>
      <c r="X39" s="6">
        <f t="shared" si="34"/>
        <v>548.42000000000007</v>
      </c>
      <c r="Y39" s="2"/>
      <c r="Z39" s="7">
        <f t="shared" si="35"/>
        <v>0.43299278371678068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-12.95</v>
      </c>
      <c r="E40" s="1"/>
      <c r="F40" s="5">
        <f t="shared" si="28"/>
        <v>-6.9830255859135919E-4</v>
      </c>
      <c r="G40" s="1"/>
      <c r="H40" s="1">
        <f>SUM(OSRRefH22_3x_0)</f>
        <v>-1.71</v>
      </c>
      <c r="I40" s="1"/>
      <c r="J40" s="5">
        <f t="shared" si="29"/>
        <v>-7.3531719906928624E-5</v>
      </c>
      <c r="K40" s="1"/>
      <c r="L40" s="1">
        <f t="shared" si="30"/>
        <v>-11.239999999999998</v>
      </c>
      <c r="M40" s="1"/>
      <c r="N40" s="5">
        <f t="shared" si="31"/>
        <v>6.5730994152046778</v>
      </c>
      <c r="O40" s="13"/>
      <c r="P40" s="1">
        <f>SUM(OSRRefP22_3x_0)</f>
        <v>-37.47</v>
      </c>
      <c r="Q40" s="1"/>
      <c r="R40" s="5">
        <f t="shared" si="32"/>
        <v>-2.0741925442991231E-4</v>
      </c>
      <c r="S40" s="1"/>
      <c r="T40" s="1">
        <f>SUM(OSRRefT22_3x_0)</f>
        <v>43.99</v>
      </c>
      <c r="U40" s="1"/>
      <c r="V40" s="5">
        <f t="shared" si="33"/>
        <v>2.2903401584671728E-4</v>
      </c>
      <c r="W40" s="1"/>
      <c r="X40" s="1">
        <f t="shared" si="34"/>
        <v>-81.460000000000008</v>
      </c>
      <c r="Y40" s="1"/>
      <c r="Z40" s="5">
        <f t="shared" si="35"/>
        <v>-1.851784496476472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-12.95</v>
      </c>
      <c r="E41" s="2"/>
      <c r="F41" s="7">
        <f t="shared" si="28"/>
        <v>-6.9830255859135919E-4</v>
      </c>
      <c r="G41" s="2"/>
      <c r="H41" s="6">
        <v>-1.71</v>
      </c>
      <c r="I41" s="2"/>
      <c r="J41" s="7">
        <f t="shared" si="29"/>
        <v>-7.3531719906928624E-5</v>
      </c>
      <c r="K41" s="2"/>
      <c r="L41" s="6">
        <f t="shared" si="30"/>
        <v>-11.239999999999998</v>
      </c>
      <c r="M41" s="2"/>
      <c r="N41" s="7">
        <f t="shared" si="31"/>
        <v>6.5730994152046778</v>
      </c>
      <c r="O41" s="11"/>
      <c r="P41" s="6">
        <v>-37.47</v>
      </c>
      <c r="Q41" s="2"/>
      <c r="R41" s="7">
        <f t="shared" si="32"/>
        <v>-2.0741925442991231E-4</v>
      </c>
      <c r="S41" s="2"/>
      <c r="T41" s="6">
        <v>43.99</v>
      </c>
      <c r="U41" s="2"/>
      <c r="V41" s="7">
        <f t="shared" si="33"/>
        <v>2.2903401584671728E-4</v>
      </c>
      <c r="W41" s="2"/>
      <c r="X41" s="6">
        <f t="shared" si="34"/>
        <v>-81.460000000000008</v>
      </c>
      <c r="Y41" s="2"/>
      <c r="Z41" s="7">
        <f t="shared" si="35"/>
        <v>-1.851784496476472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1574.71</v>
      </c>
      <c r="E42" s="1"/>
      <c r="F42" s="5">
        <f t="shared" si="28"/>
        <v>8.491305189493431E-2</v>
      </c>
      <c r="G42" s="1"/>
      <c r="H42" s="1">
        <f>SUM(OSRRefH22_4x_0)</f>
        <v>1913.6</v>
      </c>
      <c r="I42" s="1"/>
      <c r="J42" s="5">
        <f t="shared" si="29"/>
        <v>8.2286724686490412E-2</v>
      </c>
      <c r="K42" s="1"/>
      <c r="L42" s="1">
        <f t="shared" si="30"/>
        <v>-338.88999999999987</v>
      </c>
      <c r="M42" s="1"/>
      <c r="N42" s="5">
        <f t="shared" si="31"/>
        <v>-0.17709552675585277</v>
      </c>
      <c r="O42" s="13"/>
      <c r="P42" s="1">
        <f>SUM(OSRRefP22_4x_0)</f>
        <v>7238.08</v>
      </c>
      <c r="Q42" s="1"/>
      <c r="R42" s="5">
        <f t="shared" si="32"/>
        <v>4.0067177931787025E-2</v>
      </c>
      <c r="S42" s="1"/>
      <c r="T42" s="1">
        <f>SUM(OSRRefT22_4x_0)</f>
        <v>7497.96</v>
      </c>
      <c r="U42" s="1"/>
      <c r="V42" s="5">
        <f t="shared" si="33"/>
        <v>3.9038142520073933E-2</v>
      </c>
      <c r="W42" s="1"/>
      <c r="X42" s="1">
        <f t="shared" si="34"/>
        <v>-259.88000000000011</v>
      </c>
      <c r="Y42" s="1"/>
      <c r="Z42" s="5">
        <f t="shared" si="35"/>
        <v>-3.4660094212292422E-2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1574.71</v>
      </c>
      <c r="E43" s="2"/>
      <c r="F43" s="7">
        <f t="shared" si="28"/>
        <v>8.491305189493431E-2</v>
      </c>
      <c r="G43" s="2"/>
      <c r="H43" s="6">
        <v>1913.6</v>
      </c>
      <c r="I43" s="2"/>
      <c r="J43" s="7">
        <f t="shared" si="29"/>
        <v>8.2286724686490412E-2</v>
      </c>
      <c r="K43" s="2"/>
      <c r="L43" s="6">
        <f t="shared" si="30"/>
        <v>-338.88999999999987</v>
      </c>
      <c r="M43" s="2"/>
      <c r="N43" s="7">
        <f t="shared" si="31"/>
        <v>-0.17709552675585277</v>
      </c>
      <c r="O43" s="11"/>
      <c r="P43" s="6">
        <v>7238.08</v>
      </c>
      <c r="Q43" s="2"/>
      <c r="R43" s="7">
        <f t="shared" si="32"/>
        <v>4.0067177931787025E-2</v>
      </c>
      <c r="S43" s="2"/>
      <c r="T43" s="6">
        <v>7497.96</v>
      </c>
      <c r="U43" s="2"/>
      <c r="V43" s="7">
        <f t="shared" si="33"/>
        <v>3.9038142520073933E-2</v>
      </c>
      <c r="W43" s="2"/>
      <c r="X43" s="6">
        <f t="shared" si="34"/>
        <v>-259.88000000000011</v>
      </c>
      <c r="Y43" s="2"/>
      <c r="Z43" s="7">
        <f t="shared" si="35"/>
        <v>-3.4660094212292422E-2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630.21</v>
      </c>
      <c r="E44" s="1"/>
      <c r="F44" s="5">
        <f t="shared" si="28"/>
        <v>3.3982799648637881E-2</v>
      </c>
      <c r="G44" s="1"/>
      <c r="H44" s="1">
        <f>SUM(OSRRefH22_5x_0)</f>
        <v>635.67999999999995</v>
      </c>
      <c r="I44" s="1"/>
      <c r="J44" s="5">
        <f t="shared" si="29"/>
        <v>2.7334879362828295E-2</v>
      </c>
      <c r="K44" s="1"/>
      <c r="L44" s="1">
        <f t="shared" si="30"/>
        <v>-5.4699999999999136</v>
      </c>
      <c r="M44" s="1"/>
      <c r="N44" s="5">
        <f t="shared" si="31"/>
        <v>-8.6049584696701389E-3</v>
      </c>
      <c r="O44" s="13"/>
      <c r="P44" s="1">
        <f>SUM(OSRRefP22_5x_0)</f>
        <v>3781.26</v>
      </c>
      <c r="Q44" s="1"/>
      <c r="R44" s="5">
        <f t="shared" si="32"/>
        <v>2.0931575393799046E-2</v>
      </c>
      <c r="S44" s="1"/>
      <c r="T44" s="1">
        <f>SUM(OSRRefT22_5x_0)</f>
        <v>3814.08</v>
      </c>
      <c r="U44" s="1"/>
      <c r="V44" s="5">
        <f t="shared" si="33"/>
        <v>1.985801452968055E-2</v>
      </c>
      <c r="W44" s="1"/>
      <c r="X44" s="1">
        <f t="shared" si="34"/>
        <v>-32.819999999999709</v>
      </c>
      <c r="Y44" s="1"/>
      <c r="Z44" s="5">
        <f t="shared" si="35"/>
        <v>-8.6049584696701979E-3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630.21</v>
      </c>
      <c r="E45" s="2"/>
      <c r="F45" s="7">
        <f t="shared" si="28"/>
        <v>3.3982799648637881E-2</v>
      </c>
      <c r="G45" s="2"/>
      <c r="H45" s="6">
        <v>635.67999999999995</v>
      </c>
      <c r="I45" s="2"/>
      <c r="J45" s="7">
        <f t="shared" si="29"/>
        <v>2.7334879362828295E-2</v>
      </c>
      <c r="K45" s="2"/>
      <c r="L45" s="6">
        <f t="shared" si="30"/>
        <v>-5.4699999999999136</v>
      </c>
      <c r="M45" s="2"/>
      <c r="N45" s="7">
        <f t="shared" si="31"/>
        <v>-8.6049584696701389E-3</v>
      </c>
      <c r="O45" s="11"/>
      <c r="P45" s="6">
        <v>3781.26</v>
      </c>
      <c r="Q45" s="2"/>
      <c r="R45" s="7">
        <f t="shared" si="32"/>
        <v>2.0931575393799046E-2</v>
      </c>
      <c r="S45" s="2"/>
      <c r="T45" s="6">
        <v>3814.08</v>
      </c>
      <c r="U45" s="2"/>
      <c r="V45" s="7">
        <f t="shared" si="33"/>
        <v>1.985801452968055E-2</v>
      </c>
      <c r="W45" s="2"/>
      <c r="X45" s="6">
        <f t="shared" si="34"/>
        <v>-32.819999999999709</v>
      </c>
      <c r="Y45" s="2"/>
      <c r="Z45" s="7">
        <f t="shared" si="35"/>
        <v>-8.6049584696701979E-3</v>
      </c>
    </row>
    <row r="46" spans="1:26" s="27" customFormat="1" outlineLevel="1" collapsed="1" x14ac:dyDescent="0.25">
      <c r="A46" s="25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851.35</v>
      </c>
      <c r="Q46" s="1"/>
      <c r="R46" s="5">
        <f t="shared" si="32"/>
        <v>4.7127403858795262E-3</v>
      </c>
      <c r="S46" s="1"/>
      <c r="T46" s="1">
        <f>SUM(OSRRefT22_6x_0)</f>
        <v>724.2</v>
      </c>
      <c r="U46" s="1"/>
      <c r="V46" s="5">
        <f t="shared" si="33"/>
        <v>3.7705486309659621E-3</v>
      </c>
      <c r="W46" s="1"/>
      <c r="X46" s="1">
        <f t="shared" si="34"/>
        <v>127.14999999999998</v>
      </c>
      <c r="Y46" s="1"/>
      <c r="Z46" s="5">
        <f t="shared" si="35"/>
        <v>0.17557304611985636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851.35</v>
      </c>
      <c r="Q47" s="2"/>
      <c r="R47" s="7">
        <f t="shared" si="32"/>
        <v>4.7127403858795262E-3</v>
      </c>
      <c r="S47" s="2"/>
      <c r="T47" s="6">
        <v>724.2</v>
      </c>
      <c r="U47" s="2"/>
      <c r="V47" s="7">
        <f t="shared" si="33"/>
        <v>3.7705486309659621E-3</v>
      </c>
      <c r="W47" s="2"/>
      <c r="X47" s="6">
        <f t="shared" si="34"/>
        <v>127.14999999999998</v>
      </c>
      <c r="Y47" s="2"/>
      <c r="Z47" s="7">
        <f t="shared" si="35"/>
        <v>0.17557304611985636</v>
      </c>
    </row>
    <row r="48" spans="1:26" s="27" customFormat="1" outlineLevel="1" collapsed="1" x14ac:dyDescent="0.25">
      <c r="A48" s="25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SUM(OSRRefD22_7x_0)</f>
        <v>771.55</v>
      </c>
      <c r="E48" s="1"/>
      <c r="F48" s="5">
        <f t="shared" si="28"/>
        <v>4.1604273288120712E-2</v>
      </c>
      <c r="G48" s="1"/>
      <c r="H48" s="1">
        <f>SUM(OSRRefH22_7x_0)</f>
        <v>155.94999999999999</v>
      </c>
      <c r="I48" s="1"/>
      <c r="J48" s="5">
        <f t="shared" si="29"/>
        <v>6.706006853500303E-3</v>
      </c>
      <c r="K48" s="1"/>
      <c r="L48" s="1">
        <f t="shared" si="30"/>
        <v>615.59999999999991</v>
      </c>
      <c r="M48" s="1"/>
      <c r="N48" s="5">
        <f t="shared" si="31"/>
        <v>3.9474190445655655</v>
      </c>
      <c r="O48" s="13"/>
      <c r="P48" s="1">
        <f>SUM(OSRRefP22_7x_0)</f>
        <v>8449.36</v>
      </c>
      <c r="Q48" s="1"/>
      <c r="R48" s="5">
        <f t="shared" si="32"/>
        <v>4.6772349922869605E-2</v>
      </c>
      <c r="S48" s="1"/>
      <c r="T48" s="1">
        <f>SUM(OSRRefT22_7x_0)</f>
        <v>2341.0099999999998</v>
      </c>
      <c r="U48" s="1"/>
      <c r="V48" s="5">
        <f t="shared" si="33"/>
        <v>1.2188472867409038E-2</v>
      </c>
      <c r="W48" s="1"/>
      <c r="X48" s="1">
        <f t="shared" si="34"/>
        <v>6108.35</v>
      </c>
      <c r="Y48" s="1"/>
      <c r="Z48" s="5">
        <f t="shared" si="35"/>
        <v>2.6092797553192857</v>
      </c>
    </row>
    <row r="49" spans="1:26" s="24" customFormat="1" hidden="1" outlineLevel="2" x14ac:dyDescent="0.25">
      <c r="A49" s="26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874.62</v>
      </c>
      <c r="Q49" s="2"/>
      <c r="R49" s="7">
        <f t="shared" si="32"/>
        <v>4.8415539981182254E-3</v>
      </c>
      <c r="S49" s="2"/>
      <c r="T49" s="6"/>
      <c r="U49" s="2"/>
      <c r="V49" s="7">
        <f t="shared" si="33"/>
        <v>0</v>
      </c>
      <c r="W49" s="2"/>
      <c r="X49" s="6">
        <f t="shared" si="34"/>
        <v>874.62</v>
      </c>
      <c r="Y49" s="2"/>
      <c r="Z49" s="7">
        <f t="shared" si="35"/>
        <v>0</v>
      </c>
    </row>
    <row r="50" spans="1:26" s="24" customFormat="1" hidden="1" outlineLevel="2" x14ac:dyDescent="0.25">
      <c r="A50" s="26"/>
      <c r="B50" s="11" t="str">
        <f>CONCATENATE("          ", "6373", " - ", "MAINTENANCE CONTRACTS")</f>
        <v xml:space="preserve">          6373 - MAINTENANCE CONTRACTS</v>
      </c>
      <c r="C50" s="11"/>
      <c r="D50" s="6">
        <v>708.93</v>
      </c>
      <c r="E50" s="2"/>
      <c r="F50" s="7">
        <f t="shared" si="28"/>
        <v>3.822761643723338E-2</v>
      </c>
      <c r="G50" s="2"/>
      <c r="H50" s="6">
        <v>155.94999999999999</v>
      </c>
      <c r="I50" s="2"/>
      <c r="J50" s="7">
        <f t="shared" si="29"/>
        <v>6.706006853500303E-3</v>
      </c>
      <c r="K50" s="2"/>
      <c r="L50" s="6">
        <f t="shared" si="30"/>
        <v>552.98</v>
      </c>
      <c r="M50" s="2"/>
      <c r="N50" s="7">
        <f t="shared" si="31"/>
        <v>3.5458800897723632</v>
      </c>
      <c r="O50" s="11"/>
      <c r="P50" s="6">
        <v>866.22</v>
      </c>
      <c r="Q50" s="2"/>
      <c r="R50" s="7">
        <f t="shared" si="32"/>
        <v>4.7950548858360998E-3</v>
      </c>
      <c r="S50" s="2"/>
      <c r="T50" s="6">
        <v>311.89999999999998</v>
      </c>
      <c r="U50" s="2"/>
      <c r="V50" s="7">
        <f t="shared" si="33"/>
        <v>1.6239079232232578E-3</v>
      </c>
      <c r="W50" s="2"/>
      <c r="X50" s="6">
        <f t="shared" si="34"/>
        <v>554.32000000000005</v>
      </c>
      <c r="Y50" s="2"/>
      <c r="Z50" s="7">
        <f t="shared" si="35"/>
        <v>1.7772362936838733</v>
      </c>
    </row>
    <row r="51" spans="1:26" s="24" customFormat="1" hidden="1" outlineLevel="2" x14ac:dyDescent="0.25">
      <c r="A51" s="26"/>
      <c r="B51" s="11" t="str">
        <f>CONCATENATE("          ", "6375", " - ", "OUTSIDE REPAIRS &amp; MAINTENANCE")</f>
        <v xml:space="preserve">          6375 - OUTSIDE REPAIRS &amp; MAINTENANCE</v>
      </c>
      <c r="C51" s="11"/>
      <c r="D51" s="6">
        <v>62.62</v>
      </c>
      <c r="E51" s="2"/>
      <c r="F51" s="7">
        <f t="shared" si="28"/>
        <v>3.3766568508873294E-3</v>
      </c>
      <c r="G51" s="2"/>
      <c r="H51" s="6"/>
      <c r="I51" s="2"/>
      <c r="J51" s="7">
        <f t="shared" si="29"/>
        <v>0</v>
      </c>
      <c r="K51" s="2"/>
      <c r="L51" s="6">
        <f t="shared" si="30"/>
        <v>62.62</v>
      </c>
      <c r="M51" s="2"/>
      <c r="N51" s="7">
        <f t="shared" si="31"/>
        <v>0</v>
      </c>
      <c r="O51" s="11"/>
      <c r="P51" s="6">
        <v>6708.52</v>
      </c>
      <c r="Q51" s="2"/>
      <c r="R51" s="7">
        <f t="shared" si="32"/>
        <v>3.7135741038915281E-2</v>
      </c>
      <c r="S51" s="2"/>
      <c r="T51" s="6">
        <v>2029.11</v>
      </c>
      <c r="U51" s="2"/>
      <c r="V51" s="7">
        <f t="shared" si="33"/>
        <v>1.056456494418578E-2</v>
      </c>
      <c r="W51" s="2"/>
      <c r="X51" s="6">
        <f t="shared" si="34"/>
        <v>4679.4100000000008</v>
      </c>
      <c r="Y51" s="2"/>
      <c r="Z51" s="7">
        <f t="shared" si="35"/>
        <v>2.3061391447481907</v>
      </c>
    </row>
    <row r="52" spans="1:26" s="27" customFormat="1" outlineLevel="1" collapsed="1" x14ac:dyDescent="0.25">
      <c r="A52" s="25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SUM(OSRRefD22_8x_0)</f>
        <v>78.900000000000006</v>
      </c>
      <c r="E52" s="1"/>
      <c r="F52" s="5">
        <f t="shared" ref="F52:F54" si="36">IF(D$12=0,0,D52/D$12)</f>
        <v>4.2545229245450388E-3</v>
      </c>
      <c r="G52" s="1"/>
      <c r="H52" s="1">
        <f>SUM(OSRRefH22_8x_0)</f>
        <v>78.900000000000006</v>
      </c>
      <c r="I52" s="1"/>
      <c r="J52" s="5">
        <f t="shared" ref="J52:J54" si="37">IF(H$12=0,0,H52/H$12)</f>
        <v>3.3927793571091628E-3</v>
      </c>
      <c r="K52" s="1"/>
      <c r="L52" s="1">
        <f t="shared" ref="L52:L54" si="38">+D52-H52</f>
        <v>0</v>
      </c>
      <c r="M52" s="1"/>
      <c r="N52" s="5">
        <f t="shared" ref="N52:N54" si="39">IF(H52=0,0,L52/H52)</f>
        <v>0</v>
      </c>
      <c r="O52" s="13"/>
      <c r="P52" s="1">
        <f>SUM(OSRRefP22_8x_0)</f>
        <v>431.57</v>
      </c>
      <c r="Q52" s="1"/>
      <c r="R52" s="5">
        <f t="shared" ref="R52:R54" si="40">IF(P$12=0,0,P52/P$12)</f>
        <v>2.3890026056663264E-3</v>
      </c>
      <c r="S52" s="1"/>
      <c r="T52" s="1">
        <f>SUM(OSRRefT22_8x_0)</f>
        <v>871.97</v>
      </c>
      <c r="U52" s="1"/>
      <c r="V52" s="5">
        <f t="shared" ref="V52:V54" si="41">IF(T$12=0,0,T52/T$12)</f>
        <v>4.5399134075440346E-3</v>
      </c>
      <c r="W52" s="1"/>
      <c r="X52" s="1">
        <f t="shared" ref="X52:X54" si="42">+P52-T52</f>
        <v>-440.40000000000003</v>
      </c>
      <c r="Y52" s="1"/>
      <c r="Z52" s="5">
        <f t="shared" ref="Z52:Z54" si="43">IF(T52=0,0,X52/T52)</f>
        <v>-0.50506324758879317</v>
      </c>
    </row>
    <row r="53" spans="1:26" s="24" customFormat="1" hidden="1" outlineLevel="2" x14ac:dyDescent="0.25">
      <c r="A53" s="26"/>
      <c r="B53" s="11" t="str">
        <f>CONCATENATE("          ", "6285", " - ", "JANITORIAL SERVICES")</f>
        <v xml:space="preserve">          6285 - JANITORIAL SERVICES</v>
      </c>
      <c r="C53" s="11"/>
      <c r="D53" s="6"/>
      <c r="E53" s="2"/>
      <c r="F53" s="7">
        <f t="shared" si="36"/>
        <v>0</v>
      </c>
      <c r="G53" s="2"/>
      <c r="H53" s="6"/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/>
      <c r="Q53" s="2"/>
      <c r="R53" s="7">
        <f t="shared" si="40"/>
        <v>0</v>
      </c>
      <c r="S53" s="2"/>
      <c r="T53" s="6">
        <v>338</v>
      </c>
      <c r="U53" s="2"/>
      <c r="V53" s="7">
        <f t="shared" si="41"/>
        <v>1.7597976211909624E-3</v>
      </c>
      <c r="W53" s="2"/>
      <c r="X53" s="6">
        <f t="shared" si="42"/>
        <v>-338</v>
      </c>
      <c r="Y53" s="2"/>
      <c r="Z53" s="7">
        <f t="shared" si="43"/>
        <v>-1</v>
      </c>
    </row>
    <row r="54" spans="1:26" s="24" customFormat="1" hidden="1" outlineLevel="2" x14ac:dyDescent="0.25">
      <c r="A54" s="26"/>
      <c r="B54" s="11" t="str">
        <f>CONCATENATE("          ", "6286", " - ", "LAUNDRY EXPENSE")</f>
        <v xml:space="preserve">          6286 - LAUNDRY EXPENSE</v>
      </c>
      <c r="C54" s="11"/>
      <c r="D54" s="6">
        <v>78.900000000000006</v>
      </c>
      <c r="E54" s="2"/>
      <c r="F54" s="7">
        <f t="shared" si="36"/>
        <v>4.2545229245450388E-3</v>
      </c>
      <c r="G54" s="2"/>
      <c r="H54" s="6">
        <v>78.900000000000006</v>
      </c>
      <c r="I54" s="2"/>
      <c r="J54" s="7">
        <f t="shared" si="37"/>
        <v>3.3927793571091628E-3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>
        <v>431.57</v>
      </c>
      <c r="Q54" s="2"/>
      <c r="R54" s="7">
        <f t="shared" si="40"/>
        <v>2.3890026056663264E-3</v>
      </c>
      <c r="S54" s="2"/>
      <c r="T54" s="6">
        <v>533.97</v>
      </c>
      <c r="U54" s="2"/>
      <c r="V54" s="7">
        <f t="shared" si="41"/>
        <v>2.7801157863530717E-3</v>
      </c>
      <c r="W54" s="2"/>
      <c r="X54" s="6">
        <f t="shared" si="42"/>
        <v>-102.40000000000003</v>
      </c>
      <c r="Y54" s="2"/>
      <c r="Z54" s="7">
        <f t="shared" si="43"/>
        <v>-0.19177107328127055</v>
      </c>
    </row>
    <row r="55" spans="1:26" s="27" customFormat="1" outlineLevel="1" collapsed="1" x14ac:dyDescent="0.25">
      <c r="A55" s="25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SUM(OSRRefD22_9x_0)</f>
        <v>49.59</v>
      </c>
      <c r="E55" s="1"/>
      <c r="F55" s="5">
        <f t="shared" ref="F55:F60" si="44">IF(D$12=0,0,D55/D$12)</f>
        <v>2.6740404540961781E-3</v>
      </c>
      <c r="G55" s="1"/>
      <c r="H55" s="1">
        <f>SUM(OSRRefH22_9x_0)</f>
        <v>249.21999999999997</v>
      </c>
      <c r="I55" s="1"/>
      <c r="J55" s="5">
        <f t="shared" ref="J55:J60" si="45">IF(H$12=0,0,H55/H$12)</f>
        <v>1.0716710663862426E-2</v>
      </c>
      <c r="K55" s="1"/>
      <c r="L55" s="1">
        <f t="shared" ref="L55:L60" si="46">+D55-H55</f>
        <v>-199.62999999999997</v>
      </c>
      <c r="M55" s="1"/>
      <c r="N55" s="5">
        <f t="shared" ref="N55:N60" si="47">IF(H55=0,0,L55/H55)</f>
        <v>-0.80101917984110416</v>
      </c>
      <c r="O55" s="13"/>
      <c r="P55" s="1">
        <f>SUM(OSRRefP22_9x_0)</f>
        <v>2982.2300000000005</v>
      </c>
      <c r="Q55" s="1"/>
      <c r="R55" s="5">
        <f t="shared" ref="R55:R60" si="48">IF(P$12=0,0,P55/P$12)</f>
        <v>1.6508458050133908E-2</v>
      </c>
      <c r="S55" s="1"/>
      <c r="T55" s="1">
        <f>SUM(OSRRefT22_9x_0)</f>
        <v>3069.5299999999997</v>
      </c>
      <c r="U55" s="1"/>
      <c r="V55" s="5">
        <f t="shared" ref="V55:V60" si="49">IF(T$12=0,0,T55/T$12)</f>
        <v>1.5981513586314482E-2</v>
      </c>
      <c r="W55" s="1"/>
      <c r="X55" s="1">
        <f t="shared" ref="X55:X60" si="50">+P55-T55</f>
        <v>-87.299999999999272</v>
      </c>
      <c r="Y55" s="1"/>
      <c r="Z55" s="5">
        <f t="shared" ref="Z55:Z60" si="51">IF(T55=0,0,X55/T55)</f>
        <v>-2.844083621922551E-2</v>
      </c>
    </row>
    <row r="56" spans="1:26" s="24" customFormat="1" hidden="1" outlineLevel="2" x14ac:dyDescent="0.25">
      <c r="A56" s="26"/>
      <c r="B56" s="11" t="str">
        <f>CONCATENATE("          ", "6239", " - ", "KITCHEN SUPPLIES")</f>
        <v xml:space="preserve">          6239 - KITCHEN SUPPLIES</v>
      </c>
      <c r="C56" s="11"/>
      <c r="D56" s="6"/>
      <c r="E56" s="2"/>
      <c r="F56" s="7">
        <f t="shared" si="44"/>
        <v>0</v>
      </c>
      <c r="G56" s="2"/>
      <c r="H56" s="6"/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>
        <v>540.89</v>
      </c>
      <c r="Q56" s="2"/>
      <c r="R56" s="7">
        <f t="shared" si="48"/>
        <v>2.9941553383665671E-3</v>
      </c>
      <c r="S56" s="2"/>
      <c r="T56" s="6">
        <v>373.33</v>
      </c>
      <c r="U56" s="2"/>
      <c r="V56" s="7">
        <f t="shared" si="49"/>
        <v>1.9437433311219586E-3</v>
      </c>
      <c r="W56" s="2"/>
      <c r="X56" s="6">
        <f t="shared" si="50"/>
        <v>167.56</v>
      </c>
      <c r="Y56" s="2"/>
      <c r="Z56" s="7">
        <f t="shared" si="51"/>
        <v>0.44882543594139235</v>
      </c>
    </row>
    <row r="57" spans="1:26" s="24" customFormat="1" hidden="1" outlineLevel="2" x14ac:dyDescent="0.25">
      <c r="A57" s="26"/>
      <c r="B57" s="11" t="str">
        <f>CONCATENATE("          ", "6241", " - ", "OFFICE EXPENSE")</f>
        <v xml:space="preserve">          6241 - OFFICE EXPENSE</v>
      </c>
      <c r="C57" s="11"/>
      <c r="D57" s="6"/>
      <c r="E57" s="2"/>
      <c r="F57" s="7">
        <f t="shared" si="44"/>
        <v>0</v>
      </c>
      <c r="G57" s="2"/>
      <c r="H57" s="6"/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>
        <v>910.32</v>
      </c>
      <c r="Q57" s="2"/>
      <c r="R57" s="7">
        <f t="shared" si="48"/>
        <v>5.0391752253172613E-3</v>
      </c>
      <c r="S57" s="2"/>
      <c r="T57" s="6">
        <v>586.9</v>
      </c>
      <c r="U57" s="2"/>
      <c r="V57" s="7">
        <f t="shared" si="49"/>
        <v>3.0556959286301062E-3</v>
      </c>
      <c r="W57" s="2"/>
      <c r="X57" s="6">
        <f t="shared" si="50"/>
        <v>323.42000000000007</v>
      </c>
      <c r="Y57" s="2"/>
      <c r="Z57" s="7">
        <f t="shared" si="51"/>
        <v>0.55106491736241281</v>
      </c>
    </row>
    <row r="58" spans="1:26" s="24" customFormat="1" hidden="1" outlineLevel="2" x14ac:dyDescent="0.25">
      <c r="A58" s="26"/>
      <c r="B58" s="11" t="str">
        <f>CONCATENATE("          ", "6243", " - ", "PAPER SUPPLIES")</f>
        <v xml:space="preserve">          6243 - PAPER SUPPLIES</v>
      </c>
      <c r="C58" s="11"/>
      <c r="D58" s="6">
        <v>49.59</v>
      </c>
      <c r="E58" s="2"/>
      <c r="F58" s="7">
        <f t="shared" si="44"/>
        <v>2.6740404540961781E-3</v>
      </c>
      <c r="G58" s="2"/>
      <c r="H58" s="6">
        <v>111.96</v>
      </c>
      <c r="I58" s="2"/>
      <c r="J58" s="7">
        <f t="shared" si="45"/>
        <v>4.8143926086431157E-3</v>
      </c>
      <c r="K58" s="2"/>
      <c r="L58" s="6">
        <f t="shared" si="46"/>
        <v>-62.36999999999999</v>
      </c>
      <c r="M58" s="2"/>
      <c r="N58" s="7">
        <f t="shared" si="47"/>
        <v>-0.55707395498392276</v>
      </c>
      <c r="O58" s="11"/>
      <c r="P58" s="6">
        <v>792.8</v>
      </c>
      <c r="Q58" s="2"/>
      <c r="R58" s="7">
        <f t="shared" si="48"/>
        <v>4.3886305020558979E-3</v>
      </c>
      <c r="S58" s="2"/>
      <c r="T58" s="6">
        <v>1164.8499999999999</v>
      </c>
      <c r="U58" s="2"/>
      <c r="V58" s="7">
        <f t="shared" si="49"/>
        <v>6.0647936658115159E-3</v>
      </c>
      <c r="W58" s="2"/>
      <c r="X58" s="6">
        <f t="shared" si="50"/>
        <v>-372.04999999999995</v>
      </c>
      <c r="Y58" s="2"/>
      <c r="Z58" s="7">
        <f t="shared" si="51"/>
        <v>-0.31939734729793534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/>
      <c r="E59" s="2"/>
      <c r="F59" s="7">
        <f t="shared" si="44"/>
        <v>0</v>
      </c>
      <c r="G59" s="2"/>
      <c r="H59" s="6"/>
      <c r="I59" s="2"/>
      <c r="J59" s="7">
        <f t="shared" si="45"/>
        <v>0</v>
      </c>
      <c r="K59" s="2"/>
      <c r="L59" s="6">
        <f t="shared" si="46"/>
        <v>0</v>
      </c>
      <c r="M59" s="2"/>
      <c r="N59" s="7">
        <f t="shared" si="47"/>
        <v>0</v>
      </c>
      <c r="O59" s="11"/>
      <c r="P59" s="6">
        <v>42.98</v>
      </c>
      <c r="Q59" s="2"/>
      <c r="R59" s="7">
        <f t="shared" si="48"/>
        <v>2.37920457843545E-4</v>
      </c>
      <c r="S59" s="2"/>
      <c r="T59" s="6">
        <v>298.83</v>
      </c>
      <c r="U59" s="2"/>
      <c r="V59" s="7">
        <f t="shared" si="49"/>
        <v>1.5558589442026488E-3</v>
      </c>
      <c r="W59" s="2"/>
      <c r="X59" s="6">
        <f t="shared" si="50"/>
        <v>-255.85</v>
      </c>
      <c r="Y59" s="2"/>
      <c r="Z59" s="7">
        <f t="shared" si="51"/>
        <v>-0.85617240571562425</v>
      </c>
    </row>
    <row r="60" spans="1:26" s="24" customFormat="1" hidden="1" outlineLevel="2" x14ac:dyDescent="0.25">
      <c r="A60" s="26"/>
      <c r="B60" s="11" t="str">
        <f>CONCATENATE("          ", "6248", " - ", "UNIFORMS")</f>
        <v xml:space="preserve">          6248 - UNIFORMS</v>
      </c>
      <c r="C60" s="11"/>
      <c r="D60" s="6"/>
      <c r="E60" s="2"/>
      <c r="F60" s="7">
        <f t="shared" si="44"/>
        <v>0</v>
      </c>
      <c r="G60" s="2"/>
      <c r="H60" s="6">
        <v>137.26</v>
      </c>
      <c r="I60" s="2"/>
      <c r="J60" s="7">
        <f t="shared" si="45"/>
        <v>5.902318055219311E-3</v>
      </c>
      <c r="K60" s="2"/>
      <c r="L60" s="6">
        <f t="shared" si="46"/>
        <v>-137.26</v>
      </c>
      <c r="M60" s="2"/>
      <c r="N60" s="7">
        <f t="shared" si="47"/>
        <v>-1</v>
      </c>
      <c r="O60" s="11"/>
      <c r="P60" s="6">
        <v>695.24</v>
      </c>
      <c r="Q60" s="2"/>
      <c r="R60" s="7">
        <f t="shared" si="48"/>
        <v>3.8485765265506336E-3</v>
      </c>
      <c r="S60" s="2"/>
      <c r="T60" s="6">
        <v>645.62</v>
      </c>
      <c r="U60" s="2"/>
      <c r="V60" s="7">
        <f t="shared" si="49"/>
        <v>3.361421716548252E-3</v>
      </c>
      <c r="W60" s="2"/>
      <c r="X60" s="6">
        <f t="shared" si="50"/>
        <v>49.620000000000005</v>
      </c>
      <c r="Y60" s="2"/>
      <c r="Z60" s="7">
        <f t="shared" si="51"/>
        <v>7.6856355131501505E-2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71</v>
      </c>
      <c r="E61" s="1"/>
      <c r="F61" s="5">
        <f t="shared" ref="F61:F62" si="52">IF(D$12=0,0,D61/D$12)</f>
        <v>3.8285314023155602E-3</v>
      </c>
      <c r="G61" s="1"/>
      <c r="H61" s="1">
        <f>SUM(OSRRefH22_10x_0)</f>
        <v>71</v>
      </c>
      <c r="I61" s="1"/>
      <c r="J61" s="5">
        <f t="shared" ref="J61:J62" si="53">IF(H$12=0,0,H61/H$12)</f>
        <v>3.0530714113403113E-3</v>
      </c>
      <c r="K61" s="1"/>
      <c r="L61" s="1">
        <f t="shared" ref="L61:L62" si="54">+D61-H61</f>
        <v>0</v>
      </c>
      <c r="M61" s="1"/>
      <c r="N61" s="5">
        <f t="shared" ref="N61:N62" si="55">IF(H61=0,0,L61/H61)</f>
        <v>0</v>
      </c>
      <c r="O61" s="13"/>
      <c r="P61" s="1">
        <f>SUM(OSRRefP22_10x_0)</f>
        <v>426</v>
      </c>
      <c r="Q61" s="1"/>
      <c r="R61" s="5">
        <f t="shared" ref="R61:R62" si="56">IF(P$12=0,0,P61/P$12)</f>
        <v>2.3581692657363932E-3</v>
      </c>
      <c r="S61" s="1"/>
      <c r="T61" s="1">
        <f>SUM(OSRRefT22_10x_0)</f>
        <v>426</v>
      </c>
      <c r="U61" s="1"/>
      <c r="V61" s="5">
        <f t="shared" ref="V61:V62" si="57">IF(T$12=0,0,T61/T$12)</f>
        <v>2.2179697829211539E-3</v>
      </c>
      <c r="W61" s="1"/>
      <c r="X61" s="1">
        <f t="shared" ref="X61:X62" si="58">+P61-T61</f>
        <v>0</v>
      </c>
      <c r="Y61" s="1"/>
      <c r="Z61" s="5">
        <f t="shared" ref="Z61:Z62" si="59">IF(T61=0,0,X61/T61)</f>
        <v>0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71</v>
      </c>
      <c r="E62" s="2"/>
      <c r="F62" s="7">
        <f t="shared" si="52"/>
        <v>3.8285314023155602E-3</v>
      </c>
      <c r="G62" s="2"/>
      <c r="H62" s="6">
        <v>71</v>
      </c>
      <c r="I62" s="2"/>
      <c r="J62" s="7">
        <f t="shared" si="53"/>
        <v>3.0530714113403113E-3</v>
      </c>
      <c r="K62" s="2"/>
      <c r="L62" s="6">
        <f t="shared" si="54"/>
        <v>0</v>
      </c>
      <c r="M62" s="2"/>
      <c r="N62" s="7">
        <f t="shared" si="55"/>
        <v>0</v>
      </c>
      <c r="O62" s="11"/>
      <c r="P62" s="6">
        <v>426</v>
      </c>
      <c r="Q62" s="2"/>
      <c r="R62" s="7">
        <f t="shared" si="56"/>
        <v>2.3581692657363932E-3</v>
      </c>
      <c r="S62" s="2"/>
      <c r="T62" s="6">
        <v>426</v>
      </c>
      <c r="U62" s="2"/>
      <c r="V62" s="7">
        <f t="shared" si="57"/>
        <v>2.2179697829211539E-3</v>
      </c>
      <c r="W62" s="2"/>
      <c r="X62" s="6">
        <f t="shared" si="58"/>
        <v>0</v>
      </c>
      <c r="Y62" s="2"/>
      <c r="Z62" s="7">
        <f t="shared" si="59"/>
        <v>0</v>
      </c>
    </row>
    <row r="63" spans="1:26" s="61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8" t="s">
        <v>0</v>
      </c>
      <c r="C64" s="10"/>
      <c r="D64" s="4">
        <f>SUM(OSRRefD25x_0)</f>
        <v>36</v>
      </c>
      <c r="E64" s="4"/>
      <c r="F64" s="12">
        <f t="shared" ref="F64:F65" si="60">IF(D$12=0,0,D64/D$12)</f>
        <v>1.9412271899064812E-3</v>
      </c>
      <c r="G64" s="4"/>
      <c r="H64" s="4">
        <f>SUM(OSRRefH25x_0)</f>
        <v>754</v>
      </c>
      <c r="I64" s="4"/>
      <c r="J64" s="12">
        <f t="shared" ref="J64:J65" si="61">IF(H$12=0,0,H64/H$12)</f>
        <v>3.2422758368318233E-2</v>
      </c>
      <c r="K64" s="4"/>
      <c r="L64" s="4">
        <f t="shared" ref="L64:L65" si="62">+D64-H64</f>
        <v>-718</v>
      </c>
      <c r="M64" s="4"/>
      <c r="N64" s="12">
        <f t="shared" ref="N64:N65" si="63">IF(H64=0,0,L64/H64)</f>
        <v>-0.95225464190981435</v>
      </c>
      <c r="O64" s="10"/>
      <c r="P64" s="4">
        <f>SUM(OSRRefP25x_0)</f>
        <v>392</v>
      </c>
      <c r="Q64" s="4"/>
      <c r="R64" s="12">
        <f t="shared" ref="R64:R65" si="64">IF(P$12=0,0,P64/P$12)</f>
        <v>2.1699585731658829E-3</v>
      </c>
      <c r="S64" s="4"/>
      <c r="T64" s="4">
        <f>SUM(OSRRefT25x_0)</f>
        <v>6076</v>
      </c>
      <c r="U64" s="4"/>
      <c r="V64" s="12">
        <f t="shared" ref="V64:V65" si="65">IF(T$12=0,0,T64/T$12)</f>
        <v>3.1634705166734584E-2</v>
      </c>
      <c r="W64" s="4"/>
      <c r="X64" s="4">
        <f t="shared" ref="X64:X65" si="66">+P64-T64</f>
        <v>-5684</v>
      </c>
      <c r="Y64" s="4"/>
      <c r="Z64" s="12">
        <f t="shared" ref="Z64:Z65" si="67">IF(T64=0,0,X64/T64)</f>
        <v>-0.93548387096774188</v>
      </c>
    </row>
    <row r="65" spans="1:26" s="24" customFormat="1" hidden="1" outlineLevel="1" x14ac:dyDescent="0.25">
      <c r="A65" s="44"/>
      <c r="B65" s="11" t="str">
        <f>CONCATENATE("          ", "9150", " - ", "MISC. INCOME")</f>
        <v xml:space="preserve">          9150 - MISC. INCOME</v>
      </c>
      <c r="C65" s="11"/>
      <c r="D65" s="2">
        <f>--36</f>
        <v>36</v>
      </c>
      <c r="E65" s="2"/>
      <c r="F65" s="19">
        <f t="shared" si="60"/>
        <v>1.9412271899064812E-3</v>
      </c>
      <c r="G65" s="2"/>
      <c r="H65" s="2">
        <f>--754</f>
        <v>754</v>
      </c>
      <c r="I65" s="2"/>
      <c r="J65" s="19">
        <f t="shared" si="61"/>
        <v>3.2422758368318233E-2</v>
      </c>
      <c r="K65" s="2"/>
      <c r="L65" s="2">
        <f t="shared" si="62"/>
        <v>-718</v>
      </c>
      <c r="M65" s="2"/>
      <c r="N65" s="19">
        <f t="shared" si="63"/>
        <v>-0.95225464190981435</v>
      </c>
      <c r="O65" s="11"/>
      <c r="P65" s="2">
        <f>--392</f>
        <v>392</v>
      </c>
      <c r="Q65" s="2"/>
      <c r="R65" s="19">
        <f t="shared" si="64"/>
        <v>2.1699585731658829E-3</v>
      </c>
      <c r="S65" s="2"/>
      <c r="T65" s="2">
        <f>--6076</f>
        <v>6076</v>
      </c>
      <c r="U65" s="2"/>
      <c r="V65" s="19">
        <f t="shared" si="65"/>
        <v>3.1634705166734584E-2</v>
      </c>
      <c r="W65" s="2"/>
      <c r="X65" s="2">
        <f t="shared" si="66"/>
        <v>-5684</v>
      </c>
      <c r="Y65" s="2"/>
      <c r="Z65" s="19">
        <f t="shared" si="67"/>
        <v>-0.93548387096774188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9" t="s">
        <v>3</v>
      </c>
      <c r="C67" s="29"/>
      <c r="D67" s="20">
        <f>+D20-D22+D64</f>
        <v>-4779.9299999999967</v>
      </c>
      <c r="E67" s="14"/>
      <c r="F67" s="21">
        <f>IF(D$12=0,0,D67/D$12)</f>
        <v>-0.25774805782915777</v>
      </c>
      <c r="G67" s="14"/>
      <c r="H67" s="20">
        <f>+H20-H22+H64</f>
        <v>465.33000000000175</v>
      </c>
      <c r="I67" s="14"/>
      <c r="J67" s="21">
        <f>IF(H$12=0,0,H67/H$12)</f>
        <v>2.0009658025901302E-2</v>
      </c>
      <c r="K67" s="15"/>
      <c r="L67" s="20">
        <f>+D67-H67</f>
        <v>-5245.2599999999984</v>
      </c>
      <c r="M67" s="15"/>
      <c r="N67" s="21">
        <f>IF(H67=0,0,L67/H67)</f>
        <v>-11.272129456514685</v>
      </c>
      <c r="O67" s="28"/>
      <c r="P67" s="20">
        <f>+P20-P22+P64</f>
        <v>2763.8199999999633</v>
      </c>
      <c r="Q67" s="14"/>
      <c r="R67" s="21">
        <f>IF(P$12=0,0,P67/P$12)</f>
        <v>1.5299425774712374E-2</v>
      </c>
      <c r="S67" s="14"/>
      <c r="T67" s="20">
        <f>+T20-T22+T64</f>
        <v>27419.739999999976</v>
      </c>
      <c r="U67" s="14"/>
      <c r="V67" s="21">
        <f>IF(T$12=0,0,T67/T$12)</f>
        <v>0.14276092670317941</v>
      </c>
      <c r="W67" s="15"/>
      <c r="X67" s="20">
        <f>+P67-T67</f>
        <v>-24655.920000000013</v>
      </c>
      <c r="Y67" s="15"/>
      <c r="Z67" s="21">
        <f>IF(T67=0,0,X67/T67)</f>
        <v>-0.89920327472105988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2345.7600000000002</v>
      </c>
      <c r="E69" s="4"/>
      <c r="F69" s="12">
        <f>IF(D$12=0,0,D69/D$12)</f>
        <v>0.12649036369430633</v>
      </c>
      <c r="G69" s="4"/>
      <c r="H69" s="4">
        <v>2964.17</v>
      </c>
      <c r="I69" s="4"/>
      <c r="J69" s="12">
        <f>IF(H$12=0,0,H69/H$12)</f>
        <v>0.12746229134299453</v>
      </c>
      <c r="K69" s="4"/>
      <c r="L69" s="4">
        <f>+D69-H69</f>
        <v>-618.40999999999985</v>
      </c>
      <c r="M69" s="4"/>
      <c r="N69" s="12">
        <f>IF(H69=0,0,L69/H69)</f>
        <v>-0.20862838501165581</v>
      </c>
      <c r="O69" s="10"/>
      <c r="P69" s="4">
        <v>19511.439999999999</v>
      </c>
      <c r="Q69" s="4"/>
      <c r="R69" s="12">
        <f>IF(P$12=0,0,P69/P$12)</f>
        <v>0.10800769516023401</v>
      </c>
      <c r="S69" s="4"/>
      <c r="T69" s="4">
        <v>20727</v>
      </c>
      <c r="U69" s="4"/>
      <c r="V69" s="12">
        <f>IF(T$12=0,0,T69/T$12)</f>
        <v>0.10791516359297361</v>
      </c>
      <c r="W69" s="4"/>
      <c r="X69" s="4">
        <f>+P69-T69</f>
        <v>-1215.5600000000013</v>
      </c>
      <c r="Y69" s="4"/>
      <c r="Z69" s="12">
        <f>IF(T69=0,0,X69/T69)</f>
        <v>-5.8646210257152567E-2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4</v>
      </c>
      <c r="C71" s="29"/>
      <c r="D71" s="32">
        <f>+D67-D69</f>
        <v>-7125.6899999999969</v>
      </c>
      <c r="E71" s="14"/>
      <c r="F71" s="30">
        <f>IF(D$12=0,0,D71/D$12)</f>
        <v>-0.3842384215234641</v>
      </c>
      <c r="G71" s="14"/>
      <c r="H71" s="32">
        <f>+H67-H69</f>
        <v>-2498.8399999999983</v>
      </c>
      <c r="I71" s="14"/>
      <c r="J71" s="30">
        <f>IF(H$12=0,0,H71/H$12)</f>
        <v>-0.10745263331709322</v>
      </c>
      <c r="K71" s="15"/>
      <c r="L71" s="32">
        <f>D71-H71</f>
        <v>-4626.8499999999985</v>
      </c>
      <c r="M71" s="15"/>
      <c r="N71" s="30">
        <f>IF(H71=0,0,L71/H71)</f>
        <v>1.8515991420018896</v>
      </c>
      <c r="O71" s="28"/>
      <c r="P71" s="32">
        <f>+P67-P69</f>
        <v>-16747.620000000035</v>
      </c>
      <c r="Q71" s="14"/>
      <c r="R71" s="30">
        <f>IF(P$12=0,0,P71/P$12)</f>
        <v>-9.2708269385521624E-2</v>
      </c>
      <c r="S71" s="14"/>
      <c r="T71" s="32">
        <f>+T67-T69</f>
        <v>6692.7399999999761</v>
      </c>
      <c r="U71" s="14"/>
      <c r="V71" s="30">
        <f>IF(T$12=0,0,T71/T$12)</f>
        <v>3.4845763110205798E-2</v>
      </c>
      <c r="W71" s="15"/>
      <c r="X71" s="32">
        <f>P71-T71</f>
        <v>-23440.360000000011</v>
      </c>
      <c r="Y71" s="15"/>
      <c r="Z71" s="30">
        <f>IF(T71=0,0,X71/T71)</f>
        <v>-3.5023562845710567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5</v>
      </c>
      <c r="C74" s="29"/>
      <c r="D74" s="36">
        <f>SUM(D71:D73)</f>
        <v>-7125.6899999999969</v>
      </c>
      <c r="E74" s="14"/>
      <c r="F74" s="31">
        <f>IF(D$12=0,0,D74/D$12)</f>
        <v>-0.3842384215234641</v>
      </c>
      <c r="G74" s="14"/>
      <c r="H74" s="36">
        <f>SUM(H71:H73)</f>
        <v>-2498.8399999999983</v>
      </c>
      <c r="I74" s="14"/>
      <c r="J74" s="31">
        <f>IF(H$12=0,0,H74/H$12)</f>
        <v>-0.10745263331709322</v>
      </c>
      <c r="K74" s="15"/>
      <c r="L74" s="36">
        <f>+D74-H74</f>
        <v>-4626.8499999999985</v>
      </c>
      <c r="M74" s="15"/>
      <c r="N74" s="31">
        <f>IF(H74=0,0,L74/H74)</f>
        <v>1.8515991420018896</v>
      </c>
      <c r="O74" s="28"/>
      <c r="P74" s="36">
        <f>SUM(P71:P73)</f>
        <v>-16747.620000000035</v>
      </c>
      <c r="Q74" s="14"/>
      <c r="R74" s="31">
        <f>IF(P$12=0,0,P74/P$12)</f>
        <v>-9.2708269385521624E-2</v>
      </c>
      <c r="S74" s="14"/>
      <c r="T74" s="36">
        <f>SUM(T71:T73)</f>
        <v>6692.7399999999761</v>
      </c>
      <c r="U74" s="14"/>
      <c r="V74" s="31">
        <f>IF(T$12=0,0,T74/T$12)</f>
        <v>3.4845763110205798E-2</v>
      </c>
      <c r="W74" s="15"/>
      <c r="X74" s="36">
        <f>+P74-T74</f>
        <v>-23440.360000000011</v>
      </c>
      <c r="Y74" s="15"/>
      <c r="Z74" s="31">
        <f>IF(T74=0,0,X74/T74)</f>
        <v>-3.5023562845710567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62">
        <v>43847.454053668982</v>
      </c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A77" s="9"/>
      <c r="B77" s="56" t="s">
        <v>313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54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","414", " - ", "Starbucks UDP")</f>
        <v>Department 414 - Starbucks UDP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54825.479999999996</v>
      </c>
      <c r="E12" s="4"/>
      <c r="F12" s="12"/>
      <c r="G12" s="4"/>
      <c r="H12" s="4">
        <f>SUM(OSRRefH13x_0)</f>
        <v>60513.659999999996</v>
      </c>
      <c r="I12" s="4"/>
      <c r="J12" s="12"/>
      <c r="K12" s="4"/>
      <c r="L12" s="4">
        <f t="shared" ref="L12:L14" si="0">+D12-H12</f>
        <v>-5688.18</v>
      </c>
      <c r="M12" s="4"/>
      <c r="N12" s="12">
        <f t="shared" ref="N12:N14" si="1">IF(H12=0,0,L12/H12)</f>
        <v>-9.3998280718766647E-2</v>
      </c>
      <c r="O12" s="10"/>
      <c r="P12" s="4">
        <f>SUM(OSRRefP13x_0)</f>
        <v>406515.15</v>
      </c>
      <c r="Q12" s="4"/>
      <c r="R12" s="12"/>
      <c r="S12" s="4"/>
      <c r="T12" s="4">
        <f>SUM(OSRRefT13x_0)</f>
        <v>433994.61</v>
      </c>
      <c r="U12" s="4"/>
      <c r="V12" s="12"/>
      <c r="W12" s="4"/>
      <c r="X12" s="4">
        <f t="shared" ref="X12:X14" si="2">+P12-T12</f>
        <v>-27479.459999999963</v>
      </c>
      <c r="Y12" s="4"/>
      <c r="Z12" s="12">
        <f t="shared" ref="Z12:Z14" si="3">IF(T12=0,0,X12/T12)</f>
        <v>-6.3317514473278741E-2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--9096.8</f>
        <v>9096.7999999999993</v>
      </c>
      <c r="E13" s="2"/>
      <c r="F13" s="19"/>
      <c r="G13" s="2"/>
      <c r="H13" s="2">
        <f>--12611.6</f>
        <v>12611.6</v>
      </c>
      <c r="I13" s="2"/>
      <c r="J13" s="19"/>
      <c r="K13" s="2"/>
      <c r="L13" s="2">
        <f t="shared" si="0"/>
        <v>-3514.8000000000011</v>
      </c>
      <c r="M13" s="2"/>
      <c r="N13" s="19">
        <f t="shared" si="1"/>
        <v>-0.27869580386311021</v>
      </c>
      <c r="O13" s="11"/>
      <c r="P13" s="2">
        <f>--87899.21</f>
        <v>87899.21</v>
      </c>
      <c r="Q13" s="2"/>
      <c r="R13" s="19"/>
      <c r="S13" s="2"/>
      <c r="T13" s="2">
        <f>--121610.75</f>
        <v>121610.75</v>
      </c>
      <c r="U13" s="2"/>
      <c r="V13" s="19"/>
      <c r="W13" s="2"/>
      <c r="X13" s="2">
        <f t="shared" si="2"/>
        <v>-33711.539999999994</v>
      </c>
      <c r="Y13" s="2"/>
      <c r="Z13" s="19">
        <f t="shared" si="3"/>
        <v>-0.27720855269784944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>--45728.68</f>
        <v>45728.68</v>
      </c>
      <c r="E14" s="2"/>
      <c r="F14" s="19"/>
      <c r="G14" s="2"/>
      <c r="H14" s="2">
        <f>--47902.06</f>
        <v>47902.06</v>
      </c>
      <c r="I14" s="2"/>
      <c r="J14" s="19"/>
      <c r="K14" s="2"/>
      <c r="L14" s="2">
        <f t="shared" si="0"/>
        <v>-2173.3799999999974</v>
      </c>
      <c r="M14" s="2"/>
      <c r="N14" s="19">
        <f t="shared" si="1"/>
        <v>-4.53713264105969E-2</v>
      </c>
      <c r="O14" s="11"/>
      <c r="P14" s="2">
        <f>--318615.94</f>
        <v>318615.94</v>
      </c>
      <c r="Q14" s="2"/>
      <c r="R14" s="19"/>
      <c r="S14" s="2"/>
      <c r="T14" s="2">
        <f>--312383.86</f>
        <v>312383.86</v>
      </c>
      <c r="U14" s="2"/>
      <c r="V14" s="19"/>
      <c r="W14" s="2"/>
      <c r="X14" s="2">
        <f t="shared" si="2"/>
        <v>6232.0800000000163</v>
      </c>
      <c r="Y14" s="2"/>
      <c r="Z14" s="19">
        <f t="shared" si="3"/>
        <v>1.9950070403765473E-2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13944.96</v>
      </c>
      <c r="E16" s="4"/>
      <c r="F16" s="12">
        <f t="shared" ref="F16:F18" si="4">IF(D$12=0,0,D16/D$12)</f>
        <v>0.25435180868457513</v>
      </c>
      <c r="G16" s="4"/>
      <c r="H16" s="4">
        <f>SUM(OSRRefH16x_0)</f>
        <v>20151.099999999999</v>
      </c>
      <c r="I16" s="4"/>
      <c r="J16" s="12">
        <f t="shared" ref="J16:J18" si="5">IF(H$12=0,0,H16/H$12)</f>
        <v>0.33300084642046107</v>
      </c>
      <c r="K16" s="4"/>
      <c r="L16" s="4">
        <f t="shared" ref="L16:L18" si="6">+D16-H16</f>
        <v>-6206.1399999999994</v>
      </c>
      <c r="M16" s="4"/>
      <c r="N16" s="12">
        <f t="shared" ref="N16:N18" si="7">IF(H16=0,0,L16/H16)</f>
        <v>-0.30798020951709831</v>
      </c>
      <c r="O16" s="10"/>
      <c r="P16" s="4">
        <f>SUM(OSRRefP16x_0)</f>
        <v>128036.51000000001</v>
      </c>
      <c r="Q16" s="4"/>
      <c r="R16" s="12">
        <f t="shared" ref="R16:R18" si="8">IF(P$12=0,0,P16/P$12)</f>
        <v>0.31496122592233033</v>
      </c>
      <c r="S16" s="4"/>
      <c r="T16" s="4">
        <f>SUM(OSRRefT16x_0)</f>
        <v>146201.71</v>
      </c>
      <c r="U16" s="4"/>
      <c r="V16" s="12">
        <f t="shared" ref="V16:V18" si="9">IF(T$12=0,0,T16/T$12)</f>
        <v>0.33687448330291475</v>
      </c>
      <c r="W16" s="4"/>
      <c r="X16" s="4">
        <f t="shared" ref="X16:X18" si="10">+P16-T16</f>
        <v>-18165.199999999983</v>
      </c>
      <c r="Y16" s="4"/>
      <c r="Z16" s="12">
        <f t="shared" ref="Z16:Z18" si="11">IF(T16=0,0,X16/T16)</f>
        <v>-0.12424752077113177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14960.96</v>
      </c>
      <c r="E17" s="2"/>
      <c r="F17" s="19">
        <f t="shared" si="4"/>
        <v>0.27288333818509203</v>
      </c>
      <c r="G17" s="2"/>
      <c r="H17" s="2">
        <v>18593.099999999999</v>
      </c>
      <c r="I17" s="2"/>
      <c r="J17" s="19">
        <f t="shared" si="5"/>
        <v>0.30725459342568273</v>
      </c>
      <c r="K17" s="2"/>
      <c r="L17" s="2">
        <f t="shared" si="6"/>
        <v>-3632.1399999999994</v>
      </c>
      <c r="M17" s="2"/>
      <c r="N17" s="19">
        <f t="shared" si="7"/>
        <v>-0.19534881219377079</v>
      </c>
      <c r="O17" s="11"/>
      <c r="P17" s="2">
        <v>128616.51000000001</v>
      </c>
      <c r="Q17" s="2"/>
      <c r="R17" s="19">
        <f t="shared" si="8"/>
        <v>0.31638798701598209</v>
      </c>
      <c r="S17" s="2"/>
      <c r="T17" s="2">
        <v>149592.71</v>
      </c>
      <c r="U17" s="2"/>
      <c r="V17" s="19">
        <f t="shared" si="9"/>
        <v>0.34468794439636014</v>
      </c>
      <c r="W17" s="2"/>
      <c r="X17" s="2">
        <f t="shared" si="10"/>
        <v>-20976.199999999983</v>
      </c>
      <c r="Y17" s="2"/>
      <c r="Z17" s="19">
        <f t="shared" si="11"/>
        <v>-0.14022207365586187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-1016</v>
      </c>
      <c r="E18" s="2"/>
      <c r="F18" s="19">
        <f t="shared" si="4"/>
        <v>-1.8531529500516914E-2</v>
      </c>
      <c r="G18" s="2"/>
      <c r="H18" s="2">
        <v>1558</v>
      </c>
      <c r="I18" s="2"/>
      <c r="J18" s="19">
        <f t="shared" si="5"/>
        <v>2.5746252994778372E-2</v>
      </c>
      <c r="K18" s="2"/>
      <c r="L18" s="2">
        <f t="shared" si="6"/>
        <v>-2574</v>
      </c>
      <c r="M18" s="2"/>
      <c r="N18" s="19">
        <f t="shared" si="7"/>
        <v>-1.6521181001283698</v>
      </c>
      <c r="O18" s="11"/>
      <c r="P18" s="2">
        <v>-580</v>
      </c>
      <c r="Q18" s="2"/>
      <c r="R18" s="19">
        <f t="shared" si="8"/>
        <v>-1.4267610936517371E-3</v>
      </c>
      <c r="S18" s="2"/>
      <c r="T18" s="2">
        <v>-3391</v>
      </c>
      <c r="U18" s="2"/>
      <c r="V18" s="19">
        <f t="shared" si="9"/>
        <v>-7.8134610934453771E-3</v>
      </c>
      <c r="W18" s="2"/>
      <c r="X18" s="2">
        <f t="shared" si="10"/>
        <v>2811</v>
      </c>
      <c r="Y18" s="2"/>
      <c r="Z18" s="19">
        <f t="shared" si="11"/>
        <v>-0.82895900914184606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40880.519999999997</v>
      </c>
      <c r="E20" s="14"/>
      <c r="F20" s="21">
        <f>IF(D$12=0,0,D20/D$12)</f>
        <v>0.74564819131542492</v>
      </c>
      <c r="G20" s="14"/>
      <c r="H20" s="20">
        <f>H12-H16</f>
        <v>40362.559999999998</v>
      </c>
      <c r="I20" s="14"/>
      <c r="J20" s="21">
        <f>IF(H$12=0,0,H20/H$12)</f>
        <v>0.66699915357953887</v>
      </c>
      <c r="K20" s="15"/>
      <c r="L20" s="20">
        <f>+D20-H20</f>
        <v>517.95999999999913</v>
      </c>
      <c r="M20" s="15"/>
      <c r="N20" s="21">
        <f>IF(H20=0,0,L20/H20)</f>
        <v>1.2832684547263582E-2</v>
      </c>
      <c r="O20" s="28"/>
      <c r="P20" s="20">
        <f>P12-P16</f>
        <v>278478.64</v>
      </c>
      <c r="Q20" s="14"/>
      <c r="R20" s="21">
        <f>IF(P$12=0,0,P20/P$12)</f>
        <v>0.68503877407766967</v>
      </c>
      <c r="S20" s="14"/>
      <c r="T20" s="20">
        <f>T12-T16</f>
        <v>287792.90000000002</v>
      </c>
      <c r="U20" s="14"/>
      <c r="V20" s="21">
        <f>IF(T$12=0,0,T20/T$12)</f>
        <v>0.6631255166970853</v>
      </c>
      <c r="W20" s="15"/>
      <c r="X20" s="20">
        <f>+P20-T20</f>
        <v>-9314.2600000000093</v>
      </c>
      <c r="Y20" s="15"/>
      <c r="Z20" s="21">
        <f>IF(T20=0,0,X20/T20)</f>
        <v>-3.2364453744341881E-2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30605.080000000005</v>
      </c>
      <c r="E22" s="22"/>
      <c r="F22" s="33">
        <f t="shared" ref="F22:F31" si="12">IF(D$12=0,0,D22/D$12)</f>
        <v>0.55822730598984283</v>
      </c>
      <c r="G22" s="22"/>
      <c r="H22" s="22">
        <f>SUM(OSRRefH22x_0)</f>
        <v>30352.66</v>
      </c>
      <c r="I22" s="22"/>
      <c r="J22" s="33">
        <f t="shared" ref="J22:J31" si="13">IF(H$12=0,0,H22/H$12)</f>
        <v>0.5015836093867071</v>
      </c>
      <c r="K22" s="4"/>
      <c r="L22" s="22">
        <f t="shared" ref="L22:L31" si="14">+D22-H22</f>
        <v>252.42000000000553</v>
      </c>
      <c r="M22" s="4"/>
      <c r="N22" s="33">
        <f t="shared" ref="N22:N31" si="15">IF(H22=0,0,L22/H22)</f>
        <v>8.316239828733479E-3</v>
      </c>
      <c r="O22" s="10"/>
      <c r="P22" s="22">
        <f>SUM(OSRRefP22x_0)</f>
        <v>203075.63000000006</v>
      </c>
      <c r="Q22" s="22"/>
      <c r="R22" s="33">
        <f t="shared" ref="R22:R31" si="16">IF(P$12=0,0,P22/P$12)</f>
        <v>0.49955242750485451</v>
      </c>
      <c r="S22" s="22"/>
      <c r="T22" s="22">
        <f>SUM(OSRRefT22x_0)</f>
        <v>210999.79999999996</v>
      </c>
      <c r="U22" s="22"/>
      <c r="V22" s="33">
        <f t="shared" ref="V22:V31" si="17">IF(T$12=0,0,T22/T$12)</f>
        <v>0.48618069242841511</v>
      </c>
      <c r="W22" s="4"/>
      <c r="X22" s="22">
        <f t="shared" ref="X22:X31" si="18">+P22-T22</f>
        <v>-7924.1699999998964</v>
      </c>
      <c r="Y22" s="4"/>
      <c r="Z22" s="33">
        <f t="shared" ref="Z22:Z31" si="19">IF(T22=0,0,X22/T22)</f>
        <v>-3.7555343654353694E-2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2666.2799999999997</v>
      </c>
      <c r="E23" s="1"/>
      <c r="F23" s="5">
        <f t="shared" si="12"/>
        <v>4.8632132358895901E-2</v>
      </c>
      <c r="G23" s="1"/>
      <c r="H23" s="1">
        <f>SUM(OSRRefH22_0x_0)</f>
        <v>2757.04</v>
      </c>
      <c r="I23" s="1"/>
      <c r="J23" s="5">
        <f t="shared" si="13"/>
        <v>4.5560622180182128E-2</v>
      </c>
      <c r="K23" s="1"/>
      <c r="L23" s="1">
        <f t="shared" si="14"/>
        <v>-90.760000000000218</v>
      </c>
      <c r="M23" s="1"/>
      <c r="N23" s="5">
        <f t="shared" si="15"/>
        <v>-3.291936279488155E-2</v>
      </c>
      <c r="O23" s="13"/>
      <c r="P23" s="1">
        <f>SUM(OSRRefP22_0x_0)</f>
        <v>14923.890000000001</v>
      </c>
      <c r="Q23" s="1"/>
      <c r="R23" s="5">
        <f t="shared" si="16"/>
        <v>3.6711768306790044E-2</v>
      </c>
      <c r="S23" s="1"/>
      <c r="T23" s="1">
        <f>SUM(OSRRefT22_0x_0)</f>
        <v>19632.449999999997</v>
      </c>
      <c r="U23" s="1"/>
      <c r="V23" s="5">
        <f t="shared" si="17"/>
        <v>4.5236621717490912E-2</v>
      </c>
      <c r="W23" s="1"/>
      <c r="X23" s="1">
        <f t="shared" si="18"/>
        <v>-4708.5599999999959</v>
      </c>
      <c r="Y23" s="1"/>
      <c r="Z23" s="5">
        <f t="shared" si="19"/>
        <v>-0.23983557834096084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398.74</v>
      </c>
      <c r="E24" s="2"/>
      <c r="F24" s="7">
        <f t="shared" si="12"/>
        <v>7.2728957411772781E-3</v>
      </c>
      <c r="G24" s="2"/>
      <c r="H24" s="6">
        <v>337.48</v>
      </c>
      <c r="I24" s="2"/>
      <c r="J24" s="7">
        <f t="shared" si="13"/>
        <v>5.5769226320139956E-3</v>
      </c>
      <c r="K24" s="2"/>
      <c r="L24" s="6">
        <f t="shared" si="14"/>
        <v>61.259999999999991</v>
      </c>
      <c r="M24" s="2"/>
      <c r="N24" s="7">
        <f t="shared" si="15"/>
        <v>0.18152186796254588</v>
      </c>
      <c r="O24" s="11"/>
      <c r="P24" s="6">
        <v>3702.28</v>
      </c>
      <c r="Q24" s="2"/>
      <c r="R24" s="7">
        <f t="shared" si="16"/>
        <v>9.1073604513878508E-3</v>
      </c>
      <c r="S24" s="2"/>
      <c r="T24" s="6">
        <v>4139.1899999999996</v>
      </c>
      <c r="U24" s="2"/>
      <c r="V24" s="7">
        <f t="shared" si="17"/>
        <v>9.537422596100905E-3</v>
      </c>
      <c r="W24" s="2"/>
      <c r="X24" s="6">
        <f t="shared" si="18"/>
        <v>-436.9099999999994</v>
      </c>
      <c r="Y24" s="2"/>
      <c r="Z24" s="7">
        <f t="shared" si="19"/>
        <v>-0.10555446838632666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955.03</v>
      </c>
      <c r="E25" s="2"/>
      <c r="F25" s="7">
        <f t="shared" si="12"/>
        <v>1.7419455333541996E-2</v>
      </c>
      <c r="G25" s="2"/>
      <c r="H25" s="6">
        <v>851.82</v>
      </c>
      <c r="I25" s="2"/>
      <c r="J25" s="7">
        <f t="shared" si="13"/>
        <v>1.4076491159186209E-2</v>
      </c>
      <c r="K25" s="2"/>
      <c r="L25" s="6">
        <f t="shared" si="14"/>
        <v>103.20999999999992</v>
      </c>
      <c r="M25" s="2"/>
      <c r="N25" s="7">
        <f t="shared" si="15"/>
        <v>0.12116409570096959</v>
      </c>
      <c r="O25" s="11"/>
      <c r="P25" s="6">
        <v>3278.57</v>
      </c>
      <c r="Q25" s="2"/>
      <c r="R25" s="7">
        <f t="shared" si="16"/>
        <v>8.0650622738168559E-3</v>
      </c>
      <c r="S25" s="2"/>
      <c r="T25" s="6">
        <v>4453.9799999999996</v>
      </c>
      <c r="U25" s="2"/>
      <c r="V25" s="7">
        <f t="shared" si="17"/>
        <v>1.0262754184896443E-2</v>
      </c>
      <c r="W25" s="2"/>
      <c r="X25" s="6">
        <f t="shared" si="18"/>
        <v>-1175.4099999999994</v>
      </c>
      <c r="Y25" s="2"/>
      <c r="Z25" s="7">
        <f t="shared" si="19"/>
        <v>-0.26390105029658856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650.39</v>
      </c>
      <c r="E26" s="2"/>
      <c r="F26" s="7">
        <f t="shared" si="12"/>
        <v>1.1862914834489365E-2</v>
      </c>
      <c r="G26" s="2"/>
      <c r="H26" s="6">
        <v>720.58</v>
      </c>
      <c r="I26" s="2"/>
      <c r="J26" s="7">
        <f t="shared" si="13"/>
        <v>1.190772463605738E-2</v>
      </c>
      <c r="K26" s="2"/>
      <c r="L26" s="6">
        <f t="shared" si="14"/>
        <v>-70.190000000000055</v>
      </c>
      <c r="M26" s="2"/>
      <c r="N26" s="7">
        <f t="shared" si="15"/>
        <v>-9.7407643842460312E-2</v>
      </c>
      <c r="O26" s="11"/>
      <c r="P26" s="6">
        <v>3902.34</v>
      </c>
      <c r="Q26" s="2"/>
      <c r="R26" s="7">
        <f t="shared" si="16"/>
        <v>9.5994946313808973E-3</v>
      </c>
      <c r="S26" s="2"/>
      <c r="T26" s="6">
        <v>3882.44</v>
      </c>
      <c r="U26" s="2"/>
      <c r="V26" s="7">
        <f t="shared" si="17"/>
        <v>8.9458253870940939E-3</v>
      </c>
      <c r="W26" s="2"/>
      <c r="X26" s="6">
        <f t="shared" si="18"/>
        <v>19.900000000000091</v>
      </c>
      <c r="Y26" s="2"/>
      <c r="Z26" s="7">
        <f t="shared" si="19"/>
        <v>5.1256426371045242E-3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64</v>
      </c>
      <c r="E27" s="2"/>
      <c r="F27" s="7">
        <f t="shared" si="12"/>
        <v>1.1673404409774434E-3</v>
      </c>
      <c r="G27" s="2"/>
      <c r="H27" s="6">
        <v>63.28</v>
      </c>
      <c r="I27" s="2"/>
      <c r="J27" s="7">
        <f t="shared" si="13"/>
        <v>1.045714306488816E-3</v>
      </c>
      <c r="K27" s="2"/>
      <c r="L27" s="6">
        <f t="shared" si="14"/>
        <v>0.71999999999999886</v>
      </c>
      <c r="M27" s="2"/>
      <c r="N27" s="7">
        <f t="shared" si="15"/>
        <v>1.1378002528444987E-2</v>
      </c>
      <c r="O27" s="11"/>
      <c r="P27" s="6">
        <v>303.83999999999997</v>
      </c>
      <c r="Q27" s="2"/>
      <c r="R27" s="7">
        <f t="shared" si="16"/>
        <v>7.4742601843990307E-4</v>
      </c>
      <c r="S27" s="2"/>
      <c r="T27" s="6">
        <v>330.87</v>
      </c>
      <c r="U27" s="2"/>
      <c r="V27" s="7">
        <f t="shared" si="17"/>
        <v>7.6238274019117434E-4</v>
      </c>
      <c r="W27" s="2"/>
      <c r="X27" s="6">
        <f t="shared" si="18"/>
        <v>-27.03000000000003</v>
      </c>
      <c r="Y27" s="2"/>
      <c r="Z27" s="7">
        <f t="shared" si="19"/>
        <v>-8.1693716565418531E-2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2"/>
        <v>0</v>
      </c>
      <c r="G28" s="2"/>
      <c r="H28" s="6">
        <v>415.1</v>
      </c>
      <c r="I28" s="2"/>
      <c r="J28" s="7">
        <f t="shared" si="13"/>
        <v>6.8596082272994238E-3</v>
      </c>
      <c r="K28" s="2"/>
      <c r="L28" s="6">
        <f t="shared" si="14"/>
        <v>-415.1</v>
      </c>
      <c r="M28" s="2"/>
      <c r="N28" s="7">
        <f t="shared" si="15"/>
        <v>-1</v>
      </c>
      <c r="O28" s="11"/>
      <c r="P28" s="6"/>
      <c r="Q28" s="2"/>
      <c r="R28" s="7">
        <f t="shared" si="16"/>
        <v>0</v>
      </c>
      <c r="S28" s="2"/>
      <c r="T28" s="6">
        <v>3069.84</v>
      </c>
      <c r="U28" s="2"/>
      <c r="V28" s="7">
        <f t="shared" si="17"/>
        <v>7.073451903008658E-3</v>
      </c>
      <c r="W28" s="2"/>
      <c r="X28" s="6">
        <f t="shared" si="18"/>
        <v>-3069.84</v>
      </c>
      <c r="Y28" s="2"/>
      <c r="Z28" s="7">
        <f t="shared" si="19"/>
        <v>-1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192.5</v>
      </c>
      <c r="E29" s="2"/>
      <c r="F29" s="7">
        <f t="shared" si="12"/>
        <v>3.5111411701274665E-3</v>
      </c>
      <c r="G29" s="2"/>
      <c r="H29" s="6">
        <v>25.37</v>
      </c>
      <c r="I29" s="2"/>
      <c r="J29" s="7">
        <f t="shared" si="13"/>
        <v>4.1924418387517798E-4</v>
      </c>
      <c r="K29" s="2"/>
      <c r="L29" s="6">
        <f t="shared" si="14"/>
        <v>167.13</v>
      </c>
      <c r="M29" s="2"/>
      <c r="N29" s="7">
        <f t="shared" si="15"/>
        <v>6.5877020102483241</v>
      </c>
      <c r="O29" s="11"/>
      <c r="P29" s="6">
        <v>1251.25</v>
      </c>
      <c r="Q29" s="2"/>
      <c r="R29" s="7">
        <f t="shared" si="16"/>
        <v>3.0779910662616138E-3</v>
      </c>
      <c r="S29" s="2"/>
      <c r="T29" s="6">
        <v>794.55</v>
      </c>
      <c r="U29" s="2"/>
      <c r="V29" s="7">
        <f t="shared" si="17"/>
        <v>1.8307831058086183E-3</v>
      </c>
      <c r="W29" s="2"/>
      <c r="X29" s="6">
        <f t="shared" si="18"/>
        <v>456.70000000000005</v>
      </c>
      <c r="Y29" s="2"/>
      <c r="Z29" s="7">
        <f t="shared" si="19"/>
        <v>0.57479076206657864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230.62</v>
      </c>
      <c r="E30" s="2"/>
      <c r="F30" s="7">
        <f t="shared" si="12"/>
        <v>4.2064383202846563E-3</v>
      </c>
      <c r="G30" s="2"/>
      <c r="H30" s="6">
        <v>203.5</v>
      </c>
      <c r="I30" s="2"/>
      <c r="J30" s="7">
        <f t="shared" si="13"/>
        <v>3.3628770760188694E-3</v>
      </c>
      <c r="K30" s="2"/>
      <c r="L30" s="6">
        <f t="shared" si="14"/>
        <v>27.120000000000005</v>
      </c>
      <c r="M30" s="2"/>
      <c r="N30" s="7">
        <f t="shared" si="15"/>
        <v>0.13326781326781328</v>
      </c>
      <c r="O30" s="11"/>
      <c r="P30" s="6">
        <v>1499.03</v>
      </c>
      <c r="Q30" s="2"/>
      <c r="R30" s="7">
        <f t="shared" si="16"/>
        <v>3.6875132452013162E-3</v>
      </c>
      <c r="S30" s="2"/>
      <c r="T30" s="6">
        <v>2084.0500000000002</v>
      </c>
      <c r="U30" s="2"/>
      <c r="V30" s="7">
        <f t="shared" si="17"/>
        <v>4.8020181633131346E-3</v>
      </c>
      <c r="W30" s="2"/>
      <c r="X30" s="6">
        <f t="shared" si="18"/>
        <v>-585.02000000000021</v>
      </c>
      <c r="Y30" s="2"/>
      <c r="Z30" s="7">
        <f t="shared" si="19"/>
        <v>-0.28071303471605774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175</v>
      </c>
      <c r="E31" s="2"/>
      <c r="F31" s="7">
        <f t="shared" si="12"/>
        <v>3.1919465182976971E-3</v>
      </c>
      <c r="G31" s="2"/>
      <c r="H31" s="6">
        <v>139.91</v>
      </c>
      <c r="I31" s="2"/>
      <c r="J31" s="7">
        <f t="shared" si="13"/>
        <v>2.3120399592422604E-3</v>
      </c>
      <c r="K31" s="2"/>
      <c r="L31" s="6">
        <f t="shared" si="14"/>
        <v>35.090000000000003</v>
      </c>
      <c r="M31" s="2"/>
      <c r="N31" s="7">
        <f t="shared" si="15"/>
        <v>0.25080408834250595</v>
      </c>
      <c r="O31" s="11"/>
      <c r="P31" s="6">
        <v>986.58</v>
      </c>
      <c r="Q31" s="2"/>
      <c r="R31" s="7">
        <f t="shared" si="16"/>
        <v>2.4269206203016052E-3</v>
      </c>
      <c r="S31" s="2"/>
      <c r="T31" s="6">
        <v>877.53</v>
      </c>
      <c r="U31" s="2"/>
      <c r="V31" s="7">
        <f t="shared" si="17"/>
        <v>2.0219836370778889E-3</v>
      </c>
      <c r="W31" s="2"/>
      <c r="X31" s="6">
        <f t="shared" si="18"/>
        <v>109.05000000000007</v>
      </c>
      <c r="Y31" s="2"/>
      <c r="Z31" s="7">
        <f t="shared" si="19"/>
        <v>0.12426925575194019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15492.16</v>
      </c>
      <c r="E32" s="1"/>
      <c r="F32" s="5">
        <f t="shared" ref="F32:F38" si="20">IF(D$12=0,0,D32/D$12)</f>
        <v>0.28257226384520484</v>
      </c>
      <c r="G32" s="1"/>
      <c r="H32" s="1">
        <f>SUM(OSRRefH22_1x_0)</f>
        <v>15458.970000000001</v>
      </c>
      <c r="I32" s="1"/>
      <c r="J32" s="5">
        <f t="shared" ref="J32:J38" si="21">IF(H$12=0,0,H32/H$12)</f>
        <v>0.25546248566026253</v>
      </c>
      <c r="K32" s="1"/>
      <c r="L32" s="1">
        <f t="shared" ref="L32:L38" si="22">+D32-H32</f>
        <v>33.18999999999869</v>
      </c>
      <c r="M32" s="1"/>
      <c r="N32" s="5">
        <f t="shared" ref="N32:N38" si="23">IF(H32=0,0,L32/H32)</f>
        <v>2.1469735693903725E-3</v>
      </c>
      <c r="O32" s="13"/>
      <c r="P32" s="1">
        <f>SUM(OSRRefP22_1x_0)</f>
        <v>115337.42</v>
      </c>
      <c r="Q32" s="1"/>
      <c r="R32" s="5">
        <f t="shared" ref="R32:R38" si="24">IF(P$12=0,0,P32/P$12)</f>
        <v>0.28372231637615469</v>
      </c>
      <c r="S32" s="1"/>
      <c r="T32" s="1">
        <f>SUM(OSRRefT22_1x_0)</f>
        <v>115427.17000000001</v>
      </c>
      <c r="U32" s="1"/>
      <c r="V32" s="5">
        <f t="shared" ref="V32:V38" si="25">IF(T$12=0,0,T32/T$12)</f>
        <v>0.26596452430595857</v>
      </c>
      <c r="W32" s="1"/>
      <c r="X32" s="1">
        <f t="shared" ref="X32:X38" si="26">+P32-T32</f>
        <v>-89.750000000014552</v>
      </c>
      <c r="Y32" s="1"/>
      <c r="Z32" s="5">
        <f t="shared" ref="Z32:Z38" si="27">IF(T32=0,0,X32/T32)</f>
        <v>-7.7754656897517757E-4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3970.55</v>
      </c>
      <c r="I33" s="2"/>
      <c r="J33" s="7">
        <f t="shared" si="21"/>
        <v>6.5614110929664488E-2</v>
      </c>
      <c r="K33" s="2"/>
      <c r="L33" s="6">
        <f t="shared" si="22"/>
        <v>-3970.55</v>
      </c>
      <c r="M33" s="2"/>
      <c r="N33" s="7">
        <f t="shared" si="23"/>
        <v>-1</v>
      </c>
      <c r="O33" s="11"/>
      <c r="P33" s="6"/>
      <c r="Q33" s="2"/>
      <c r="R33" s="7">
        <f t="shared" si="24"/>
        <v>0</v>
      </c>
      <c r="S33" s="2"/>
      <c r="T33" s="6">
        <v>27793.83</v>
      </c>
      <c r="U33" s="2"/>
      <c r="V33" s="7">
        <f t="shared" si="25"/>
        <v>6.4041878308120012E-2</v>
      </c>
      <c r="W33" s="2"/>
      <c r="X33" s="6">
        <f t="shared" si="26"/>
        <v>-27793.83</v>
      </c>
      <c r="Y33" s="2"/>
      <c r="Z33" s="7">
        <f t="shared" si="27"/>
        <v>-1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4761.72</v>
      </c>
      <c r="E34" s="2"/>
      <c r="F34" s="7">
        <f t="shared" si="20"/>
        <v>8.6852317572048629E-2</v>
      </c>
      <c r="G34" s="2"/>
      <c r="H34" s="6"/>
      <c r="I34" s="2"/>
      <c r="J34" s="7">
        <f t="shared" si="21"/>
        <v>0</v>
      </c>
      <c r="K34" s="2"/>
      <c r="L34" s="6">
        <f t="shared" si="22"/>
        <v>4761.72</v>
      </c>
      <c r="M34" s="2"/>
      <c r="N34" s="7">
        <f t="shared" si="23"/>
        <v>0</v>
      </c>
      <c r="O34" s="11"/>
      <c r="P34" s="6">
        <v>34875</v>
      </c>
      <c r="Q34" s="2"/>
      <c r="R34" s="7">
        <f t="shared" si="24"/>
        <v>8.5790160588110911E-2</v>
      </c>
      <c r="S34" s="2"/>
      <c r="T34" s="6"/>
      <c r="U34" s="2"/>
      <c r="V34" s="7">
        <f t="shared" si="25"/>
        <v>0</v>
      </c>
      <c r="W34" s="2"/>
      <c r="X34" s="6">
        <f t="shared" si="26"/>
        <v>34875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1997.5</v>
      </c>
      <c r="Q35" s="2"/>
      <c r="R35" s="7">
        <f t="shared" si="24"/>
        <v>4.913716007878181E-3</v>
      </c>
      <c r="S35" s="2"/>
      <c r="T35" s="6">
        <v>7630.01</v>
      </c>
      <c r="U35" s="2"/>
      <c r="V35" s="7">
        <f t="shared" si="25"/>
        <v>1.7580886546033372E-2</v>
      </c>
      <c r="W35" s="2"/>
      <c r="X35" s="6">
        <f t="shared" si="26"/>
        <v>-5632.51</v>
      </c>
      <c r="Y35" s="2"/>
      <c r="Z35" s="7">
        <f t="shared" si="27"/>
        <v>-0.7382047992073405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29.25</v>
      </c>
      <c r="Q36" s="2"/>
      <c r="R36" s="7">
        <f t="shared" si="24"/>
        <v>7.1953037912609162E-5</v>
      </c>
      <c r="S36" s="2"/>
      <c r="T36" s="6"/>
      <c r="U36" s="2"/>
      <c r="V36" s="7">
        <f t="shared" si="25"/>
        <v>0</v>
      </c>
      <c r="W36" s="2"/>
      <c r="X36" s="6">
        <f t="shared" si="26"/>
        <v>29.25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10730.44</v>
      </c>
      <c r="E37" s="2"/>
      <c r="F37" s="7">
        <f t="shared" si="20"/>
        <v>0.19571994627315623</v>
      </c>
      <c r="G37" s="2"/>
      <c r="H37" s="6">
        <v>11026.42</v>
      </c>
      <c r="I37" s="2"/>
      <c r="J37" s="7">
        <f t="shared" si="21"/>
        <v>0.18221373488233897</v>
      </c>
      <c r="K37" s="2"/>
      <c r="L37" s="6">
        <f t="shared" si="22"/>
        <v>-295.97999999999956</v>
      </c>
      <c r="M37" s="2"/>
      <c r="N37" s="7">
        <f t="shared" si="23"/>
        <v>-2.6842801199301276E-2</v>
      </c>
      <c r="O37" s="11"/>
      <c r="P37" s="6">
        <v>78435.67</v>
      </c>
      <c r="Q37" s="2"/>
      <c r="R37" s="7">
        <f t="shared" si="24"/>
        <v>0.19294648674225301</v>
      </c>
      <c r="S37" s="2"/>
      <c r="T37" s="6">
        <v>77509.08</v>
      </c>
      <c r="U37" s="2"/>
      <c r="V37" s="7">
        <f t="shared" si="25"/>
        <v>0.17859456825973025</v>
      </c>
      <c r="W37" s="2"/>
      <c r="X37" s="6">
        <f t="shared" si="26"/>
        <v>926.58999999999651</v>
      </c>
      <c r="Y37" s="2"/>
      <c r="Z37" s="7">
        <f t="shared" si="27"/>
        <v>1.195459938371087E-2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462</v>
      </c>
      <c r="I38" s="2"/>
      <c r="J38" s="7">
        <f t="shared" si="21"/>
        <v>7.6346398482590545E-3</v>
      </c>
      <c r="K38" s="2"/>
      <c r="L38" s="6">
        <f t="shared" si="22"/>
        <v>-462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2494.25</v>
      </c>
      <c r="U38" s="2"/>
      <c r="V38" s="7">
        <f t="shared" si="25"/>
        <v>5.7471911920749432E-3</v>
      </c>
      <c r="W38" s="2"/>
      <c r="X38" s="6">
        <f t="shared" si="26"/>
        <v>-2494.25</v>
      </c>
      <c r="Y38" s="2"/>
      <c r="Z38" s="7">
        <f t="shared" si="27"/>
        <v>-1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30.68</v>
      </c>
      <c r="E39" s="1"/>
      <c r="F39" s="5">
        <f t="shared" ref="F39:F55" si="28">IF(D$12=0,0,D39/D$12)</f>
        <v>5.5959382389356193E-4</v>
      </c>
      <c r="G39" s="1"/>
      <c r="H39" s="1">
        <f>SUM(OSRRefH22_2x_0)</f>
        <v>6</v>
      </c>
      <c r="I39" s="1"/>
      <c r="J39" s="5">
        <f t="shared" ref="J39:J55" si="29">IF(H$12=0,0,H39/H$12)</f>
        <v>9.9151166860507209E-5</v>
      </c>
      <c r="K39" s="1"/>
      <c r="L39" s="1">
        <f t="shared" ref="L39:L55" si="30">+D39-H39</f>
        <v>24.68</v>
      </c>
      <c r="M39" s="1"/>
      <c r="N39" s="5">
        <f t="shared" ref="N39:N55" si="31">IF(H39=0,0,L39/H39)</f>
        <v>4.1133333333333333</v>
      </c>
      <c r="O39" s="13"/>
      <c r="P39" s="1">
        <f>SUM(OSRRefP22_2x_0)</f>
        <v>610.57000000000005</v>
      </c>
      <c r="Q39" s="1"/>
      <c r="R39" s="5">
        <f t="shared" ref="R39:R55" si="32">IF(P$12=0,0,P39/P$12)</f>
        <v>1.5019612430188642E-3</v>
      </c>
      <c r="S39" s="1"/>
      <c r="T39" s="1">
        <f>SUM(OSRRefT22_2x_0)</f>
        <v>602.16</v>
      </c>
      <c r="U39" s="1"/>
      <c r="V39" s="5">
        <f t="shared" ref="V39:V55" si="33">IF(T$12=0,0,T39/T$12)</f>
        <v>1.3874826694276225E-3</v>
      </c>
      <c r="W39" s="1"/>
      <c r="X39" s="1">
        <f t="shared" ref="X39:X55" si="34">+P39-T39</f>
        <v>8.4100000000000819</v>
      </c>
      <c r="Y39" s="1"/>
      <c r="Z39" s="5">
        <f t="shared" ref="Z39:Z55" si="35">IF(T39=0,0,X39/T39)</f>
        <v>1.3966387671051021E-2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30.68</v>
      </c>
      <c r="E40" s="2"/>
      <c r="F40" s="7">
        <f t="shared" si="28"/>
        <v>5.5959382389356193E-4</v>
      </c>
      <c r="G40" s="2"/>
      <c r="H40" s="6">
        <v>6</v>
      </c>
      <c r="I40" s="2"/>
      <c r="J40" s="7">
        <f t="shared" si="29"/>
        <v>9.9151166860507209E-5</v>
      </c>
      <c r="K40" s="2"/>
      <c r="L40" s="6">
        <f t="shared" si="30"/>
        <v>24.68</v>
      </c>
      <c r="M40" s="2"/>
      <c r="N40" s="7">
        <f t="shared" si="31"/>
        <v>4.1133333333333333</v>
      </c>
      <c r="O40" s="11"/>
      <c r="P40" s="6">
        <v>610.57000000000005</v>
      </c>
      <c r="Q40" s="2"/>
      <c r="R40" s="7">
        <f t="shared" si="32"/>
        <v>1.5019612430188642E-3</v>
      </c>
      <c r="S40" s="2"/>
      <c r="T40" s="6">
        <v>602.16</v>
      </c>
      <c r="U40" s="2"/>
      <c r="V40" s="7">
        <f t="shared" si="33"/>
        <v>1.3874826694276225E-3</v>
      </c>
      <c r="W40" s="2"/>
      <c r="X40" s="6">
        <f t="shared" si="34"/>
        <v>8.4100000000000819</v>
      </c>
      <c r="Y40" s="2"/>
      <c r="Z40" s="7">
        <f t="shared" si="35"/>
        <v>1.3966387671051021E-2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2.83</v>
      </c>
      <c r="E41" s="1"/>
      <c r="F41" s="5">
        <f t="shared" si="28"/>
        <v>5.1618335124471325E-5</v>
      </c>
      <c r="G41" s="1"/>
      <c r="H41" s="1">
        <f>SUM(OSRRefH22_3x_0)</f>
        <v>20.170000000000002</v>
      </c>
      <c r="I41" s="1"/>
      <c r="J41" s="5">
        <f t="shared" si="29"/>
        <v>3.3331317259607172E-4</v>
      </c>
      <c r="K41" s="1"/>
      <c r="L41" s="1">
        <f t="shared" si="30"/>
        <v>-17.340000000000003</v>
      </c>
      <c r="M41" s="1"/>
      <c r="N41" s="5">
        <f t="shared" si="31"/>
        <v>-0.85969261279127429</v>
      </c>
      <c r="O41" s="13"/>
      <c r="P41" s="1">
        <f>SUM(OSRRefP22_3x_0)</f>
        <v>9.92</v>
      </c>
      <c r="Q41" s="1"/>
      <c r="R41" s="5">
        <f t="shared" si="32"/>
        <v>2.4402534567284882E-5</v>
      </c>
      <c r="S41" s="1"/>
      <c r="T41" s="1">
        <f>SUM(OSRRefT22_3x_0)</f>
        <v>150.4</v>
      </c>
      <c r="U41" s="1"/>
      <c r="V41" s="5">
        <f t="shared" si="33"/>
        <v>3.4654808270545112E-4</v>
      </c>
      <c r="W41" s="1"/>
      <c r="X41" s="1">
        <f t="shared" si="34"/>
        <v>-140.48000000000002</v>
      </c>
      <c r="Y41" s="1"/>
      <c r="Z41" s="5">
        <f t="shared" si="35"/>
        <v>-0.93404255319148943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2.83</v>
      </c>
      <c r="E42" s="2"/>
      <c r="F42" s="7">
        <f t="shared" si="28"/>
        <v>5.1618335124471325E-5</v>
      </c>
      <c r="G42" s="2"/>
      <c r="H42" s="6">
        <v>20.170000000000002</v>
      </c>
      <c r="I42" s="2"/>
      <c r="J42" s="7">
        <f t="shared" si="29"/>
        <v>3.3331317259607172E-4</v>
      </c>
      <c r="K42" s="2"/>
      <c r="L42" s="6">
        <f t="shared" si="30"/>
        <v>-17.340000000000003</v>
      </c>
      <c r="M42" s="2"/>
      <c r="N42" s="7">
        <f t="shared" si="31"/>
        <v>-0.85969261279127429</v>
      </c>
      <c r="O42" s="11"/>
      <c r="P42" s="6">
        <v>9.92</v>
      </c>
      <c r="Q42" s="2"/>
      <c r="R42" s="7">
        <f t="shared" si="32"/>
        <v>2.4402534567284882E-5</v>
      </c>
      <c r="S42" s="2"/>
      <c r="T42" s="6">
        <v>150.4</v>
      </c>
      <c r="U42" s="2"/>
      <c r="V42" s="7">
        <f t="shared" si="33"/>
        <v>3.4654808270545112E-4</v>
      </c>
      <c r="W42" s="2"/>
      <c r="X42" s="6">
        <f t="shared" si="34"/>
        <v>-140.48000000000002</v>
      </c>
      <c r="Y42" s="2"/>
      <c r="Z42" s="7">
        <f t="shared" si="35"/>
        <v>-0.93404255319148943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3746.23</v>
      </c>
      <c r="E43" s="1"/>
      <c r="F43" s="5">
        <f t="shared" si="28"/>
        <v>6.833009031567075E-2</v>
      </c>
      <c r="G43" s="1"/>
      <c r="H43" s="1">
        <f>SUM(OSRRefH22_4x_0)</f>
        <v>4254.05</v>
      </c>
      <c r="I43" s="1"/>
      <c r="J43" s="5">
        <f t="shared" si="29"/>
        <v>7.0299003563823445E-2</v>
      </c>
      <c r="K43" s="1"/>
      <c r="L43" s="1">
        <f t="shared" si="30"/>
        <v>-507.82000000000016</v>
      </c>
      <c r="M43" s="1"/>
      <c r="N43" s="5">
        <f t="shared" si="31"/>
        <v>-0.11937330308764592</v>
      </c>
      <c r="O43" s="13"/>
      <c r="P43" s="1">
        <f>SUM(OSRRefP22_4x_0)</f>
        <v>13087.01</v>
      </c>
      <c r="Q43" s="1"/>
      <c r="R43" s="5">
        <f t="shared" si="32"/>
        <v>3.2193166724536586E-2</v>
      </c>
      <c r="S43" s="1"/>
      <c r="T43" s="1">
        <f>SUM(OSRRefT22_4x_0)</f>
        <v>14490.75</v>
      </c>
      <c r="U43" s="1"/>
      <c r="V43" s="5">
        <f t="shared" si="33"/>
        <v>3.338923955760649E-2</v>
      </c>
      <c r="W43" s="1"/>
      <c r="X43" s="1">
        <f t="shared" si="34"/>
        <v>-1403.7399999999998</v>
      </c>
      <c r="Y43" s="1"/>
      <c r="Z43" s="5">
        <f t="shared" si="35"/>
        <v>-9.6871452478305115E-2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3746.23</v>
      </c>
      <c r="E44" s="2"/>
      <c r="F44" s="7">
        <f t="shared" si="28"/>
        <v>6.833009031567075E-2</v>
      </c>
      <c r="G44" s="2"/>
      <c r="H44" s="6">
        <v>4254.05</v>
      </c>
      <c r="I44" s="2"/>
      <c r="J44" s="7">
        <f t="shared" si="29"/>
        <v>7.0299003563823445E-2</v>
      </c>
      <c r="K44" s="2"/>
      <c r="L44" s="6">
        <f t="shared" si="30"/>
        <v>-507.82000000000016</v>
      </c>
      <c r="M44" s="2"/>
      <c r="N44" s="7">
        <f t="shared" si="31"/>
        <v>-0.11937330308764592</v>
      </c>
      <c r="O44" s="11"/>
      <c r="P44" s="6">
        <v>13087.01</v>
      </c>
      <c r="Q44" s="2"/>
      <c r="R44" s="7">
        <f t="shared" si="32"/>
        <v>3.2193166724536586E-2</v>
      </c>
      <c r="S44" s="2"/>
      <c r="T44" s="6">
        <v>14490.75</v>
      </c>
      <c r="U44" s="2"/>
      <c r="V44" s="7">
        <f t="shared" si="33"/>
        <v>3.338923955760649E-2</v>
      </c>
      <c r="W44" s="2"/>
      <c r="X44" s="6">
        <f t="shared" si="34"/>
        <v>-1403.7399999999998</v>
      </c>
      <c r="Y44" s="2"/>
      <c r="Z44" s="7">
        <f t="shared" si="35"/>
        <v>-9.6871452478305115E-2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2067.34</v>
      </c>
      <c r="E45" s="1"/>
      <c r="F45" s="5">
        <f t="shared" si="28"/>
        <v>3.7707649800786065E-2</v>
      </c>
      <c r="G45" s="1"/>
      <c r="H45" s="1">
        <f>SUM(OSRRefH22_5x_0)</f>
        <v>1147.5899999999999</v>
      </c>
      <c r="I45" s="1"/>
      <c r="J45" s="5">
        <f t="shared" si="29"/>
        <v>1.8964147929574911E-2</v>
      </c>
      <c r="K45" s="1"/>
      <c r="L45" s="1">
        <f t="shared" si="30"/>
        <v>919.75000000000023</v>
      </c>
      <c r="M45" s="1"/>
      <c r="N45" s="5">
        <f t="shared" si="31"/>
        <v>0.80146219468625579</v>
      </c>
      <c r="O45" s="13"/>
      <c r="P45" s="1">
        <f>SUM(OSRRefP22_5x_0)</f>
        <v>10305.290000000001</v>
      </c>
      <c r="Q45" s="1"/>
      <c r="R45" s="5">
        <f t="shared" si="32"/>
        <v>2.5350322122066053E-2</v>
      </c>
      <c r="S45" s="1"/>
      <c r="T45" s="1">
        <f>SUM(OSRRefT22_5x_0)</f>
        <v>6885.54</v>
      </c>
      <c r="U45" s="1"/>
      <c r="V45" s="5">
        <f t="shared" si="33"/>
        <v>1.5865496578402208E-2</v>
      </c>
      <c r="W45" s="1"/>
      <c r="X45" s="1">
        <f t="shared" si="34"/>
        <v>3419.7500000000009</v>
      </c>
      <c r="Y45" s="1"/>
      <c r="Z45" s="5">
        <f t="shared" si="35"/>
        <v>0.49665676185164864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2067.34</v>
      </c>
      <c r="E46" s="2"/>
      <c r="F46" s="7">
        <f t="shared" si="28"/>
        <v>3.7707649800786065E-2</v>
      </c>
      <c r="G46" s="2"/>
      <c r="H46" s="6">
        <v>1147.5899999999999</v>
      </c>
      <c r="I46" s="2"/>
      <c r="J46" s="7">
        <f t="shared" si="29"/>
        <v>1.8964147929574911E-2</v>
      </c>
      <c r="K46" s="2"/>
      <c r="L46" s="6">
        <f t="shared" si="30"/>
        <v>919.75000000000023</v>
      </c>
      <c r="M46" s="2"/>
      <c r="N46" s="7">
        <f t="shared" si="31"/>
        <v>0.80146219468625579</v>
      </c>
      <c r="O46" s="11"/>
      <c r="P46" s="6">
        <v>10305.290000000001</v>
      </c>
      <c r="Q46" s="2"/>
      <c r="R46" s="7">
        <f t="shared" si="32"/>
        <v>2.5350322122066053E-2</v>
      </c>
      <c r="S46" s="2"/>
      <c r="T46" s="6">
        <v>6885.54</v>
      </c>
      <c r="U46" s="2"/>
      <c r="V46" s="7">
        <f t="shared" si="33"/>
        <v>1.5865496578402208E-2</v>
      </c>
      <c r="W46" s="2"/>
      <c r="X46" s="6">
        <f t="shared" si="34"/>
        <v>3419.7500000000009</v>
      </c>
      <c r="Y46" s="2"/>
      <c r="Z46" s="7">
        <f t="shared" si="35"/>
        <v>0.49665676185164864</v>
      </c>
    </row>
    <row r="47" spans="1:26" s="27" customFormat="1" outlineLevel="1" collapsed="1" x14ac:dyDescent="0.25">
      <c r="A47" s="25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8"/>
        <v>0</v>
      </c>
      <c r="G47" s="1"/>
      <c r="H47" s="1">
        <f>SUM(OSRRefH22_6x_0)</f>
        <v>38.06</v>
      </c>
      <c r="I47" s="1"/>
      <c r="J47" s="5">
        <f t="shared" si="29"/>
        <v>6.2894890178515073E-4</v>
      </c>
      <c r="K47" s="1"/>
      <c r="L47" s="1">
        <f t="shared" si="30"/>
        <v>-38.06</v>
      </c>
      <c r="M47" s="1"/>
      <c r="N47" s="5">
        <f t="shared" si="31"/>
        <v>-1</v>
      </c>
      <c r="O47" s="13"/>
      <c r="P47" s="1">
        <f>SUM(OSRRefP22_6x_0)</f>
        <v>151.86000000000001</v>
      </c>
      <c r="Q47" s="1"/>
      <c r="R47" s="5">
        <f t="shared" si="32"/>
        <v>3.7356541324474622E-4</v>
      </c>
      <c r="S47" s="1"/>
      <c r="T47" s="1">
        <f>SUM(OSRRefT22_6x_0)</f>
        <v>152.24</v>
      </c>
      <c r="U47" s="1"/>
      <c r="V47" s="5">
        <f t="shared" si="33"/>
        <v>3.5078776669599654E-4</v>
      </c>
      <c r="W47" s="1"/>
      <c r="X47" s="1">
        <f t="shared" si="34"/>
        <v>-0.37999999999999545</v>
      </c>
      <c r="Y47" s="1"/>
      <c r="Z47" s="5">
        <f t="shared" si="35"/>
        <v>-2.4960588544403273E-3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8"/>
        <v>0</v>
      </c>
      <c r="G48" s="2"/>
      <c r="H48" s="6">
        <v>38.06</v>
      </c>
      <c r="I48" s="2"/>
      <c r="J48" s="7">
        <f t="shared" si="29"/>
        <v>6.2894890178515073E-4</v>
      </c>
      <c r="K48" s="2"/>
      <c r="L48" s="6">
        <f t="shared" si="30"/>
        <v>-38.06</v>
      </c>
      <c r="M48" s="2"/>
      <c r="N48" s="7">
        <f t="shared" si="31"/>
        <v>-1</v>
      </c>
      <c r="O48" s="11"/>
      <c r="P48" s="6">
        <v>151.86000000000001</v>
      </c>
      <c r="Q48" s="2"/>
      <c r="R48" s="7">
        <f t="shared" si="32"/>
        <v>3.7356541324474622E-4</v>
      </c>
      <c r="S48" s="2"/>
      <c r="T48" s="6">
        <v>152.24</v>
      </c>
      <c r="U48" s="2"/>
      <c r="V48" s="7">
        <f t="shared" si="33"/>
        <v>3.5078776669599654E-4</v>
      </c>
      <c r="W48" s="2"/>
      <c r="X48" s="6">
        <f t="shared" si="34"/>
        <v>-0.37999999999999545</v>
      </c>
      <c r="Y48" s="2"/>
      <c r="Z48" s="7">
        <f t="shared" si="35"/>
        <v>-2.4960588544403273E-3</v>
      </c>
    </row>
    <row r="49" spans="1:26" s="27" customFormat="1" outlineLevel="1" collapsed="1" x14ac:dyDescent="0.25">
      <c r="A49" s="25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118.91</v>
      </c>
      <c r="E49" s="1"/>
      <c r="F49" s="5">
        <f t="shared" si="28"/>
        <v>2.1688820599473093E-3</v>
      </c>
      <c r="G49" s="1"/>
      <c r="H49" s="1">
        <f>SUM(OSRRefH22_7x_0)</f>
        <v>118.91</v>
      </c>
      <c r="I49" s="1"/>
      <c r="J49" s="5">
        <f t="shared" si="29"/>
        <v>1.9650108752304854E-3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SUM(OSRRefP22_7x_0)</f>
        <v>713.46</v>
      </c>
      <c r="Q49" s="1"/>
      <c r="R49" s="5">
        <f t="shared" si="32"/>
        <v>1.7550637411668422E-3</v>
      </c>
      <c r="S49" s="1"/>
      <c r="T49" s="1">
        <f>SUM(OSRRefT22_7x_0)</f>
        <v>713.46</v>
      </c>
      <c r="U49" s="1"/>
      <c r="V49" s="5">
        <f t="shared" si="33"/>
        <v>1.6439374673339838E-3</v>
      </c>
      <c r="W49" s="1"/>
      <c r="X49" s="1">
        <f t="shared" si="34"/>
        <v>0</v>
      </c>
      <c r="Y49" s="1"/>
      <c r="Z49" s="5">
        <f t="shared" si="35"/>
        <v>0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>
        <v>118.91</v>
      </c>
      <c r="E50" s="2"/>
      <c r="F50" s="7">
        <f t="shared" si="28"/>
        <v>2.1688820599473093E-3</v>
      </c>
      <c r="G50" s="2"/>
      <c r="H50" s="6">
        <v>118.91</v>
      </c>
      <c r="I50" s="2"/>
      <c r="J50" s="7">
        <f t="shared" si="29"/>
        <v>1.9650108752304854E-3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713.46</v>
      </c>
      <c r="Q50" s="2"/>
      <c r="R50" s="7">
        <f t="shared" si="32"/>
        <v>1.7550637411668422E-3</v>
      </c>
      <c r="S50" s="2"/>
      <c r="T50" s="6">
        <v>713.46</v>
      </c>
      <c r="U50" s="2"/>
      <c r="V50" s="7">
        <f t="shared" si="33"/>
        <v>1.6439374673339838E-3</v>
      </c>
      <c r="W50" s="2"/>
      <c r="X50" s="6">
        <f t="shared" si="34"/>
        <v>0</v>
      </c>
      <c r="Y50" s="2"/>
      <c r="Z50" s="7">
        <f t="shared" si="35"/>
        <v>0</v>
      </c>
    </row>
    <row r="51" spans="1:26" s="27" customFormat="1" outlineLevel="1" collapsed="1" x14ac:dyDescent="0.25">
      <c r="A51" s="25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902.79</v>
      </c>
      <c r="E51" s="1"/>
      <c r="F51" s="5">
        <f t="shared" si="28"/>
        <v>1.6466613698594156E-2</v>
      </c>
      <c r="G51" s="1"/>
      <c r="H51" s="1">
        <f>SUM(OSRRefH22_8x_0)</f>
        <v>615.51</v>
      </c>
      <c r="I51" s="1"/>
      <c r="J51" s="5">
        <f t="shared" si="29"/>
        <v>1.0171422452385132E-2</v>
      </c>
      <c r="K51" s="1"/>
      <c r="L51" s="1">
        <f t="shared" si="30"/>
        <v>287.27999999999997</v>
      </c>
      <c r="M51" s="1"/>
      <c r="N51" s="5">
        <f t="shared" si="31"/>
        <v>0.46673490276356189</v>
      </c>
      <c r="O51" s="13"/>
      <c r="P51" s="1">
        <f>SUM(OSRRefP22_8x_0)</f>
        <v>6138.51</v>
      </c>
      <c r="Q51" s="1"/>
      <c r="R51" s="5">
        <f t="shared" si="32"/>
        <v>1.5100322829296768E-2</v>
      </c>
      <c r="S51" s="1"/>
      <c r="T51" s="1">
        <f>SUM(OSRRefT22_8x_0)</f>
        <v>6782.95</v>
      </c>
      <c r="U51" s="1"/>
      <c r="V51" s="5">
        <f t="shared" si="33"/>
        <v>1.5629111154168481E-2</v>
      </c>
      <c r="W51" s="1"/>
      <c r="X51" s="1">
        <f t="shared" si="34"/>
        <v>-644.4399999999996</v>
      </c>
      <c r="Y51" s="1"/>
      <c r="Z51" s="5">
        <f t="shared" si="35"/>
        <v>-9.5008808851605814E-2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>
        <v>902.79</v>
      </c>
      <c r="E52" s="2"/>
      <c r="F52" s="7">
        <f t="shared" si="28"/>
        <v>1.6466613698594156E-2</v>
      </c>
      <c r="G52" s="2"/>
      <c r="H52" s="6">
        <v>615.51</v>
      </c>
      <c r="I52" s="2"/>
      <c r="J52" s="7">
        <f t="shared" si="29"/>
        <v>1.0171422452385132E-2</v>
      </c>
      <c r="K52" s="2"/>
      <c r="L52" s="6">
        <f t="shared" si="30"/>
        <v>287.27999999999997</v>
      </c>
      <c r="M52" s="2"/>
      <c r="N52" s="7">
        <f t="shared" si="31"/>
        <v>0.46673490276356189</v>
      </c>
      <c r="O52" s="11"/>
      <c r="P52" s="6">
        <v>6138.51</v>
      </c>
      <c r="Q52" s="2"/>
      <c r="R52" s="7">
        <f t="shared" si="32"/>
        <v>1.5100322829296768E-2</v>
      </c>
      <c r="S52" s="2"/>
      <c r="T52" s="6">
        <v>6782.95</v>
      </c>
      <c r="U52" s="2"/>
      <c r="V52" s="7">
        <f t="shared" si="33"/>
        <v>1.5629111154168481E-2</v>
      </c>
      <c r="W52" s="2"/>
      <c r="X52" s="6">
        <f t="shared" si="34"/>
        <v>-644.4399999999996</v>
      </c>
      <c r="Y52" s="2"/>
      <c r="Z52" s="7">
        <f t="shared" si="35"/>
        <v>-9.5008808851605814E-2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224.64</v>
      </c>
      <c r="E53" s="1"/>
      <c r="F53" s="5">
        <f t="shared" si="28"/>
        <v>4.097364947830826E-3</v>
      </c>
      <c r="G53" s="1"/>
      <c r="H53" s="1">
        <f>SUM(OSRRefH22_9x_0)</f>
        <v>538.1</v>
      </c>
      <c r="I53" s="1"/>
      <c r="J53" s="5">
        <f t="shared" si="29"/>
        <v>8.892207147939821E-3</v>
      </c>
      <c r="K53" s="1"/>
      <c r="L53" s="1">
        <f t="shared" si="30"/>
        <v>-313.46000000000004</v>
      </c>
      <c r="M53" s="1"/>
      <c r="N53" s="5">
        <f t="shared" si="31"/>
        <v>-0.58253112804311469</v>
      </c>
      <c r="O53" s="13"/>
      <c r="P53" s="1">
        <f>SUM(OSRRefP22_9x_0)</f>
        <v>4404.9100000000008</v>
      </c>
      <c r="Q53" s="1"/>
      <c r="R53" s="5">
        <f t="shared" si="32"/>
        <v>1.0835783119030128E-2</v>
      </c>
      <c r="S53" s="1"/>
      <c r="T53" s="1">
        <f>SUM(OSRRefT22_9x_0)</f>
        <v>5401.44</v>
      </c>
      <c r="U53" s="1"/>
      <c r="V53" s="5">
        <f t="shared" si="33"/>
        <v>1.2445868855375877E-2</v>
      </c>
      <c r="W53" s="1"/>
      <c r="X53" s="1">
        <f t="shared" si="34"/>
        <v>-996.52999999999884</v>
      </c>
      <c r="Y53" s="1"/>
      <c r="Z53" s="5">
        <f t="shared" si="35"/>
        <v>-0.18449339435409798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6">
        <v>128.75</v>
      </c>
      <c r="E54" s="2"/>
      <c r="F54" s="7">
        <f t="shared" si="28"/>
        <v>2.3483606527475911E-3</v>
      </c>
      <c r="G54" s="2"/>
      <c r="H54" s="6">
        <v>110.97</v>
      </c>
      <c r="I54" s="2"/>
      <c r="J54" s="7">
        <f t="shared" si="29"/>
        <v>1.8338008310850808E-3</v>
      </c>
      <c r="K54" s="2"/>
      <c r="L54" s="6">
        <f t="shared" si="30"/>
        <v>17.78</v>
      </c>
      <c r="M54" s="2"/>
      <c r="N54" s="7">
        <f t="shared" si="31"/>
        <v>0.16022348382445709</v>
      </c>
      <c r="O54" s="11"/>
      <c r="P54" s="6">
        <v>240.39</v>
      </c>
      <c r="Q54" s="2"/>
      <c r="R54" s="7">
        <f t="shared" si="32"/>
        <v>5.9134327466024326E-4</v>
      </c>
      <c r="S54" s="2"/>
      <c r="T54" s="6">
        <v>221.94</v>
      </c>
      <c r="U54" s="2"/>
      <c r="V54" s="7">
        <f t="shared" si="33"/>
        <v>5.1138883959872224E-4</v>
      </c>
      <c r="W54" s="2"/>
      <c r="X54" s="6">
        <f t="shared" si="34"/>
        <v>18.449999999999989</v>
      </c>
      <c r="Y54" s="2"/>
      <c r="Z54" s="7">
        <f t="shared" si="35"/>
        <v>8.3130575831305703E-2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95.89</v>
      </c>
      <c r="E55" s="2"/>
      <c r="F55" s="7">
        <f t="shared" si="28"/>
        <v>1.7490042950832352E-3</v>
      </c>
      <c r="G55" s="2"/>
      <c r="H55" s="6">
        <v>427.13</v>
      </c>
      <c r="I55" s="2"/>
      <c r="J55" s="7">
        <f t="shared" si="29"/>
        <v>7.0584063168547401E-3</v>
      </c>
      <c r="K55" s="2"/>
      <c r="L55" s="6">
        <f t="shared" si="30"/>
        <v>-331.24</v>
      </c>
      <c r="M55" s="2"/>
      <c r="N55" s="7">
        <f t="shared" si="31"/>
        <v>-0.77550160372720256</v>
      </c>
      <c r="O55" s="11"/>
      <c r="P55" s="6">
        <v>4164.5200000000004</v>
      </c>
      <c r="Q55" s="2"/>
      <c r="R55" s="7">
        <f t="shared" si="32"/>
        <v>1.0244439844369884E-2</v>
      </c>
      <c r="S55" s="2"/>
      <c r="T55" s="6">
        <v>5179.5</v>
      </c>
      <c r="U55" s="2"/>
      <c r="V55" s="7">
        <f t="shared" si="33"/>
        <v>1.1934480015777155E-2</v>
      </c>
      <c r="W55" s="2"/>
      <c r="X55" s="6">
        <f t="shared" si="34"/>
        <v>-1014.9799999999996</v>
      </c>
      <c r="Y55" s="2"/>
      <c r="Z55" s="7">
        <f t="shared" si="35"/>
        <v>-0.19596100009653433</v>
      </c>
    </row>
    <row r="56" spans="1:26" s="27" customFormat="1" outlineLevel="1" collapsed="1" x14ac:dyDescent="0.25">
      <c r="A56" s="25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4386</v>
      </c>
      <c r="E56" s="1"/>
      <c r="F56" s="5">
        <f t="shared" ref="F56:F69" si="36">IF(D$12=0,0,D56/D$12)</f>
        <v>7.9999299595735415E-2</v>
      </c>
      <c r="G56" s="1"/>
      <c r="H56" s="1">
        <f>SUM(OSRRefH22_10x_0)</f>
        <v>4768.24</v>
      </c>
      <c r="I56" s="1"/>
      <c r="J56" s="5">
        <f t="shared" ref="J56:J69" si="37">IF(H$12=0,0,H56/H$12)</f>
        <v>7.8796093311824147E-2</v>
      </c>
      <c r="K56" s="1"/>
      <c r="L56" s="1">
        <f t="shared" ref="L56:L69" si="38">+D56-H56</f>
        <v>-382.23999999999978</v>
      </c>
      <c r="M56" s="1"/>
      <c r="N56" s="5">
        <f t="shared" ref="N56:N69" si="39">IF(H56=0,0,L56/H56)</f>
        <v>-8.0163750146804644E-2</v>
      </c>
      <c r="O56" s="13"/>
      <c r="P56" s="1">
        <f>SUM(OSRRefP22_10x_0)</f>
        <v>29301.360000000001</v>
      </c>
      <c r="Q56" s="1"/>
      <c r="R56" s="5">
        <f t="shared" ref="R56:R69" si="40">IF(P$12=0,0,P56/P$12)</f>
        <v>7.2079380067384943E-2</v>
      </c>
      <c r="S56" s="1"/>
      <c r="T56" s="1">
        <f>SUM(OSRRefT22_10x_0)</f>
        <v>34646.720000000001</v>
      </c>
      <c r="U56" s="1"/>
      <c r="V56" s="5">
        <f t="shared" ref="V56:V69" si="41">IF(T$12=0,0,T56/T$12)</f>
        <v>7.9832143537450856E-2</v>
      </c>
      <c r="W56" s="1"/>
      <c r="X56" s="1">
        <f t="shared" ref="X56:X69" si="42">+P56-T56</f>
        <v>-5345.3600000000006</v>
      </c>
      <c r="Y56" s="1"/>
      <c r="Z56" s="5">
        <f t="shared" ref="Z56:Z69" si="43">IF(T56=0,0,X56/T56)</f>
        <v>-0.15428184832503627</v>
      </c>
    </row>
    <row r="57" spans="1:26" s="24" customFormat="1" hidden="1" outlineLevel="2" x14ac:dyDescent="0.25">
      <c r="A57" s="26"/>
      <c r="B57" s="11" t="str">
        <f>CONCATENATE("          ", "6259", " - ", "ROYALTY &amp; COMMISSIONS")</f>
        <v xml:space="preserve">          6259 - ROYALTY &amp; COMMISSIONS</v>
      </c>
      <c r="C57" s="11"/>
      <c r="D57" s="6">
        <v>4386</v>
      </c>
      <c r="E57" s="2"/>
      <c r="F57" s="7">
        <f t="shared" si="36"/>
        <v>7.9999299595735415E-2</v>
      </c>
      <c r="G57" s="2"/>
      <c r="H57" s="6">
        <v>4768.24</v>
      </c>
      <c r="I57" s="2"/>
      <c r="J57" s="7">
        <f t="shared" si="37"/>
        <v>7.8796093311824147E-2</v>
      </c>
      <c r="K57" s="2"/>
      <c r="L57" s="6">
        <f t="shared" si="38"/>
        <v>-382.23999999999978</v>
      </c>
      <c r="M57" s="2"/>
      <c r="N57" s="7">
        <f t="shared" si="39"/>
        <v>-8.0163750146804644E-2</v>
      </c>
      <c r="O57" s="11"/>
      <c r="P57" s="6">
        <v>29301.360000000001</v>
      </c>
      <c r="Q57" s="2"/>
      <c r="R57" s="7">
        <f t="shared" si="40"/>
        <v>7.2079380067384943E-2</v>
      </c>
      <c r="S57" s="2"/>
      <c r="T57" s="6">
        <v>34646.720000000001</v>
      </c>
      <c r="U57" s="2"/>
      <c r="V57" s="7">
        <f t="shared" si="41"/>
        <v>7.9832143537450856E-2</v>
      </c>
      <c r="W57" s="2"/>
      <c r="X57" s="6">
        <f t="shared" si="42"/>
        <v>-5345.3600000000006</v>
      </c>
      <c r="Y57" s="2"/>
      <c r="Z57" s="7">
        <f t="shared" si="43"/>
        <v>-0.15428184832503627</v>
      </c>
    </row>
    <row r="58" spans="1:26" s="27" customFormat="1" outlineLevel="1" collapsed="1" x14ac:dyDescent="0.25">
      <c r="A58" s="25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48.75</v>
      </c>
      <c r="E58" s="1"/>
      <c r="F58" s="5">
        <f t="shared" si="36"/>
        <v>8.8918510152578693E-4</v>
      </c>
      <c r="G58" s="1"/>
      <c r="H58" s="1">
        <f>SUM(OSRRefH22_11x_0)</f>
        <v>48.75</v>
      </c>
      <c r="I58" s="1"/>
      <c r="J58" s="5">
        <f t="shared" si="37"/>
        <v>8.0560323074162102E-4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SUM(OSRRefP22_11x_0)</f>
        <v>329.85</v>
      </c>
      <c r="Q58" s="1"/>
      <c r="R58" s="5">
        <f t="shared" si="40"/>
        <v>8.1140887369142336E-4</v>
      </c>
      <c r="S58" s="1"/>
      <c r="T58" s="1">
        <f>SUM(OSRRefT22_11x_0)</f>
        <v>302.89999999999998</v>
      </c>
      <c r="U58" s="1"/>
      <c r="V58" s="5">
        <f t="shared" si="41"/>
        <v>6.9793493518272031E-4</v>
      </c>
      <c r="W58" s="1"/>
      <c r="X58" s="1">
        <f t="shared" si="42"/>
        <v>26.950000000000045</v>
      </c>
      <c r="Y58" s="1"/>
      <c r="Z58" s="5">
        <f t="shared" si="43"/>
        <v>8.8973258501155658E-2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6">
        <v>48.75</v>
      </c>
      <c r="E59" s="2"/>
      <c r="F59" s="7">
        <f t="shared" si="36"/>
        <v>8.8918510152578693E-4</v>
      </c>
      <c r="G59" s="2"/>
      <c r="H59" s="6">
        <v>48.75</v>
      </c>
      <c r="I59" s="2"/>
      <c r="J59" s="7">
        <f t="shared" si="37"/>
        <v>8.0560323074162102E-4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329.85</v>
      </c>
      <c r="Q59" s="2"/>
      <c r="R59" s="7">
        <f t="shared" si="40"/>
        <v>8.1140887369142336E-4</v>
      </c>
      <c r="S59" s="2"/>
      <c r="T59" s="6">
        <v>302.89999999999998</v>
      </c>
      <c r="U59" s="2"/>
      <c r="V59" s="7">
        <f t="shared" si="41"/>
        <v>6.9793493518272031E-4</v>
      </c>
      <c r="W59" s="2"/>
      <c r="X59" s="6">
        <f t="shared" si="42"/>
        <v>26.950000000000045</v>
      </c>
      <c r="Y59" s="2"/>
      <c r="Z59" s="7">
        <f t="shared" si="43"/>
        <v>8.8973258501155658E-2</v>
      </c>
    </row>
    <row r="60" spans="1:26" s="27" customFormat="1" outlineLevel="1" collapsed="1" x14ac:dyDescent="0.25">
      <c r="A60" s="25"/>
      <c r="B60" s="13" t="str">
        <f>CONCATENATE("     ","Subscriptions &amp; Dues                              ")</f>
        <v xml:space="preserve">     Subscriptions &amp; Dues                              </v>
      </c>
      <c r="C60" s="13"/>
      <c r="D60" s="1">
        <f>SUM(OSRRefD22_12x_0)</f>
        <v>0</v>
      </c>
      <c r="E60" s="1"/>
      <c r="F60" s="5">
        <f t="shared" si="36"/>
        <v>0</v>
      </c>
      <c r="G60" s="1"/>
      <c r="H60" s="1">
        <f>SUM(OSRRefH22_12x_0)</f>
        <v>30.68</v>
      </c>
      <c r="I60" s="1"/>
      <c r="J60" s="5">
        <f t="shared" si="37"/>
        <v>5.0699296654672682E-4</v>
      </c>
      <c r="K60" s="1"/>
      <c r="L60" s="1">
        <f t="shared" si="38"/>
        <v>-30.68</v>
      </c>
      <c r="M60" s="1"/>
      <c r="N60" s="5">
        <f t="shared" si="39"/>
        <v>-1</v>
      </c>
      <c r="O60" s="13"/>
      <c r="P60" s="1">
        <f>SUM(OSRRefP22_12x_0)</f>
        <v>92.04</v>
      </c>
      <c r="Q60" s="1"/>
      <c r="R60" s="5">
        <f t="shared" si="40"/>
        <v>2.2641222596501016E-4</v>
      </c>
      <c r="S60" s="1"/>
      <c r="T60" s="1">
        <f>SUM(OSRRefT22_12x_0)</f>
        <v>122.72</v>
      </c>
      <c r="U60" s="1"/>
      <c r="V60" s="5">
        <f t="shared" si="41"/>
        <v>2.8276848876072447E-4</v>
      </c>
      <c r="W60" s="1"/>
      <c r="X60" s="1">
        <f t="shared" si="42"/>
        <v>-30.679999999999993</v>
      </c>
      <c r="Y60" s="1"/>
      <c r="Z60" s="5">
        <f t="shared" si="43"/>
        <v>-0.24999999999999994</v>
      </c>
    </row>
    <row r="61" spans="1:26" s="24" customFormat="1" hidden="1" outlineLevel="2" x14ac:dyDescent="0.25">
      <c r="A61" s="26"/>
      <c r="B61" s="11" t="str">
        <f>CONCATENATE("          ", "6275", " - ", "SUBSCRIPTIONS")</f>
        <v xml:space="preserve">          6275 - SUBSCRIPTIONS</v>
      </c>
      <c r="C61" s="11"/>
      <c r="D61" s="6"/>
      <c r="E61" s="2"/>
      <c r="F61" s="7">
        <f t="shared" si="36"/>
        <v>0</v>
      </c>
      <c r="G61" s="2"/>
      <c r="H61" s="6">
        <v>30.68</v>
      </c>
      <c r="I61" s="2"/>
      <c r="J61" s="7">
        <f t="shared" si="37"/>
        <v>5.0699296654672682E-4</v>
      </c>
      <c r="K61" s="2"/>
      <c r="L61" s="6">
        <f t="shared" si="38"/>
        <v>-30.68</v>
      </c>
      <c r="M61" s="2"/>
      <c r="N61" s="7">
        <f t="shared" si="39"/>
        <v>-1</v>
      </c>
      <c r="O61" s="11"/>
      <c r="P61" s="6">
        <v>92.04</v>
      </c>
      <c r="Q61" s="2"/>
      <c r="R61" s="7">
        <f t="shared" si="40"/>
        <v>2.2641222596501016E-4</v>
      </c>
      <c r="S61" s="2"/>
      <c r="T61" s="6">
        <v>122.72</v>
      </c>
      <c r="U61" s="2"/>
      <c r="V61" s="7">
        <f t="shared" si="41"/>
        <v>2.8276848876072447E-4</v>
      </c>
      <c r="W61" s="2"/>
      <c r="X61" s="6">
        <f t="shared" si="42"/>
        <v>-30.679999999999993</v>
      </c>
      <c r="Y61" s="2"/>
      <c r="Z61" s="7">
        <f t="shared" si="43"/>
        <v>-0.24999999999999994</v>
      </c>
    </row>
    <row r="62" spans="1:26" s="27" customFormat="1" outlineLevel="1" collapsed="1" x14ac:dyDescent="0.25">
      <c r="A62" s="25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SUM(OSRRefD22_13x_0)</f>
        <v>918.47</v>
      </c>
      <c r="E62" s="1"/>
      <c r="F62" s="5">
        <f t="shared" si="36"/>
        <v>1.6752612106633633E-2</v>
      </c>
      <c r="G62" s="1"/>
      <c r="H62" s="1">
        <f>SUM(OSRRefH22_13x_0)</f>
        <v>500.59000000000003</v>
      </c>
      <c r="I62" s="1"/>
      <c r="J62" s="5">
        <f t="shared" si="37"/>
        <v>8.2723471031168842E-3</v>
      </c>
      <c r="K62" s="1"/>
      <c r="L62" s="1">
        <f t="shared" si="38"/>
        <v>417.88</v>
      </c>
      <c r="M62" s="1"/>
      <c r="N62" s="5">
        <f t="shared" si="39"/>
        <v>0.834774965540662</v>
      </c>
      <c r="O62" s="13"/>
      <c r="P62" s="1">
        <f>SUM(OSRRefP22_13x_0)</f>
        <v>7618.54</v>
      </c>
      <c r="Q62" s="1"/>
      <c r="R62" s="5">
        <f t="shared" si="40"/>
        <v>1.8741097349016387E-2</v>
      </c>
      <c r="S62" s="1"/>
      <c r="T62" s="1">
        <f>SUM(OSRRefT22_13x_0)</f>
        <v>5263.74</v>
      </c>
      <c r="U62" s="1"/>
      <c r="V62" s="5">
        <f t="shared" si="41"/>
        <v>1.2128583808909516E-2</v>
      </c>
      <c r="W62" s="1"/>
      <c r="X62" s="1">
        <f t="shared" si="42"/>
        <v>2354.8000000000002</v>
      </c>
      <c r="Y62" s="1"/>
      <c r="Z62" s="5">
        <f t="shared" si="43"/>
        <v>0.44736252170509949</v>
      </c>
    </row>
    <row r="63" spans="1:26" s="24" customFormat="1" hidden="1" outlineLevel="2" x14ac:dyDescent="0.25">
      <c r="A63" s="26"/>
      <c r="B63" s="11" t="str">
        <f>CONCATENATE("          ", "6237", " - ", "JANITORIAL SUPPLIES")</f>
        <v xml:space="preserve">          6237 - JANITORIAL SUPPLIES</v>
      </c>
      <c r="C63" s="11"/>
      <c r="D63" s="6">
        <v>52.91</v>
      </c>
      <c r="E63" s="2"/>
      <c r="F63" s="7">
        <f t="shared" si="36"/>
        <v>9.6506223018932077E-4</v>
      </c>
      <c r="G63" s="2"/>
      <c r="H63" s="6"/>
      <c r="I63" s="2"/>
      <c r="J63" s="7">
        <f t="shared" si="37"/>
        <v>0</v>
      </c>
      <c r="K63" s="2"/>
      <c r="L63" s="6">
        <f t="shared" si="38"/>
        <v>52.91</v>
      </c>
      <c r="M63" s="2"/>
      <c r="N63" s="7">
        <f t="shared" si="39"/>
        <v>0</v>
      </c>
      <c r="O63" s="11"/>
      <c r="P63" s="6">
        <v>198.84</v>
      </c>
      <c r="Q63" s="2"/>
      <c r="R63" s="7">
        <f t="shared" si="40"/>
        <v>4.8913306183053689E-4</v>
      </c>
      <c r="S63" s="2"/>
      <c r="T63" s="6"/>
      <c r="U63" s="2"/>
      <c r="V63" s="7">
        <f t="shared" si="41"/>
        <v>0</v>
      </c>
      <c r="W63" s="2"/>
      <c r="X63" s="6">
        <f t="shared" si="42"/>
        <v>198.84</v>
      </c>
      <c r="Y63" s="2"/>
      <c r="Z63" s="7">
        <f t="shared" si="43"/>
        <v>0</v>
      </c>
    </row>
    <row r="64" spans="1:26" s="24" customFormat="1" hidden="1" outlineLevel="2" x14ac:dyDescent="0.25">
      <c r="A64" s="26"/>
      <c r="B64" s="11" t="str">
        <f>CONCATENATE("          ", "6239", " - ", "KITCHEN SUPPLIES")</f>
        <v xml:space="preserve">          6239 - KITCHEN SUPPLIES</v>
      </c>
      <c r="C64" s="11"/>
      <c r="D64" s="6">
        <v>-23.12</v>
      </c>
      <c r="E64" s="2"/>
      <c r="F64" s="7">
        <f t="shared" si="36"/>
        <v>-4.2170173430310147E-4</v>
      </c>
      <c r="G64" s="2"/>
      <c r="H64" s="6">
        <v>448.11</v>
      </c>
      <c r="I64" s="2"/>
      <c r="J64" s="7">
        <f t="shared" si="37"/>
        <v>7.4051048969769806E-3</v>
      </c>
      <c r="K64" s="2"/>
      <c r="L64" s="6">
        <f t="shared" si="38"/>
        <v>-471.23</v>
      </c>
      <c r="M64" s="2"/>
      <c r="N64" s="7">
        <f t="shared" si="39"/>
        <v>-1.051594474570976</v>
      </c>
      <c r="O64" s="11"/>
      <c r="P64" s="6">
        <v>1890.25</v>
      </c>
      <c r="Q64" s="2"/>
      <c r="R64" s="7">
        <f t="shared" si="40"/>
        <v>4.6498882021986142E-3</v>
      </c>
      <c r="S64" s="2"/>
      <c r="T64" s="6">
        <v>1328.86</v>
      </c>
      <c r="U64" s="2"/>
      <c r="V64" s="7">
        <f t="shared" si="41"/>
        <v>3.0619274280848786E-3</v>
      </c>
      <c r="W64" s="2"/>
      <c r="X64" s="6">
        <f t="shared" si="42"/>
        <v>561.3900000000001</v>
      </c>
      <c r="Y64" s="2"/>
      <c r="Z64" s="7">
        <f t="shared" si="43"/>
        <v>0.42245985280616477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6">
        <v>169.18</v>
      </c>
      <c r="E65" s="2"/>
      <c r="F65" s="7">
        <f t="shared" si="36"/>
        <v>3.0857914969463105E-3</v>
      </c>
      <c r="G65" s="2"/>
      <c r="H65" s="6"/>
      <c r="I65" s="2"/>
      <c r="J65" s="7">
        <f t="shared" si="37"/>
        <v>0</v>
      </c>
      <c r="K65" s="2"/>
      <c r="L65" s="6">
        <f t="shared" si="38"/>
        <v>169.18</v>
      </c>
      <c r="M65" s="2"/>
      <c r="N65" s="7">
        <f t="shared" si="39"/>
        <v>0</v>
      </c>
      <c r="O65" s="11"/>
      <c r="P65" s="6">
        <v>1376.73</v>
      </c>
      <c r="Q65" s="2"/>
      <c r="R65" s="7">
        <f t="shared" si="40"/>
        <v>3.3866634490744068E-3</v>
      </c>
      <c r="S65" s="2"/>
      <c r="T65" s="6">
        <v>58.58</v>
      </c>
      <c r="U65" s="2"/>
      <c r="V65" s="7">
        <f t="shared" si="41"/>
        <v>1.3497863487290775E-4</v>
      </c>
      <c r="W65" s="2"/>
      <c r="X65" s="6">
        <f t="shared" si="42"/>
        <v>1318.15</v>
      </c>
      <c r="Y65" s="2"/>
      <c r="Z65" s="7">
        <f t="shared" si="43"/>
        <v>22.501707067258451</v>
      </c>
    </row>
    <row r="66" spans="1:26" s="24" customFormat="1" hidden="1" outlineLevel="2" x14ac:dyDescent="0.25">
      <c r="A66" s="26"/>
      <c r="B66" s="11" t="str">
        <f>CONCATENATE("          ", "6243", " - ", "PAPER SUPPLIES")</f>
        <v xml:space="preserve">          6243 - PAPER SUPPLIES</v>
      </c>
      <c r="C66" s="11"/>
      <c r="D66" s="6">
        <v>598.27</v>
      </c>
      <c r="E66" s="2"/>
      <c r="F66" s="7">
        <f t="shared" si="36"/>
        <v>1.0912261962868361E-2</v>
      </c>
      <c r="G66" s="2"/>
      <c r="H66" s="6">
        <v>52.48</v>
      </c>
      <c r="I66" s="2"/>
      <c r="J66" s="7">
        <f t="shared" si="37"/>
        <v>8.6724220613990295E-4</v>
      </c>
      <c r="K66" s="2"/>
      <c r="L66" s="6">
        <f t="shared" si="38"/>
        <v>545.79</v>
      </c>
      <c r="M66" s="2"/>
      <c r="N66" s="7">
        <f t="shared" si="39"/>
        <v>10.399961890243903</v>
      </c>
      <c r="O66" s="11"/>
      <c r="P66" s="6">
        <v>2645.23</v>
      </c>
      <c r="Q66" s="2"/>
      <c r="R66" s="7">
        <f t="shared" si="40"/>
        <v>6.5070883582075594E-3</v>
      </c>
      <c r="S66" s="2"/>
      <c r="T66" s="6">
        <v>2235.06</v>
      </c>
      <c r="U66" s="2"/>
      <c r="V66" s="7">
        <f t="shared" si="41"/>
        <v>5.1499717934284945E-3</v>
      </c>
      <c r="W66" s="2"/>
      <c r="X66" s="6">
        <f t="shared" si="42"/>
        <v>410.17000000000007</v>
      </c>
      <c r="Y66" s="2"/>
      <c r="Z66" s="7">
        <f t="shared" si="43"/>
        <v>0.18351632618363717</v>
      </c>
    </row>
    <row r="67" spans="1:26" s="24" customFormat="1" hidden="1" outlineLevel="2" x14ac:dyDescent="0.25">
      <c r="A67" s="26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181.92</v>
      </c>
      <c r="Q67" s="2"/>
      <c r="R67" s="7">
        <f t="shared" si="40"/>
        <v>4.4751099682262756E-4</v>
      </c>
      <c r="S67" s="2"/>
      <c r="T67" s="6"/>
      <c r="U67" s="2"/>
      <c r="V67" s="7">
        <f t="shared" si="41"/>
        <v>0</v>
      </c>
      <c r="W67" s="2"/>
      <c r="X67" s="6">
        <f t="shared" si="42"/>
        <v>181.92</v>
      </c>
      <c r="Y67" s="2"/>
      <c r="Z67" s="7">
        <f t="shared" si="43"/>
        <v>0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6">
        <v>121.23</v>
      </c>
      <c r="E68" s="2"/>
      <c r="F68" s="7">
        <f t="shared" si="36"/>
        <v>2.2111981509327417E-3</v>
      </c>
      <c r="G68" s="2"/>
      <c r="H68" s="6"/>
      <c r="I68" s="2"/>
      <c r="J68" s="7">
        <f t="shared" si="37"/>
        <v>0</v>
      </c>
      <c r="K68" s="2"/>
      <c r="L68" s="6">
        <f t="shared" si="38"/>
        <v>121.23</v>
      </c>
      <c r="M68" s="2"/>
      <c r="N68" s="7">
        <f t="shared" si="39"/>
        <v>0</v>
      </c>
      <c r="O68" s="11"/>
      <c r="P68" s="6">
        <v>1211.79</v>
      </c>
      <c r="Q68" s="2"/>
      <c r="R68" s="7">
        <f t="shared" si="40"/>
        <v>2.9809221132348941E-3</v>
      </c>
      <c r="S68" s="2"/>
      <c r="T68" s="6">
        <v>1153.8599999999999</v>
      </c>
      <c r="U68" s="2"/>
      <c r="V68" s="7">
        <f t="shared" si="41"/>
        <v>2.658696613766701E-3</v>
      </c>
      <c r="W68" s="2"/>
      <c r="X68" s="6">
        <f t="shared" si="42"/>
        <v>57.930000000000064</v>
      </c>
      <c r="Y68" s="2"/>
      <c r="Z68" s="7">
        <f t="shared" si="43"/>
        <v>5.0205397535229637E-2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>
        <v>113.78</v>
      </c>
      <c r="Q69" s="2"/>
      <c r="R69" s="7">
        <f t="shared" si="40"/>
        <v>2.7989116764774941E-4</v>
      </c>
      <c r="S69" s="2"/>
      <c r="T69" s="6">
        <v>487.38</v>
      </c>
      <c r="U69" s="2"/>
      <c r="V69" s="7">
        <f t="shared" si="41"/>
        <v>1.1230093387565344E-3</v>
      </c>
      <c r="W69" s="2"/>
      <c r="X69" s="6">
        <f t="shared" si="42"/>
        <v>-373.6</v>
      </c>
      <c r="Y69" s="2"/>
      <c r="Z69" s="7">
        <f t="shared" si="43"/>
        <v>-0.76654766301448563</v>
      </c>
    </row>
    <row r="70" spans="1:26" s="27" customFormat="1" outlineLevel="1" collapsed="1" x14ac:dyDescent="0.25">
      <c r="A70" s="25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SUM(OSRRefD22_14x_0)</f>
        <v>0</v>
      </c>
      <c r="E70" s="1"/>
      <c r="F70" s="5">
        <f t="shared" ref="F70:F73" si="44">IF(D$12=0,0,D70/D$12)</f>
        <v>0</v>
      </c>
      <c r="G70" s="1"/>
      <c r="H70" s="1">
        <f>SUM(OSRRefH22_14x_0)</f>
        <v>50</v>
      </c>
      <c r="I70" s="1"/>
      <c r="J70" s="5">
        <f t="shared" ref="J70:J73" si="45">IF(H$12=0,0,H70/H$12)</f>
        <v>8.2625972383756007E-4</v>
      </c>
      <c r="K70" s="1"/>
      <c r="L70" s="1">
        <f t="shared" ref="L70:L73" si="46">+D70-H70</f>
        <v>-50</v>
      </c>
      <c r="M70" s="1"/>
      <c r="N70" s="5">
        <f t="shared" ref="N70:N73" si="47">IF(H70=0,0,L70/H70)</f>
        <v>-1</v>
      </c>
      <c r="O70" s="13"/>
      <c r="P70" s="1">
        <f>SUM(OSRRefP22_14x_0)</f>
        <v>-45</v>
      </c>
      <c r="Q70" s="1"/>
      <c r="R70" s="5">
        <f t="shared" ref="R70:R73" si="48">IF(P$12=0,0,P70/P$12)</f>
        <v>-1.1069698140401408E-4</v>
      </c>
      <c r="S70" s="1"/>
      <c r="T70" s="1">
        <f>SUM(OSRRefT22_14x_0)</f>
        <v>300</v>
      </c>
      <c r="U70" s="1"/>
      <c r="V70" s="5">
        <f t="shared" ref="V70:V73" si="49">IF(T$12=0,0,T70/T$12)</f>
        <v>6.9125282454544771E-4</v>
      </c>
      <c r="W70" s="1"/>
      <c r="X70" s="1">
        <f t="shared" ref="X70:X73" si="50">+P70-T70</f>
        <v>-345</v>
      </c>
      <c r="Y70" s="1"/>
      <c r="Z70" s="5">
        <f t="shared" ref="Z70:Z73" si="51">IF(T70=0,0,X70/T70)</f>
        <v>-1.1499999999999999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6"/>
      <c r="E71" s="2"/>
      <c r="F71" s="7">
        <f t="shared" si="44"/>
        <v>0</v>
      </c>
      <c r="G71" s="2"/>
      <c r="H71" s="6">
        <v>50</v>
      </c>
      <c r="I71" s="2"/>
      <c r="J71" s="7">
        <f t="shared" si="45"/>
        <v>8.2625972383756007E-4</v>
      </c>
      <c r="K71" s="2"/>
      <c r="L71" s="6">
        <f t="shared" si="46"/>
        <v>-50</v>
      </c>
      <c r="M71" s="2"/>
      <c r="N71" s="7">
        <f t="shared" si="47"/>
        <v>-1</v>
      </c>
      <c r="O71" s="11"/>
      <c r="P71" s="6">
        <v>-45</v>
      </c>
      <c r="Q71" s="2"/>
      <c r="R71" s="7">
        <f t="shared" si="48"/>
        <v>-1.1069698140401408E-4</v>
      </c>
      <c r="S71" s="2"/>
      <c r="T71" s="6">
        <v>300</v>
      </c>
      <c r="U71" s="2"/>
      <c r="V71" s="7">
        <f t="shared" si="49"/>
        <v>6.9125282454544771E-4</v>
      </c>
      <c r="W71" s="2"/>
      <c r="X71" s="6">
        <f t="shared" si="50"/>
        <v>-345</v>
      </c>
      <c r="Y71" s="2"/>
      <c r="Z71" s="7">
        <f t="shared" si="51"/>
        <v>-1.1499999999999999</v>
      </c>
    </row>
    <row r="72" spans="1:26" s="27" customFormat="1" outlineLevel="1" collapsed="1" x14ac:dyDescent="0.25">
      <c r="A72" s="25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SUM(OSRRefD22_15x_0)</f>
        <v>0</v>
      </c>
      <c r="E72" s="1"/>
      <c r="F72" s="5">
        <f t="shared" si="44"/>
        <v>0</v>
      </c>
      <c r="G72" s="1"/>
      <c r="H72" s="1">
        <f>SUM(OSRRefH22_15x_0)</f>
        <v>0</v>
      </c>
      <c r="I72" s="1"/>
      <c r="J72" s="5">
        <f t="shared" si="45"/>
        <v>0</v>
      </c>
      <c r="K72" s="1"/>
      <c r="L72" s="1">
        <f t="shared" si="46"/>
        <v>0</v>
      </c>
      <c r="M72" s="1"/>
      <c r="N72" s="5">
        <f t="shared" si="47"/>
        <v>0</v>
      </c>
      <c r="O72" s="13"/>
      <c r="P72" s="1">
        <f>SUM(OSRRefP22_15x_0)</f>
        <v>96</v>
      </c>
      <c r="Q72" s="1"/>
      <c r="R72" s="5">
        <f t="shared" si="48"/>
        <v>2.3615356032856337E-4</v>
      </c>
      <c r="S72" s="1"/>
      <c r="T72" s="1">
        <f>SUM(OSRRefT22_15x_0)</f>
        <v>125.16</v>
      </c>
      <c r="U72" s="1"/>
      <c r="V72" s="5">
        <f t="shared" si="49"/>
        <v>2.8839067840036076E-4</v>
      </c>
      <c r="W72" s="1"/>
      <c r="X72" s="1">
        <f t="shared" si="50"/>
        <v>-29.159999999999997</v>
      </c>
      <c r="Y72" s="1"/>
      <c r="Z72" s="5">
        <f t="shared" si="51"/>
        <v>-0.23298178331735378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96</v>
      </c>
      <c r="Q73" s="2"/>
      <c r="R73" s="7">
        <f t="shared" si="48"/>
        <v>2.3615356032856337E-4</v>
      </c>
      <c r="S73" s="2"/>
      <c r="T73" s="6">
        <v>125.16</v>
      </c>
      <c r="U73" s="2"/>
      <c r="V73" s="7">
        <f t="shared" si="49"/>
        <v>2.8839067840036076E-4</v>
      </c>
      <c r="W73" s="2"/>
      <c r="X73" s="6">
        <f t="shared" si="50"/>
        <v>-29.159999999999997</v>
      </c>
      <c r="Y73" s="2"/>
      <c r="Z73" s="7">
        <f t="shared" si="51"/>
        <v>-0.23298178331735378</v>
      </c>
    </row>
    <row r="74" spans="1:26" s="61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0">
        <f>+D20-D22+D75</f>
        <v>10275.439999999991</v>
      </c>
      <c r="E77" s="14"/>
      <c r="F77" s="21">
        <f>IF(D$12=0,0,D77/D$12)</f>
        <v>0.18742088532558204</v>
      </c>
      <c r="G77" s="14"/>
      <c r="H77" s="20">
        <f>+H20-H22+H75</f>
        <v>10009.899999999998</v>
      </c>
      <c r="I77" s="14"/>
      <c r="J77" s="21">
        <f>IF(H$12=0,0,H77/H$12)</f>
        <v>0.1654155441928318</v>
      </c>
      <c r="K77" s="15"/>
      <c r="L77" s="20">
        <f>+D77-H77</f>
        <v>265.5399999999936</v>
      </c>
      <c r="M77" s="15"/>
      <c r="N77" s="21">
        <f>IF(H77=0,0,L77/H77)</f>
        <v>2.6527737539834929E-2</v>
      </c>
      <c r="O77" s="28"/>
      <c r="P77" s="20">
        <f>+P20-P22+P75</f>
        <v>75403.009999999951</v>
      </c>
      <c r="Q77" s="14"/>
      <c r="R77" s="21">
        <f>IF(P$12=0,0,P77/P$12)</f>
        <v>0.18548634657281518</v>
      </c>
      <c r="S77" s="14"/>
      <c r="T77" s="20">
        <f>+T20-T22+T75</f>
        <v>76793.100000000064</v>
      </c>
      <c r="U77" s="14"/>
      <c r="V77" s="21">
        <f>IF(T$12=0,0,T77/T$12)</f>
        <v>0.17694482426867023</v>
      </c>
      <c r="W77" s="15"/>
      <c r="X77" s="20">
        <f>+P77-T77</f>
        <v>-1390.0900000001129</v>
      </c>
      <c r="Y77" s="15"/>
      <c r="Z77" s="21">
        <f>IF(T77=0,0,X77/T77)</f>
        <v>-1.8101756538023751E-2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6665.21</v>
      </c>
      <c r="E79" s="4"/>
      <c r="F79" s="12">
        <f>IF(D$12=0,0,D79/D$12)</f>
        <v>0.12157139344698853</v>
      </c>
      <c r="G79" s="4"/>
      <c r="H79" s="4">
        <v>7536.03</v>
      </c>
      <c r="I79" s="4"/>
      <c r="J79" s="12">
        <f>IF(H$12=0,0,H79/H$12)</f>
        <v>0.12453436133263135</v>
      </c>
      <c r="K79" s="4"/>
      <c r="L79" s="4">
        <f>+D79-H79</f>
        <v>-870.81999999999971</v>
      </c>
      <c r="M79" s="4"/>
      <c r="N79" s="12">
        <f>IF(H79=0,0,L79/H79)</f>
        <v>-0.11555421090414976</v>
      </c>
      <c r="O79" s="10"/>
      <c r="P79" s="4">
        <v>43906.77</v>
      </c>
      <c r="Q79" s="4"/>
      <c r="R79" s="12">
        <f>IF(P$12=0,0,P79/P$12)</f>
        <v>0.10800770893778495</v>
      </c>
      <c r="S79" s="4"/>
      <c r="T79" s="4">
        <v>46834.590000000004</v>
      </c>
      <c r="U79" s="4"/>
      <c r="V79" s="12">
        <f>IF(T$12=0,0,T79/T$12)</f>
        <v>0.10791514207975994</v>
      </c>
      <c r="W79" s="4"/>
      <c r="X79" s="4">
        <f>+P79-T79</f>
        <v>-2927.820000000007</v>
      </c>
      <c r="Y79" s="4"/>
      <c r="Z79" s="12">
        <f>IF(T79=0,0,X79/T79)</f>
        <v>-6.251405211404662E-2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2">
        <f>+D77-D79</f>
        <v>3610.2299999999914</v>
      </c>
      <c r="E81" s="14"/>
      <c r="F81" s="30">
        <f>IF(D$12=0,0,D81/D$12)</f>
        <v>6.5849491878593527E-2</v>
      </c>
      <c r="G81" s="14"/>
      <c r="H81" s="32">
        <f>+H77-H79</f>
        <v>2473.8699999999981</v>
      </c>
      <c r="I81" s="14"/>
      <c r="J81" s="30">
        <f>IF(H$12=0,0,H81/H$12)</f>
        <v>4.0881182860200461E-2</v>
      </c>
      <c r="K81" s="15"/>
      <c r="L81" s="32">
        <f>D81-H81</f>
        <v>1136.3599999999933</v>
      </c>
      <c r="M81" s="15"/>
      <c r="N81" s="30">
        <f>IF(H81=0,0,L81/H81)</f>
        <v>0.45934507472098135</v>
      </c>
      <c r="O81" s="28"/>
      <c r="P81" s="32">
        <f>+P77-P79</f>
        <v>31496.239999999954</v>
      </c>
      <c r="Q81" s="14"/>
      <c r="R81" s="30">
        <f>IF(P$12=0,0,P81/P$12)</f>
        <v>7.7478637635030212E-2</v>
      </c>
      <c r="S81" s="14"/>
      <c r="T81" s="32">
        <f>+T77-T79</f>
        <v>29958.51000000006</v>
      </c>
      <c r="U81" s="14"/>
      <c r="V81" s="30">
        <f>IF(T$12=0,0,T81/T$12)</f>
        <v>6.9029682188910271E-2</v>
      </c>
      <c r="W81" s="15"/>
      <c r="X81" s="32">
        <f>P81-T81</f>
        <v>1537.7299999998941</v>
      </c>
      <c r="Y81" s="15"/>
      <c r="Z81" s="30">
        <f>IF(T81=0,0,X81/T81)</f>
        <v>5.1328654195415289E-2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6">
        <f>SUM(D81:D83)</f>
        <v>3610.2299999999914</v>
      </c>
      <c r="E84" s="14"/>
      <c r="F84" s="31">
        <f>IF(D$12=0,0,D84/D$12)</f>
        <v>6.5849491878593527E-2</v>
      </c>
      <c r="G84" s="14"/>
      <c r="H84" s="36">
        <f>SUM(H81:H83)</f>
        <v>2473.8699999999981</v>
      </c>
      <c r="I84" s="14"/>
      <c r="J84" s="31">
        <f>IF(H$12=0,0,H84/H$12)</f>
        <v>4.0881182860200461E-2</v>
      </c>
      <c r="K84" s="15"/>
      <c r="L84" s="36">
        <f>+D84-H84</f>
        <v>1136.3599999999933</v>
      </c>
      <c r="M84" s="15"/>
      <c r="N84" s="31">
        <f>IF(H84=0,0,L84/H84)</f>
        <v>0.45934507472098135</v>
      </c>
      <c r="O84" s="28"/>
      <c r="P84" s="36">
        <f>SUM(P81:P83)</f>
        <v>31496.239999999954</v>
      </c>
      <c r="Q84" s="14"/>
      <c r="R84" s="31">
        <f>IF(P$12=0,0,P84/P$12)</f>
        <v>7.7478637635030212E-2</v>
      </c>
      <c r="S84" s="14"/>
      <c r="T84" s="36">
        <f>SUM(T81:T83)</f>
        <v>29958.51000000006</v>
      </c>
      <c r="U84" s="14"/>
      <c r="V84" s="31">
        <f>IF(T$12=0,0,T84/T$12)</f>
        <v>6.9029682188910271E-2</v>
      </c>
      <c r="W84" s="15"/>
      <c r="X84" s="36">
        <f>+P84-T84</f>
        <v>1537.7299999998941</v>
      </c>
      <c r="Y84" s="15"/>
      <c r="Z84" s="31">
        <f>IF(T84=0,0,X84/T84)</f>
        <v>5.1328654195415289E-2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2">
        <v>43847.454069131942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6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4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","415", " - ", "Outpost")</f>
        <v>Department 415 - Outpost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55170.100000000006</v>
      </c>
      <c r="E12" s="4"/>
      <c r="F12" s="12"/>
      <c r="G12" s="4"/>
      <c r="H12" s="4">
        <f>SUM(OSRRefH13x_0)</f>
        <v>67666.209999999992</v>
      </c>
      <c r="I12" s="4"/>
      <c r="J12" s="12"/>
      <c r="K12" s="4"/>
      <c r="L12" s="4">
        <f t="shared" ref="L12:L14" si="0">+D12-H12</f>
        <v>-12496.109999999986</v>
      </c>
      <c r="M12" s="4"/>
      <c r="N12" s="12">
        <f t="shared" ref="N12:N14" si="1">IF(H12=0,0,L12/H12)</f>
        <v>-0.18467282266880305</v>
      </c>
      <c r="O12" s="10"/>
      <c r="P12" s="4">
        <f>SUM(OSRRefP13x_0)</f>
        <v>451944.1</v>
      </c>
      <c r="Q12" s="4"/>
      <c r="R12" s="12"/>
      <c r="S12" s="4"/>
      <c r="T12" s="4">
        <f>SUM(OSRRefT13x_0)</f>
        <v>472413.61</v>
      </c>
      <c r="U12" s="4"/>
      <c r="V12" s="12"/>
      <c r="W12" s="4"/>
      <c r="X12" s="4">
        <f t="shared" ref="X12:X14" si="2">+P12-T12</f>
        <v>-20469.510000000009</v>
      </c>
      <c r="Y12" s="4"/>
      <c r="Z12" s="12">
        <f t="shared" ref="Z12:Z14" si="3">IF(T12=0,0,X12/T12)</f>
        <v>-4.3329636502216794E-2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--17862.44</f>
        <v>17862.439999999999</v>
      </c>
      <c r="E13" s="2"/>
      <c r="F13" s="19"/>
      <c r="G13" s="2"/>
      <c r="H13" s="2">
        <f>--20129.46</f>
        <v>20129.46</v>
      </c>
      <c r="I13" s="2"/>
      <c r="J13" s="19"/>
      <c r="K13" s="2"/>
      <c r="L13" s="2">
        <f t="shared" si="0"/>
        <v>-2267.0200000000004</v>
      </c>
      <c r="M13" s="2"/>
      <c r="N13" s="19">
        <f t="shared" si="1"/>
        <v>-0.11262199780818763</v>
      </c>
      <c r="O13" s="11"/>
      <c r="P13" s="2">
        <f>--136597.24</f>
        <v>136597.24</v>
      </c>
      <c r="Q13" s="2"/>
      <c r="R13" s="19"/>
      <c r="S13" s="2"/>
      <c r="T13" s="2">
        <f>--158496.78</f>
        <v>158496.78</v>
      </c>
      <c r="U13" s="2"/>
      <c r="V13" s="19"/>
      <c r="W13" s="2"/>
      <c r="X13" s="2">
        <f t="shared" si="2"/>
        <v>-21899.540000000008</v>
      </c>
      <c r="Y13" s="2"/>
      <c r="Z13" s="19">
        <f t="shared" si="3"/>
        <v>-0.13817025178681869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--37307.66</f>
        <v>37307.660000000003</v>
      </c>
      <c r="E14" s="2"/>
      <c r="F14" s="19"/>
      <c r="G14" s="2"/>
      <c r="H14" s="2">
        <f>--47536.75</f>
        <v>47536.75</v>
      </c>
      <c r="I14" s="2"/>
      <c r="J14" s="19"/>
      <c r="K14" s="2"/>
      <c r="L14" s="2">
        <f t="shared" si="0"/>
        <v>-10229.089999999997</v>
      </c>
      <c r="M14" s="2"/>
      <c r="N14" s="19">
        <f t="shared" si="1"/>
        <v>-0.21518277963891089</v>
      </c>
      <c r="O14" s="11"/>
      <c r="P14" s="2">
        <f>--315346.86</f>
        <v>315346.86</v>
      </c>
      <c r="Q14" s="2"/>
      <c r="R14" s="19"/>
      <c r="S14" s="2"/>
      <c r="T14" s="2">
        <f>--313916.83</f>
        <v>313916.83</v>
      </c>
      <c r="U14" s="2"/>
      <c r="V14" s="19"/>
      <c r="W14" s="2"/>
      <c r="X14" s="2">
        <f t="shared" si="2"/>
        <v>1430.0299999999697</v>
      </c>
      <c r="Y14" s="2"/>
      <c r="Z14" s="19">
        <f t="shared" si="3"/>
        <v>4.555442280682975E-3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17782.25</v>
      </c>
      <c r="E16" s="4"/>
      <c r="F16" s="12">
        <f t="shared" ref="F16:F18" si="4">IF(D$12=0,0,D16/D$12)</f>
        <v>0.3223167984107333</v>
      </c>
      <c r="G16" s="4"/>
      <c r="H16" s="4">
        <f>SUM(OSRRefH16x_0)</f>
        <v>22397.37</v>
      </c>
      <c r="I16" s="4"/>
      <c r="J16" s="12">
        <f t="shared" ref="J16:J18" si="5">IF(H$12=0,0,H16/H$12)</f>
        <v>0.33099784959139872</v>
      </c>
      <c r="K16" s="4"/>
      <c r="L16" s="4">
        <f t="shared" ref="L16:L18" si="6">+D16-H16</f>
        <v>-4615.119999999999</v>
      </c>
      <c r="M16" s="4"/>
      <c r="N16" s="12">
        <f t="shared" ref="N16:N18" si="7">IF(H16=0,0,L16/H16)</f>
        <v>-0.20605633607874493</v>
      </c>
      <c r="O16" s="10"/>
      <c r="P16" s="4">
        <f>SUM(OSRRefP16x_0)</f>
        <v>145629.57</v>
      </c>
      <c r="Q16" s="4"/>
      <c r="R16" s="12">
        <f t="shared" ref="R16:R18" si="8">IF(P$12=0,0,P16/P$12)</f>
        <v>0.3222291650670957</v>
      </c>
      <c r="S16" s="4"/>
      <c r="T16" s="4">
        <f>SUM(OSRRefT16x_0)</f>
        <v>153065.09</v>
      </c>
      <c r="U16" s="4"/>
      <c r="V16" s="12">
        <f t="shared" ref="V16:V18" si="9">IF(T$12=0,0,T16/T$12)</f>
        <v>0.32400652047260026</v>
      </c>
      <c r="W16" s="4"/>
      <c r="X16" s="4">
        <f t="shared" ref="X16:X18" si="10">+P16-T16</f>
        <v>-7435.5199999999895</v>
      </c>
      <c r="Y16" s="4"/>
      <c r="Z16" s="12">
        <f t="shared" ref="Z16:Z18" si="11">IF(T16=0,0,X16/T16)</f>
        <v>-4.8577503857999166E-2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17149.25</v>
      </c>
      <c r="E17" s="2"/>
      <c r="F17" s="19">
        <f t="shared" si="4"/>
        <v>0.31084319223637435</v>
      </c>
      <c r="G17" s="2"/>
      <c r="H17" s="2">
        <v>19610.37</v>
      </c>
      <c r="I17" s="2"/>
      <c r="J17" s="19">
        <f t="shared" si="5"/>
        <v>0.28981037950847255</v>
      </c>
      <c r="K17" s="2"/>
      <c r="L17" s="2">
        <f t="shared" si="6"/>
        <v>-2461.119999999999</v>
      </c>
      <c r="M17" s="2"/>
      <c r="N17" s="19">
        <f t="shared" si="7"/>
        <v>-0.12550094669299963</v>
      </c>
      <c r="O17" s="11"/>
      <c r="P17" s="2">
        <v>144336.57</v>
      </c>
      <c r="Q17" s="2"/>
      <c r="R17" s="19">
        <f t="shared" si="8"/>
        <v>0.3193681917741597</v>
      </c>
      <c r="S17" s="2"/>
      <c r="T17" s="2">
        <v>147063.09</v>
      </c>
      <c r="U17" s="2"/>
      <c r="V17" s="19">
        <f t="shared" si="9"/>
        <v>0.31130155204461618</v>
      </c>
      <c r="W17" s="2"/>
      <c r="X17" s="2">
        <f t="shared" si="10"/>
        <v>-2726.5199999999895</v>
      </c>
      <c r="Y17" s="2"/>
      <c r="Z17" s="19">
        <f t="shared" si="11"/>
        <v>-1.8539798123376774E-2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633</v>
      </c>
      <c r="E18" s="2"/>
      <c r="F18" s="19">
        <f t="shared" si="4"/>
        <v>1.1473606174358936E-2</v>
      </c>
      <c r="G18" s="2"/>
      <c r="H18" s="2">
        <v>2787</v>
      </c>
      <c r="I18" s="2"/>
      <c r="J18" s="19">
        <f t="shared" si="5"/>
        <v>4.1187470082926184E-2</v>
      </c>
      <c r="K18" s="2"/>
      <c r="L18" s="2">
        <f t="shared" si="6"/>
        <v>-2154</v>
      </c>
      <c r="M18" s="2"/>
      <c r="N18" s="19">
        <f t="shared" si="7"/>
        <v>-0.77287405812701826</v>
      </c>
      <c r="O18" s="11"/>
      <c r="P18" s="2">
        <v>1293</v>
      </c>
      <c r="Q18" s="2"/>
      <c r="R18" s="19">
        <f t="shared" si="8"/>
        <v>2.8609732929360072E-3</v>
      </c>
      <c r="S18" s="2"/>
      <c r="T18" s="2">
        <v>6002</v>
      </c>
      <c r="U18" s="2"/>
      <c r="V18" s="19">
        <f t="shared" si="9"/>
        <v>1.2704968427984114E-2</v>
      </c>
      <c r="W18" s="2"/>
      <c r="X18" s="2">
        <f t="shared" si="10"/>
        <v>-4709</v>
      </c>
      <c r="Y18" s="2"/>
      <c r="Z18" s="19">
        <f t="shared" si="11"/>
        <v>-0.78457180939686766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37387.850000000006</v>
      </c>
      <c r="E20" s="14"/>
      <c r="F20" s="21">
        <f>IF(D$12=0,0,D20/D$12)</f>
        <v>0.67768320158926665</v>
      </c>
      <c r="G20" s="14"/>
      <c r="H20" s="20">
        <f>H12-H16</f>
        <v>45268.84</v>
      </c>
      <c r="I20" s="14"/>
      <c r="J20" s="21">
        <f>IF(H$12=0,0,H20/H$12)</f>
        <v>0.66900215040860134</v>
      </c>
      <c r="K20" s="15"/>
      <c r="L20" s="20">
        <f>+D20-H20</f>
        <v>-7880.9899999999907</v>
      </c>
      <c r="M20" s="15"/>
      <c r="N20" s="21">
        <f>IF(H20=0,0,L20/H20)</f>
        <v>-0.17409304059922878</v>
      </c>
      <c r="O20" s="28"/>
      <c r="P20" s="20">
        <f>P12-P16</f>
        <v>306314.52999999997</v>
      </c>
      <c r="Q20" s="14"/>
      <c r="R20" s="21">
        <f>IF(P$12=0,0,P20/P$12)</f>
        <v>0.67777083493290424</v>
      </c>
      <c r="S20" s="14"/>
      <c r="T20" s="20">
        <f>T12-T16</f>
        <v>319348.52</v>
      </c>
      <c r="U20" s="14"/>
      <c r="V20" s="21">
        <f>IF(T$12=0,0,T20/T$12)</f>
        <v>0.67599347952739974</v>
      </c>
      <c r="W20" s="15"/>
      <c r="X20" s="20">
        <f>+P20-T20</f>
        <v>-13033.990000000049</v>
      </c>
      <c r="Y20" s="15"/>
      <c r="Z20" s="21">
        <f>IF(T20=0,0,X20/T20)</f>
        <v>-4.0814311586601523E-2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71596.25</v>
      </c>
      <c r="E22" s="22"/>
      <c r="F22" s="33">
        <f t="shared" ref="F22:F31" si="12">IF(D$12=0,0,D22/D$12)</f>
        <v>1.2977364550725845</v>
      </c>
      <c r="G22" s="22"/>
      <c r="H22" s="22">
        <f>SUM(OSRRefH22x_0)</f>
        <v>62088.880000000012</v>
      </c>
      <c r="I22" s="22"/>
      <c r="J22" s="33">
        <f t="shared" ref="J22:J31" si="13">IF(H$12=0,0,H22/H$12)</f>
        <v>0.9175758476793664</v>
      </c>
      <c r="K22" s="4"/>
      <c r="L22" s="22">
        <f t="shared" ref="L22:L31" si="14">+D22-H22</f>
        <v>9507.3699999999881</v>
      </c>
      <c r="M22" s="4"/>
      <c r="N22" s="33">
        <f t="shared" ref="N22:N31" si="15">IF(H22=0,0,L22/H22)</f>
        <v>0.15312516508592178</v>
      </c>
      <c r="O22" s="10"/>
      <c r="P22" s="22">
        <f>SUM(OSRRefP22x_0)</f>
        <v>425177.25</v>
      </c>
      <c r="Q22" s="22"/>
      <c r="R22" s="33">
        <f t="shared" ref="R22:R31" si="16">IF(P$12=0,0,P22/P$12)</f>
        <v>0.94077398067592877</v>
      </c>
      <c r="S22" s="22"/>
      <c r="T22" s="22">
        <f>SUM(OSRRefT22x_0)</f>
        <v>397059.14000000007</v>
      </c>
      <c r="U22" s="22"/>
      <c r="V22" s="33">
        <f t="shared" ref="V22:V31" si="17">IF(T$12=0,0,T22/T$12)</f>
        <v>0.84049047613171024</v>
      </c>
      <c r="W22" s="4"/>
      <c r="X22" s="22">
        <f t="shared" ref="X22:X31" si="18">+P22-T22</f>
        <v>28118.109999999928</v>
      </c>
      <c r="Y22" s="4"/>
      <c r="Z22" s="33">
        <f t="shared" ref="Z22:Z31" si="19">IF(T22=0,0,X22/T22)</f>
        <v>7.0815924297826072E-2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7417.6</v>
      </c>
      <c r="E23" s="1"/>
      <c r="F23" s="5">
        <f t="shared" si="12"/>
        <v>0.13444963848171382</v>
      </c>
      <c r="G23" s="1"/>
      <c r="H23" s="1">
        <f>SUM(OSRRefH22_0x_0)</f>
        <v>7350.39</v>
      </c>
      <c r="I23" s="1"/>
      <c r="J23" s="5">
        <f t="shared" si="13"/>
        <v>0.10862718630170068</v>
      </c>
      <c r="K23" s="1"/>
      <c r="L23" s="1">
        <f t="shared" si="14"/>
        <v>67.210000000000036</v>
      </c>
      <c r="M23" s="1"/>
      <c r="N23" s="5">
        <f t="shared" si="15"/>
        <v>9.1437325094314761E-3</v>
      </c>
      <c r="O23" s="13"/>
      <c r="P23" s="1">
        <f>SUM(OSRRefP22_0x_0)</f>
        <v>49381.210000000006</v>
      </c>
      <c r="Q23" s="1"/>
      <c r="R23" s="5">
        <f t="shared" si="16"/>
        <v>0.10926397755828654</v>
      </c>
      <c r="S23" s="1"/>
      <c r="T23" s="1">
        <f>SUM(OSRRefT22_0x_0)</f>
        <v>45567.759999999995</v>
      </c>
      <c r="U23" s="1"/>
      <c r="V23" s="5">
        <f t="shared" si="17"/>
        <v>9.6457339575800952E-2</v>
      </c>
      <c r="W23" s="1"/>
      <c r="X23" s="1">
        <f t="shared" si="18"/>
        <v>3813.4500000000116</v>
      </c>
      <c r="Y23" s="1"/>
      <c r="Z23" s="5">
        <f t="shared" si="19"/>
        <v>8.3687457974673585E-2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1134.81</v>
      </c>
      <c r="E24" s="2"/>
      <c r="F24" s="7">
        <f t="shared" si="12"/>
        <v>2.0569293874761869E-2</v>
      </c>
      <c r="G24" s="2"/>
      <c r="H24" s="6">
        <v>1059.25</v>
      </c>
      <c r="I24" s="2"/>
      <c r="J24" s="7">
        <f t="shared" si="13"/>
        <v>1.5654046532235219E-2</v>
      </c>
      <c r="K24" s="2"/>
      <c r="L24" s="6">
        <f t="shared" si="14"/>
        <v>75.559999999999945</v>
      </c>
      <c r="M24" s="2"/>
      <c r="N24" s="7">
        <f t="shared" si="15"/>
        <v>7.133349067736601E-2</v>
      </c>
      <c r="O24" s="11"/>
      <c r="P24" s="6">
        <v>8652.19</v>
      </c>
      <c r="Q24" s="2"/>
      <c r="R24" s="7">
        <f t="shared" si="16"/>
        <v>1.9144380909054907E-2</v>
      </c>
      <c r="S24" s="2"/>
      <c r="T24" s="6">
        <v>8014.4</v>
      </c>
      <c r="U24" s="2"/>
      <c r="V24" s="7">
        <f t="shared" si="17"/>
        <v>1.6964794896573789E-2</v>
      </c>
      <c r="W24" s="2"/>
      <c r="X24" s="6">
        <f t="shared" si="18"/>
        <v>637.79000000000087</v>
      </c>
      <c r="Y24" s="2"/>
      <c r="Z24" s="7">
        <f t="shared" si="19"/>
        <v>7.9580505090836612E-2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1156.3599999999999</v>
      </c>
      <c r="E25" s="2"/>
      <c r="F25" s="7">
        <f t="shared" si="12"/>
        <v>2.0959904005974247E-2</v>
      </c>
      <c r="G25" s="2"/>
      <c r="H25" s="6">
        <v>1022.84</v>
      </c>
      <c r="I25" s="2"/>
      <c r="J25" s="7">
        <f t="shared" si="13"/>
        <v>1.511596408310736E-2</v>
      </c>
      <c r="K25" s="2"/>
      <c r="L25" s="6">
        <f t="shared" si="14"/>
        <v>133.51999999999987</v>
      </c>
      <c r="M25" s="2"/>
      <c r="N25" s="7">
        <f t="shared" si="15"/>
        <v>0.13053850064526207</v>
      </c>
      <c r="O25" s="11"/>
      <c r="P25" s="6">
        <v>4320.75</v>
      </c>
      <c r="Q25" s="2"/>
      <c r="R25" s="7">
        <f t="shared" si="16"/>
        <v>9.5603637706521676E-3</v>
      </c>
      <c r="S25" s="2"/>
      <c r="T25" s="6">
        <v>5232.72</v>
      </c>
      <c r="U25" s="2"/>
      <c r="V25" s="7">
        <f t="shared" si="17"/>
        <v>1.1076564877121131E-2</v>
      </c>
      <c r="W25" s="2"/>
      <c r="X25" s="6">
        <f t="shared" si="18"/>
        <v>-911.97000000000025</v>
      </c>
      <c r="Y25" s="2"/>
      <c r="Z25" s="7">
        <f t="shared" si="19"/>
        <v>-0.17428220887033899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3090.03</v>
      </c>
      <c r="E26" s="2"/>
      <c r="F26" s="7">
        <f t="shared" si="12"/>
        <v>5.600914263341919E-2</v>
      </c>
      <c r="G26" s="2"/>
      <c r="H26" s="6">
        <v>3401.61</v>
      </c>
      <c r="I26" s="2"/>
      <c r="J26" s="7">
        <f t="shared" si="13"/>
        <v>5.0270437785713142E-2</v>
      </c>
      <c r="K26" s="2"/>
      <c r="L26" s="6">
        <f t="shared" si="14"/>
        <v>-311.57999999999993</v>
      </c>
      <c r="M26" s="2"/>
      <c r="N26" s="7">
        <f t="shared" si="15"/>
        <v>-9.1597802217185373E-2</v>
      </c>
      <c r="O26" s="11"/>
      <c r="P26" s="6">
        <v>18540.5</v>
      </c>
      <c r="Q26" s="2"/>
      <c r="R26" s="7">
        <f t="shared" si="16"/>
        <v>4.1023878838112947E-2</v>
      </c>
      <c r="S26" s="2"/>
      <c r="T26" s="6">
        <v>18266.27</v>
      </c>
      <c r="U26" s="2"/>
      <c r="V26" s="7">
        <f t="shared" si="17"/>
        <v>3.8665841993840953E-2</v>
      </c>
      <c r="W26" s="2"/>
      <c r="X26" s="6">
        <f t="shared" si="18"/>
        <v>274.22999999999956</v>
      </c>
      <c r="Y26" s="2"/>
      <c r="Z26" s="7">
        <f t="shared" si="19"/>
        <v>1.501291725130525E-2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77.489999999999995</v>
      </c>
      <c r="E27" s="2"/>
      <c r="F27" s="7">
        <f t="shared" si="12"/>
        <v>1.4045651539511435E-3</v>
      </c>
      <c r="G27" s="2"/>
      <c r="H27" s="6">
        <v>75.98</v>
      </c>
      <c r="I27" s="2"/>
      <c r="J27" s="7">
        <f t="shared" si="13"/>
        <v>1.1228647208111702E-3</v>
      </c>
      <c r="K27" s="2"/>
      <c r="L27" s="6">
        <f t="shared" si="14"/>
        <v>1.5099999999999909</v>
      </c>
      <c r="M27" s="2"/>
      <c r="N27" s="7">
        <f t="shared" si="15"/>
        <v>1.9873650960779032E-2</v>
      </c>
      <c r="O27" s="11"/>
      <c r="P27" s="6">
        <v>388.13</v>
      </c>
      <c r="Q27" s="2"/>
      <c r="R27" s="7">
        <f t="shared" si="16"/>
        <v>8.5880090037683868E-4</v>
      </c>
      <c r="S27" s="2"/>
      <c r="T27" s="6">
        <v>388.71</v>
      </c>
      <c r="U27" s="2"/>
      <c r="V27" s="7">
        <f t="shared" si="17"/>
        <v>8.2281710723787146E-4</v>
      </c>
      <c r="W27" s="2"/>
      <c r="X27" s="6">
        <f t="shared" si="18"/>
        <v>-0.57999999999998408</v>
      </c>
      <c r="Y27" s="2"/>
      <c r="Z27" s="7">
        <f t="shared" si="19"/>
        <v>-1.4921149443029099E-3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523.63</v>
      </c>
      <c r="E28" s="2"/>
      <c r="F28" s="7">
        <f t="shared" si="12"/>
        <v>9.4911917868555594E-3</v>
      </c>
      <c r="G28" s="2"/>
      <c r="H28" s="6">
        <v>471.44</v>
      </c>
      <c r="I28" s="2"/>
      <c r="J28" s="7">
        <f t="shared" si="13"/>
        <v>6.9671406156780477E-3</v>
      </c>
      <c r="K28" s="2"/>
      <c r="L28" s="6">
        <f t="shared" si="14"/>
        <v>52.19</v>
      </c>
      <c r="M28" s="2"/>
      <c r="N28" s="7">
        <f t="shared" si="15"/>
        <v>0.11070337688783302</v>
      </c>
      <c r="O28" s="11"/>
      <c r="P28" s="6">
        <v>3690.71</v>
      </c>
      <c r="Q28" s="2"/>
      <c r="R28" s="7">
        <f t="shared" si="16"/>
        <v>8.1662975575961718E-3</v>
      </c>
      <c r="S28" s="2"/>
      <c r="T28" s="6">
        <v>3486.52</v>
      </c>
      <c r="U28" s="2"/>
      <c r="V28" s="7">
        <f t="shared" si="17"/>
        <v>7.3802276780298524E-3</v>
      </c>
      <c r="W28" s="2"/>
      <c r="X28" s="6">
        <f t="shared" si="18"/>
        <v>204.19000000000005</v>
      </c>
      <c r="Y28" s="2"/>
      <c r="Z28" s="7">
        <f t="shared" si="19"/>
        <v>5.8565561075226889E-2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714.17</v>
      </c>
      <c r="E29" s="2"/>
      <c r="F29" s="7">
        <f t="shared" si="12"/>
        <v>1.2944874125658644E-2</v>
      </c>
      <c r="G29" s="2"/>
      <c r="H29" s="6">
        <v>658.1</v>
      </c>
      <c r="I29" s="2"/>
      <c r="J29" s="7">
        <f t="shared" si="13"/>
        <v>9.725681399918808E-3</v>
      </c>
      <c r="K29" s="2"/>
      <c r="L29" s="6">
        <f t="shared" si="14"/>
        <v>56.069999999999936</v>
      </c>
      <c r="M29" s="2"/>
      <c r="N29" s="7">
        <f t="shared" si="15"/>
        <v>8.5199817656890955E-2</v>
      </c>
      <c r="O29" s="11"/>
      <c r="P29" s="6">
        <v>5817.57</v>
      </c>
      <c r="Q29" s="2"/>
      <c r="R29" s="7">
        <f t="shared" si="16"/>
        <v>1.2872322041597623E-2</v>
      </c>
      <c r="S29" s="2"/>
      <c r="T29" s="6">
        <v>4716.6099999999997</v>
      </c>
      <c r="U29" s="2"/>
      <c r="V29" s="7">
        <f t="shared" si="17"/>
        <v>9.9840688332412768E-3</v>
      </c>
      <c r="W29" s="2"/>
      <c r="X29" s="6">
        <f t="shared" si="18"/>
        <v>1100.96</v>
      </c>
      <c r="Y29" s="2"/>
      <c r="Z29" s="7">
        <f t="shared" si="19"/>
        <v>0.23342188563396171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392.9</v>
      </c>
      <c r="E30" s="2"/>
      <c r="F30" s="7">
        <f t="shared" si="12"/>
        <v>7.121611162568129E-3</v>
      </c>
      <c r="G30" s="2"/>
      <c r="H30" s="6">
        <v>383.14</v>
      </c>
      <c r="I30" s="2"/>
      <c r="J30" s="7">
        <f t="shared" si="13"/>
        <v>5.6622057006000485E-3</v>
      </c>
      <c r="K30" s="2"/>
      <c r="L30" s="6">
        <f t="shared" si="14"/>
        <v>9.7599999999999909</v>
      </c>
      <c r="M30" s="2"/>
      <c r="N30" s="7">
        <f t="shared" si="15"/>
        <v>2.5473717179098999E-2</v>
      </c>
      <c r="O30" s="11"/>
      <c r="P30" s="6">
        <v>5996.78</v>
      </c>
      <c r="Q30" s="2"/>
      <c r="R30" s="7">
        <f t="shared" si="16"/>
        <v>1.3268853382531158E-2</v>
      </c>
      <c r="S30" s="2"/>
      <c r="T30" s="6">
        <v>3721.61</v>
      </c>
      <c r="U30" s="2"/>
      <c r="V30" s="7">
        <f t="shared" si="17"/>
        <v>7.8778636373325484E-3</v>
      </c>
      <c r="W30" s="2"/>
      <c r="X30" s="6">
        <f t="shared" si="18"/>
        <v>2275.1699999999996</v>
      </c>
      <c r="Y30" s="2"/>
      <c r="Z30" s="7">
        <f t="shared" si="19"/>
        <v>0.61134025327747921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328.21</v>
      </c>
      <c r="E31" s="2"/>
      <c r="F31" s="7">
        <f t="shared" si="12"/>
        <v>5.9490557385250336E-3</v>
      </c>
      <c r="G31" s="2"/>
      <c r="H31" s="6">
        <v>278.02999999999997</v>
      </c>
      <c r="I31" s="2"/>
      <c r="J31" s="7">
        <f t="shared" si="13"/>
        <v>4.1088454636368727E-3</v>
      </c>
      <c r="K31" s="2"/>
      <c r="L31" s="6">
        <f t="shared" si="14"/>
        <v>50.180000000000007</v>
      </c>
      <c r="M31" s="2"/>
      <c r="N31" s="7">
        <f t="shared" si="15"/>
        <v>0.18048412041865991</v>
      </c>
      <c r="O31" s="11"/>
      <c r="P31" s="6">
        <v>1974.58</v>
      </c>
      <c r="Q31" s="2"/>
      <c r="R31" s="7">
        <f t="shared" si="16"/>
        <v>4.3690801583647181E-3</v>
      </c>
      <c r="S31" s="2"/>
      <c r="T31" s="6">
        <v>1740.92</v>
      </c>
      <c r="U31" s="2"/>
      <c r="V31" s="7">
        <f t="shared" si="17"/>
        <v>3.6851605524235429E-3</v>
      </c>
      <c r="W31" s="2"/>
      <c r="X31" s="6">
        <f t="shared" si="18"/>
        <v>233.65999999999985</v>
      </c>
      <c r="Y31" s="2"/>
      <c r="Z31" s="7">
        <f t="shared" si="19"/>
        <v>0.13421639133331792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18348.879999999997</v>
      </c>
      <c r="E32" s="1"/>
      <c r="F32" s="5">
        <f t="shared" ref="F32:F38" si="20">IF(D$12=0,0,D32/D$12)</f>
        <v>0.33258739788399866</v>
      </c>
      <c r="G32" s="1"/>
      <c r="H32" s="1">
        <f>SUM(OSRRefH22_1x_0)</f>
        <v>19022.91</v>
      </c>
      <c r="I32" s="1"/>
      <c r="J32" s="5">
        <f t="shared" ref="J32:J38" si="21">IF(H$12=0,0,H32/H$12)</f>
        <v>0.28112864604061616</v>
      </c>
      <c r="K32" s="1"/>
      <c r="L32" s="1">
        <f t="shared" ref="L32:L38" si="22">+D32-H32</f>
        <v>-674.03000000000247</v>
      </c>
      <c r="M32" s="1"/>
      <c r="N32" s="5">
        <f t="shared" ref="N32:N38" si="23">IF(H32=0,0,L32/H32)</f>
        <v>-3.5432538975372456E-2</v>
      </c>
      <c r="O32" s="13"/>
      <c r="P32" s="1">
        <f>SUM(OSRRefP22_1x_0)</f>
        <v>142555.15</v>
      </c>
      <c r="Q32" s="1"/>
      <c r="R32" s="5">
        <f t="shared" ref="R32:R38" si="24">IF(P$12=0,0,P32/P$12)</f>
        <v>0.31542650960594465</v>
      </c>
      <c r="S32" s="1"/>
      <c r="T32" s="1">
        <f>SUM(OSRRefT22_1x_0)</f>
        <v>135837.04</v>
      </c>
      <c r="U32" s="1"/>
      <c r="V32" s="5">
        <f t="shared" ref="V32:V38" si="25">IF(T$12=0,0,T32/T$12)</f>
        <v>0.28753837130136878</v>
      </c>
      <c r="W32" s="1"/>
      <c r="X32" s="1">
        <f t="shared" ref="X32:X38" si="26">+P32-T32</f>
        <v>6718.109999999986</v>
      </c>
      <c r="Y32" s="1"/>
      <c r="Z32" s="5">
        <f t="shared" ref="Z32:Z38" si="27">IF(T32=0,0,X32/T32)</f>
        <v>4.9457128924481758E-2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4610.76</v>
      </c>
      <c r="E33" s="2"/>
      <c r="F33" s="7">
        <f t="shared" si="20"/>
        <v>8.3573529864908708E-2</v>
      </c>
      <c r="G33" s="2"/>
      <c r="H33" s="6">
        <v>4760.03</v>
      </c>
      <c r="I33" s="2"/>
      <c r="J33" s="7">
        <f t="shared" si="21"/>
        <v>7.0345745683111263E-2</v>
      </c>
      <c r="K33" s="2"/>
      <c r="L33" s="6">
        <f t="shared" si="22"/>
        <v>-149.26999999999953</v>
      </c>
      <c r="M33" s="2"/>
      <c r="N33" s="7">
        <f t="shared" si="23"/>
        <v>-3.1359046056432319E-2</v>
      </c>
      <c r="O33" s="11"/>
      <c r="P33" s="6">
        <v>31215.09</v>
      </c>
      <c r="Q33" s="2"/>
      <c r="R33" s="7">
        <f t="shared" si="24"/>
        <v>6.9068475503939533E-2</v>
      </c>
      <c r="S33" s="2"/>
      <c r="T33" s="6">
        <v>29889.58</v>
      </c>
      <c r="U33" s="2"/>
      <c r="V33" s="7">
        <f t="shared" si="25"/>
        <v>6.3269938391487077E-2</v>
      </c>
      <c r="W33" s="2"/>
      <c r="X33" s="6">
        <f t="shared" si="26"/>
        <v>1325.5099999999984</v>
      </c>
      <c r="Y33" s="2"/>
      <c r="Z33" s="7">
        <f t="shared" si="27"/>
        <v>4.4346892796753863E-2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2716.16</v>
      </c>
      <c r="E34" s="2"/>
      <c r="F34" s="7">
        <f t="shared" si="20"/>
        <v>4.923246468648778E-2</v>
      </c>
      <c r="G34" s="2"/>
      <c r="H34" s="6">
        <v>3113.18</v>
      </c>
      <c r="I34" s="2"/>
      <c r="J34" s="7">
        <f t="shared" si="21"/>
        <v>4.600789670353933E-2</v>
      </c>
      <c r="K34" s="2"/>
      <c r="L34" s="6">
        <f t="shared" si="22"/>
        <v>-397.02</v>
      </c>
      <c r="M34" s="2"/>
      <c r="N34" s="7">
        <f t="shared" si="23"/>
        <v>-0.12752876479997943</v>
      </c>
      <c r="O34" s="11"/>
      <c r="P34" s="6">
        <v>19705.449999999997</v>
      </c>
      <c r="Q34" s="2"/>
      <c r="R34" s="7">
        <f t="shared" si="24"/>
        <v>4.3601520630538154E-2</v>
      </c>
      <c r="S34" s="2"/>
      <c r="T34" s="6">
        <v>19518.52</v>
      </c>
      <c r="U34" s="2"/>
      <c r="V34" s="7">
        <f t="shared" si="25"/>
        <v>4.1316591196430608E-2</v>
      </c>
      <c r="W34" s="2"/>
      <c r="X34" s="6">
        <f t="shared" si="26"/>
        <v>186.92999999999665</v>
      </c>
      <c r="Y34" s="2"/>
      <c r="Z34" s="7">
        <f t="shared" si="27"/>
        <v>9.5770580966178104E-3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6301.13</v>
      </c>
      <c r="E35" s="2"/>
      <c r="F35" s="7">
        <f t="shared" si="20"/>
        <v>0.11421277104808582</v>
      </c>
      <c r="G35" s="2"/>
      <c r="H35" s="6">
        <v>5290.56</v>
      </c>
      <c r="I35" s="2"/>
      <c r="J35" s="7">
        <f t="shared" si="21"/>
        <v>7.8186143423726567E-2</v>
      </c>
      <c r="K35" s="2"/>
      <c r="L35" s="6">
        <f t="shared" si="22"/>
        <v>1010.5699999999997</v>
      </c>
      <c r="M35" s="2"/>
      <c r="N35" s="7">
        <f t="shared" si="23"/>
        <v>0.19101380572188947</v>
      </c>
      <c r="O35" s="11"/>
      <c r="P35" s="6">
        <v>45616.43</v>
      </c>
      <c r="Q35" s="2"/>
      <c r="R35" s="7">
        <f t="shared" si="24"/>
        <v>0.10093378805033631</v>
      </c>
      <c r="S35" s="2"/>
      <c r="T35" s="6">
        <v>37160.86</v>
      </c>
      <c r="U35" s="2"/>
      <c r="V35" s="7">
        <f t="shared" si="25"/>
        <v>7.8661704941142579E-2</v>
      </c>
      <c r="W35" s="2"/>
      <c r="X35" s="6">
        <f t="shared" si="26"/>
        <v>8455.57</v>
      </c>
      <c r="Y35" s="2"/>
      <c r="Z35" s="7">
        <f t="shared" si="27"/>
        <v>0.2275396748083871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264.38</v>
      </c>
      <c r="I36" s="2"/>
      <c r="J36" s="7">
        <f t="shared" si="21"/>
        <v>3.9071199643071486E-3</v>
      </c>
      <c r="K36" s="2"/>
      <c r="L36" s="6">
        <f t="shared" si="22"/>
        <v>-264.38</v>
      </c>
      <c r="M36" s="2"/>
      <c r="N36" s="7">
        <f t="shared" si="23"/>
        <v>-1</v>
      </c>
      <c r="O36" s="11"/>
      <c r="P36" s="6">
        <v>200.5</v>
      </c>
      <c r="Q36" s="2"/>
      <c r="R36" s="7">
        <f t="shared" si="24"/>
        <v>4.4363893676231198E-4</v>
      </c>
      <c r="S36" s="2"/>
      <c r="T36" s="6">
        <v>484.69</v>
      </c>
      <c r="U36" s="2"/>
      <c r="V36" s="7">
        <f t="shared" si="25"/>
        <v>1.0259865290502533E-3</v>
      </c>
      <c r="W36" s="2"/>
      <c r="X36" s="6">
        <f t="shared" si="26"/>
        <v>-284.19</v>
      </c>
      <c r="Y36" s="2"/>
      <c r="Z36" s="7">
        <f t="shared" si="27"/>
        <v>-0.58633353277352529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4720.83</v>
      </c>
      <c r="E37" s="2"/>
      <c r="F37" s="7">
        <f t="shared" si="20"/>
        <v>8.5568632284516416E-2</v>
      </c>
      <c r="G37" s="2"/>
      <c r="H37" s="6">
        <v>5034.2</v>
      </c>
      <c r="I37" s="2"/>
      <c r="J37" s="7">
        <f t="shared" si="21"/>
        <v>7.4397546426791167E-2</v>
      </c>
      <c r="K37" s="2"/>
      <c r="L37" s="6">
        <f t="shared" si="22"/>
        <v>-313.36999999999989</v>
      </c>
      <c r="M37" s="2"/>
      <c r="N37" s="7">
        <f t="shared" si="23"/>
        <v>-6.2248222160422688E-2</v>
      </c>
      <c r="O37" s="11"/>
      <c r="P37" s="6">
        <v>45817.68</v>
      </c>
      <c r="Q37" s="2"/>
      <c r="R37" s="7">
        <f t="shared" si="24"/>
        <v>0.10137908648436832</v>
      </c>
      <c r="S37" s="2"/>
      <c r="T37" s="6">
        <v>47104.140000000007</v>
      </c>
      <c r="U37" s="2"/>
      <c r="V37" s="7">
        <f t="shared" si="25"/>
        <v>9.970953207719821E-2</v>
      </c>
      <c r="W37" s="2"/>
      <c r="X37" s="6">
        <f t="shared" si="26"/>
        <v>-1286.4600000000064</v>
      </c>
      <c r="Y37" s="2"/>
      <c r="Z37" s="7">
        <f t="shared" si="27"/>
        <v>-2.7310975213643774E-2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560.55999999999995</v>
      </c>
      <c r="I38" s="2"/>
      <c r="J38" s="7">
        <f t="shared" si="21"/>
        <v>8.284193839140688E-3</v>
      </c>
      <c r="K38" s="2"/>
      <c r="L38" s="6">
        <f t="shared" si="22"/>
        <v>-560.55999999999995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1679.25</v>
      </c>
      <c r="U38" s="2"/>
      <c r="V38" s="7">
        <f t="shared" si="25"/>
        <v>3.5546181660600336E-3</v>
      </c>
      <c r="W38" s="2"/>
      <c r="X38" s="6">
        <f t="shared" si="26"/>
        <v>-1679.25</v>
      </c>
      <c r="Y38" s="2"/>
      <c r="Z38" s="7">
        <f t="shared" si="27"/>
        <v>-1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552.72</v>
      </c>
      <c r="E39" s="1"/>
      <c r="F39" s="5">
        <f t="shared" ref="F39:F47" si="28">IF(D$12=0,0,D39/D$12)</f>
        <v>1.0018470149591898E-2</v>
      </c>
      <c r="G39" s="1"/>
      <c r="H39" s="1">
        <f>SUM(OSRRefH22_2x_0)</f>
        <v>511.82</v>
      </c>
      <c r="I39" s="1"/>
      <c r="J39" s="5">
        <f t="shared" ref="J39:J47" si="29">IF(H$12=0,0,H39/H$12)</f>
        <v>7.5638934114974085E-3</v>
      </c>
      <c r="K39" s="1"/>
      <c r="L39" s="1">
        <f t="shared" ref="L39:L47" si="30">+D39-H39</f>
        <v>40.900000000000034</v>
      </c>
      <c r="M39" s="1"/>
      <c r="N39" s="5">
        <f t="shared" ref="N39:N47" si="31">IF(H39=0,0,L39/H39)</f>
        <v>7.9910906177953253E-2</v>
      </c>
      <c r="O39" s="13"/>
      <c r="P39" s="1">
        <f>SUM(OSRRefP22_2x_0)</f>
        <v>3794.37</v>
      </c>
      <c r="Q39" s="1"/>
      <c r="R39" s="5">
        <f t="shared" ref="R39:R47" si="32">IF(P$12=0,0,P39/P$12)</f>
        <v>8.395662206896826E-3</v>
      </c>
      <c r="S39" s="1"/>
      <c r="T39" s="1">
        <f>SUM(OSRRefT22_2x_0)</f>
        <v>2368.7199999999998</v>
      </c>
      <c r="U39" s="1"/>
      <c r="V39" s="5">
        <f t="shared" ref="V39:V47" si="33">IF(T$12=0,0,T39/T$12)</f>
        <v>5.0140807755305779E-3</v>
      </c>
      <c r="W39" s="1"/>
      <c r="X39" s="1">
        <f t="shared" ref="X39:X47" si="34">+P39-T39</f>
        <v>1425.65</v>
      </c>
      <c r="Y39" s="1"/>
      <c r="Z39" s="5">
        <f t="shared" ref="Z39:Z47" si="35">IF(T39=0,0,X39/T39)</f>
        <v>0.60186514235536503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552.72</v>
      </c>
      <c r="E40" s="2"/>
      <c r="F40" s="7">
        <f t="shared" si="28"/>
        <v>1.0018470149591898E-2</v>
      </c>
      <c r="G40" s="2"/>
      <c r="H40" s="6">
        <v>511.82</v>
      </c>
      <c r="I40" s="2"/>
      <c r="J40" s="7">
        <f t="shared" si="29"/>
        <v>7.5638934114974085E-3</v>
      </c>
      <c r="K40" s="2"/>
      <c r="L40" s="6">
        <f t="shared" si="30"/>
        <v>40.900000000000034</v>
      </c>
      <c r="M40" s="2"/>
      <c r="N40" s="7">
        <f t="shared" si="31"/>
        <v>7.9910906177953253E-2</v>
      </c>
      <c r="O40" s="11"/>
      <c r="P40" s="6">
        <v>3794.37</v>
      </c>
      <c r="Q40" s="2"/>
      <c r="R40" s="7">
        <f t="shared" si="32"/>
        <v>8.395662206896826E-3</v>
      </c>
      <c r="S40" s="2"/>
      <c r="T40" s="6">
        <v>2368.7199999999998</v>
      </c>
      <c r="U40" s="2"/>
      <c r="V40" s="7">
        <f t="shared" si="33"/>
        <v>5.0140807755305779E-3</v>
      </c>
      <c r="W40" s="2"/>
      <c r="X40" s="6">
        <f t="shared" si="34"/>
        <v>1425.65</v>
      </c>
      <c r="Y40" s="2"/>
      <c r="Z40" s="7">
        <f t="shared" si="35"/>
        <v>0.60186514235536503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-5.72</v>
      </c>
      <c r="E41" s="1"/>
      <c r="F41" s="5">
        <f t="shared" si="28"/>
        <v>-1.0367934805265894E-4</v>
      </c>
      <c r="G41" s="1"/>
      <c r="H41" s="1">
        <f>SUM(OSRRefH22_3x_0)</f>
        <v>-1.18</v>
      </c>
      <c r="I41" s="1"/>
      <c r="J41" s="5">
        <f t="shared" si="29"/>
        <v>-1.7438541333998167E-5</v>
      </c>
      <c r="K41" s="1"/>
      <c r="L41" s="1">
        <f t="shared" si="30"/>
        <v>-4.54</v>
      </c>
      <c r="M41" s="1"/>
      <c r="N41" s="5">
        <f t="shared" si="31"/>
        <v>3.8474576271186445</v>
      </c>
      <c r="O41" s="13"/>
      <c r="P41" s="1">
        <f>SUM(OSRRefP22_3x_0)</f>
        <v>-17.309999999999999</v>
      </c>
      <c r="Q41" s="1"/>
      <c r="R41" s="5">
        <f t="shared" si="32"/>
        <v>-3.8301196984317311E-5</v>
      </c>
      <c r="S41" s="1"/>
      <c r="T41" s="1">
        <f>SUM(OSRRefT22_3x_0)</f>
        <v>49.29</v>
      </c>
      <c r="U41" s="1"/>
      <c r="V41" s="5">
        <f t="shared" si="33"/>
        <v>1.0433653679029273E-4</v>
      </c>
      <c r="W41" s="1"/>
      <c r="X41" s="1">
        <f t="shared" si="34"/>
        <v>-66.599999999999994</v>
      </c>
      <c r="Y41" s="1"/>
      <c r="Z41" s="5">
        <f t="shared" si="35"/>
        <v>-1.3511868533171028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-5.72</v>
      </c>
      <c r="E42" s="2"/>
      <c r="F42" s="7">
        <f t="shared" si="28"/>
        <v>-1.0367934805265894E-4</v>
      </c>
      <c r="G42" s="2"/>
      <c r="H42" s="6">
        <v>-1.18</v>
      </c>
      <c r="I42" s="2"/>
      <c r="J42" s="7">
        <f t="shared" si="29"/>
        <v>-1.7438541333998167E-5</v>
      </c>
      <c r="K42" s="2"/>
      <c r="L42" s="6">
        <f t="shared" si="30"/>
        <v>-4.54</v>
      </c>
      <c r="M42" s="2"/>
      <c r="N42" s="7">
        <f t="shared" si="31"/>
        <v>3.8474576271186445</v>
      </c>
      <c r="O42" s="11"/>
      <c r="P42" s="6">
        <v>-17.309999999999999</v>
      </c>
      <c r="Q42" s="2"/>
      <c r="R42" s="7">
        <f t="shared" si="32"/>
        <v>-3.8301196984317311E-5</v>
      </c>
      <c r="S42" s="2"/>
      <c r="T42" s="6">
        <v>49.29</v>
      </c>
      <c r="U42" s="2"/>
      <c r="V42" s="7">
        <f t="shared" si="33"/>
        <v>1.0433653679029273E-4</v>
      </c>
      <c r="W42" s="2"/>
      <c r="X42" s="6">
        <f t="shared" si="34"/>
        <v>-66.599999999999994</v>
      </c>
      <c r="Y42" s="2"/>
      <c r="Z42" s="7">
        <f t="shared" si="35"/>
        <v>-1.3511868533171028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4396.76</v>
      </c>
      <c r="E43" s="1"/>
      <c r="F43" s="5">
        <f t="shared" si="28"/>
        <v>7.9694617193008521E-2</v>
      </c>
      <c r="G43" s="1"/>
      <c r="H43" s="1">
        <f>SUM(OSRRefH22_4x_0)</f>
        <v>5121.5600000000004</v>
      </c>
      <c r="I43" s="1"/>
      <c r="J43" s="5">
        <f t="shared" si="29"/>
        <v>7.5688589622501412E-2</v>
      </c>
      <c r="K43" s="1"/>
      <c r="L43" s="1">
        <f t="shared" si="30"/>
        <v>-724.80000000000018</v>
      </c>
      <c r="M43" s="1"/>
      <c r="N43" s="5">
        <f t="shared" si="31"/>
        <v>-0.14151938081365836</v>
      </c>
      <c r="O43" s="13"/>
      <c r="P43" s="1">
        <f>SUM(OSRRefP22_4x_0)</f>
        <v>19249.47</v>
      </c>
      <c r="Q43" s="1"/>
      <c r="R43" s="5">
        <f t="shared" si="32"/>
        <v>4.2592590543830536E-2</v>
      </c>
      <c r="S43" s="1"/>
      <c r="T43" s="1">
        <f>SUM(OSRRefT22_4x_0)</f>
        <v>19656.59</v>
      </c>
      <c r="U43" s="1"/>
      <c r="V43" s="5">
        <f t="shared" si="33"/>
        <v>4.1608856273213639E-2</v>
      </c>
      <c r="W43" s="1"/>
      <c r="X43" s="1">
        <f t="shared" si="34"/>
        <v>-407.11999999999898</v>
      </c>
      <c r="Y43" s="1"/>
      <c r="Z43" s="5">
        <f t="shared" si="35"/>
        <v>-2.0711629026194216E-2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4396.76</v>
      </c>
      <c r="E44" s="2"/>
      <c r="F44" s="7">
        <f t="shared" si="28"/>
        <v>7.9694617193008521E-2</v>
      </c>
      <c r="G44" s="2"/>
      <c r="H44" s="6">
        <v>5121.5600000000004</v>
      </c>
      <c r="I44" s="2"/>
      <c r="J44" s="7">
        <f t="shared" si="29"/>
        <v>7.5688589622501412E-2</v>
      </c>
      <c r="K44" s="2"/>
      <c r="L44" s="6">
        <f t="shared" si="30"/>
        <v>-724.80000000000018</v>
      </c>
      <c r="M44" s="2"/>
      <c r="N44" s="7">
        <f t="shared" si="31"/>
        <v>-0.14151938081365836</v>
      </c>
      <c r="O44" s="11"/>
      <c r="P44" s="6">
        <v>19249.47</v>
      </c>
      <c r="Q44" s="2"/>
      <c r="R44" s="7">
        <f t="shared" si="32"/>
        <v>4.2592590543830536E-2</v>
      </c>
      <c r="S44" s="2"/>
      <c r="T44" s="6">
        <v>19656.59</v>
      </c>
      <c r="U44" s="2"/>
      <c r="V44" s="7">
        <f t="shared" si="33"/>
        <v>4.1608856273213639E-2</v>
      </c>
      <c r="W44" s="2"/>
      <c r="X44" s="6">
        <f t="shared" si="34"/>
        <v>-407.11999999999898</v>
      </c>
      <c r="Y44" s="2"/>
      <c r="Z44" s="7">
        <f t="shared" si="35"/>
        <v>-2.0711629026194216E-2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13580.689999999999</v>
      </c>
      <c r="E45" s="1"/>
      <c r="F45" s="5">
        <f t="shared" si="28"/>
        <v>0.2461603295988225</v>
      </c>
      <c r="G45" s="1"/>
      <c r="H45" s="1">
        <f>SUM(OSRRefH22_5x_0)</f>
        <v>13266.9</v>
      </c>
      <c r="I45" s="1"/>
      <c r="J45" s="5">
        <f t="shared" si="29"/>
        <v>0.19606388476611888</v>
      </c>
      <c r="K45" s="1"/>
      <c r="L45" s="1">
        <f t="shared" si="30"/>
        <v>313.78999999999905</v>
      </c>
      <c r="M45" s="1"/>
      <c r="N45" s="5">
        <f t="shared" si="31"/>
        <v>2.3652096571165761E-2</v>
      </c>
      <c r="O45" s="13"/>
      <c r="P45" s="1">
        <f>SUM(OSRRefP22_5x_0)</f>
        <v>79915.239999999991</v>
      </c>
      <c r="Q45" s="1"/>
      <c r="R45" s="5">
        <f t="shared" si="32"/>
        <v>0.17682549678157097</v>
      </c>
      <c r="S45" s="1"/>
      <c r="T45" s="1">
        <f>SUM(OSRRefT22_5x_0)</f>
        <v>79601.399999999994</v>
      </c>
      <c r="U45" s="1"/>
      <c r="V45" s="5">
        <f t="shared" si="33"/>
        <v>0.16849937917749661</v>
      </c>
      <c r="W45" s="1"/>
      <c r="X45" s="1">
        <f t="shared" si="34"/>
        <v>313.83999999999651</v>
      </c>
      <c r="Y45" s="1"/>
      <c r="Z45" s="5">
        <f t="shared" si="35"/>
        <v>3.9426442248502733E-3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10612.46</v>
      </c>
      <c r="E46" s="2"/>
      <c r="F46" s="7">
        <f t="shared" si="28"/>
        <v>0.1923589045515596</v>
      </c>
      <c r="G46" s="2"/>
      <c r="H46" s="6">
        <v>10612.46</v>
      </c>
      <c r="I46" s="2"/>
      <c r="J46" s="7">
        <f t="shared" si="29"/>
        <v>0.15683544268254421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63674.759999999995</v>
      </c>
      <c r="Q46" s="2"/>
      <c r="R46" s="7">
        <f t="shared" si="32"/>
        <v>0.14089078715708425</v>
      </c>
      <c r="S46" s="2"/>
      <c r="T46" s="6">
        <v>63674.759999999995</v>
      </c>
      <c r="U46" s="2"/>
      <c r="V46" s="7">
        <f t="shared" si="33"/>
        <v>0.1347860405630566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2968.23</v>
      </c>
      <c r="E47" s="2"/>
      <c r="F47" s="7">
        <f t="shared" si="28"/>
        <v>5.3801425047262916E-2</v>
      </c>
      <c r="G47" s="2"/>
      <c r="H47" s="6">
        <v>2654.44</v>
      </c>
      <c r="I47" s="2"/>
      <c r="J47" s="7">
        <f t="shared" si="29"/>
        <v>3.9228442083574656E-2</v>
      </c>
      <c r="K47" s="2"/>
      <c r="L47" s="6">
        <f t="shared" si="30"/>
        <v>313.78999999999996</v>
      </c>
      <c r="M47" s="2"/>
      <c r="N47" s="7">
        <f t="shared" si="31"/>
        <v>0.11821325778695316</v>
      </c>
      <c r="O47" s="11"/>
      <c r="P47" s="6">
        <v>16240.48</v>
      </c>
      <c r="Q47" s="2"/>
      <c r="R47" s="7">
        <f t="shared" si="32"/>
        <v>3.5934709624486749E-2</v>
      </c>
      <c r="S47" s="2"/>
      <c r="T47" s="6">
        <v>15926.64</v>
      </c>
      <c r="U47" s="2"/>
      <c r="V47" s="7">
        <f t="shared" si="33"/>
        <v>3.3713338614440001E-2</v>
      </c>
      <c r="W47" s="2"/>
      <c r="X47" s="6">
        <f t="shared" si="34"/>
        <v>313.84000000000015</v>
      </c>
      <c r="Y47" s="2"/>
      <c r="Z47" s="7">
        <f t="shared" si="35"/>
        <v>1.9705349025280924E-2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12.63</v>
      </c>
      <c r="E48" s="1"/>
      <c r="F48" s="5">
        <f t="shared" ref="F48:F61" si="36">IF(D$12=0,0,D48/D$12)</f>
        <v>2.2892835068270674E-4</v>
      </c>
      <c r="G48" s="1"/>
      <c r="H48" s="1">
        <f>SUM(OSRRefH22_6x_0)</f>
        <v>22.4</v>
      </c>
      <c r="I48" s="1"/>
      <c r="J48" s="5">
        <f t="shared" ref="J48:J61" si="37">IF(H$12=0,0,H48/H$12)</f>
        <v>3.3103671684877873E-4</v>
      </c>
      <c r="K48" s="1"/>
      <c r="L48" s="1">
        <f t="shared" ref="L48:L61" si="38">+D48-H48</f>
        <v>-9.7699999999999978</v>
      </c>
      <c r="M48" s="1"/>
      <c r="N48" s="5">
        <f t="shared" ref="N48:N61" si="39">IF(H48=0,0,L48/H48)</f>
        <v>-0.43616071428571423</v>
      </c>
      <c r="O48" s="13"/>
      <c r="P48" s="1">
        <f>SUM(OSRRefP22_6x_0)</f>
        <v>96.36</v>
      </c>
      <c r="Q48" s="1"/>
      <c r="R48" s="5">
        <f t="shared" ref="R48:R61" si="40">IF(P$12=0,0,P48/P$12)</f>
        <v>2.1321220920905926E-4</v>
      </c>
      <c r="S48" s="1"/>
      <c r="T48" s="1">
        <f>SUM(OSRRefT22_6x_0)</f>
        <v>99.37</v>
      </c>
      <c r="U48" s="1"/>
      <c r="V48" s="5">
        <f t="shared" ref="V48:V61" si="41">IF(T$12=0,0,T48/T$12)</f>
        <v>2.1034533700246274E-4</v>
      </c>
      <c r="W48" s="1"/>
      <c r="X48" s="1">
        <f t="shared" ref="X48:X61" si="42">+P48-T48</f>
        <v>-3.0100000000000051</v>
      </c>
      <c r="Y48" s="1"/>
      <c r="Z48" s="5">
        <f t="shared" ref="Z48:Z61" si="43">IF(T48=0,0,X48/T48)</f>
        <v>-3.0290832243131779E-2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>
        <v>12.63</v>
      </c>
      <c r="E49" s="2"/>
      <c r="F49" s="7">
        <f t="shared" si="36"/>
        <v>2.2892835068270674E-4</v>
      </c>
      <c r="G49" s="2"/>
      <c r="H49" s="6">
        <v>22.4</v>
      </c>
      <c r="I49" s="2"/>
      <c r="J49" s="7">
        <f t="shared" si="37"/>
        <v>3.3103671684877873E-4</v>
      </c>
      <c r="K49" s="2"/>
      <c r="L49" s="6">
        <f t="shared" si="38"/>
        <v>-9.7699999999999978</v>
      </c>
      <c r="M49" s="2"/>
      <c r="N49" s="7">
        <f t="shared" si="39"/>
        <v>-0.43616071428571423</v>
      </c>
      <c r="O49" s="11"/>
      <c r="P49" s="6">
        <v>96.36</v>
      </c>
      <c r="Q49" s="2"/>
      <c r="R49" s="7">
        <f t="shared" si="40"/>
        <v>2.1321220920905926E-4</v>
      </c>
      <c r="S49" s="2"/>
      <c r="T49" s="6">
        <v>99.37</v>
      </c>
      <c r="U49" s="2"/>
      <c r="V49" s="7">
        <f t="shared" si="41"/>
        <v>2.1034533700246274E-4</v>
      </c>
      <c r="W49" s="2"/>
      <c r="X49" s="6">
        <f t="shared" si="42"/>
        <v>-3.0100000000000051</v>
      </c>
      <c r="Y49" s="2"/>
      <c r="Z49" s="7">
        <f t="shared" si="43"/>
        <v>-3.0290832243131779E-2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95.04</v>
      </c>
      <c r="E50" s="1"/>
      <c r="F50" s="5">
        <f t="shared" si="36"/>
        <v>1.7226722445672564E-3</v>
      </c>
      <c r="G50" s="1"/>
      <c r="H50" s="1">
        <f>SUM(OSRRefH22_7x_0)</f>
        <v>84.51</v>
      </c>
      <c r="I50" s="1"/>
      <c r="J50" s="5">
        <f t="shared" si="37"/>
        <v>1.2489246848611738E-3</v>
      </c>
      <c r="K50" s="1"/>
      <c r="L50" s="1">
        <f t="shared" si="38"/>
        <v>10.530000000000001</v>
      </c>
      <c r="M50" s="1"/>
      <c r="N50" s="5">
        <f t="shared" si="39"/>
        <v>0.12460063897763579</v>
      </c>
      <c r="O50" s="13"/>
      <c r="P50" s="1">
        <f>SUM(OSRRefP22_7x_0)</f>
        <v>668.96</v>
      </c>
      <c r="Q50" s="1"/>
      <c r="R50" s="5">
        <f t="shared" si="40"/>
        <v>1.4801830580374875E-3</v>
      </c>
      <c r="S50" s="1"/>
      <c r="T50" s="1">
        <f>SUM(OSRRefT22_7x_0)</f>
        <v>823.28</v>
      </c>
      <c r="U50" s="1"/>
      <c r="V50" s="5">
        <f t="shared" si="41"/>
        <v>1.7427101645102901E-3</v>
      </c>
      <c r="W50" s="1"/>
      <c r="X50" s="1">
        <f t="shared" si="42"/>
        <v>-154.31999999999994</v>
      </c>
      <c r="Y50" s="1"/>
      <c r="Z50" s="5">
        <f t="shared" si="43"/>
        <v>-0.18744534058886397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95.04</v>
      </c>
      <c r="E51" s="2"/>
      <c r="F51" s="7">
        <f t="shared" si="36"/>
        <v>1.7226722445672564E-3</v>
      </c>
      <c r="G51" s="2"/>
      <c r="H51" s="6">
        <v>84.51</v>
      </c>
      <c r="I51" s="2"/>
      <c r="J51" s="7">
        <f t="shared" si="37"/>
        <v>1.2489246848611738E-3</v>
      </c>
      <c r="K51" s="2"/>
      <c r="L51" s="6">
        <f t="shared" si="38"/>
        <v>10.530000000000001</v>
      </c>
      <c r="M51" s="2"/>
      <c r="N51" s="7">
        <f t="shared" si="39"/>
        <v>0.12460063897763579</v>
      </c>
      <c r="O51" s="11"/>
      <c r="P51" s="6">
        <v>668.96</v>
      </c>
      <c r="Q51" s="2"/>
      <c r="R51" s="7">
        <f t="shared" si="40"/>
        <v>1.4801830580374875E-3</v>
      </c>
      <c r="S51" s="2"/>
      <c r="T51" s="6">
        <v>823.28</v>
      </c>
      <c r="U51" s="2"/>
      <c r="V51" s="7">
        <f t="shared" si="41"/>
        <v>1.7427101645102901E-3</v>
      </c>
      <c r="W51" s="2"/>
      <c r="X51" s="6">
        <f t="shared" si="42"/>
        <v>-154.31999999999994</v>
      </c>
      <c r="Y51" s="2"/>
      <c r="Z51" s="7">
        <f t="shared" si="43"/>
        <v>-0.18744534058886397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455</v>
      </c>
      <c r="E52" s="1"/>
      <c r="F52" s="5">
        <f t="shared" si="36"/>
        <v>8.2472208678251429E-3</v>
      </c>
      <c r="G52" s="1"/>
      <c r="H52" s="1">
        <f>SUM(OSRRefH22_8x_0)</f>
        <v>406</v>
      </c>
      <c r="I52" s="1"/>
      <c r="J52" s="5">
        <f t="shared" si="37"/>
        <v>6.0000404928841154E-3</v>
      </c>
      <c r="K52" s="1"/>
      <c r="L52" s="1">
        <f t="shared" si="38"/>
        <v>49</v>
      </c>
      <c r="M52" s="1"/>
      <c r="N52" s="5">
        <f t="shared" si="39"/>
        <v>0.1206896551724138</v>
      </c>
      <c r="O52" s="13"/>
      <c r="P52" s="1">
        <f>SUM(OSRRefP22_8x_0)</f>
        <v>1826.61</v>
      </c>
      <c r="Q52" s="1"/>
      <c r="R52" s="5">
        <f t="shared" si="40"/>
        <v>4.0416724103711056E-3</v>
      </c>
      <c r="S52" s="1"/>
      <c r="T52" s="1">
        <f>SUM(OSRRefT22_8x_0)</f>
        <v>2037.97</v>
      </c>
      <c r="U52" s="1"/>
      <c r="V52" s="5">
        <f t="shared" si="41"/>
        <v>4.3139527669408175E-3</v>
      </c>
      <c r="W52" s="1"/>
      <c r="X52" s="1">
        <f t="shared" si="42"/>
        <v>-211.36000000000013</v>
      </c>
      <c r="Y52" s="1"/>
      <c r="Z52" s="5">
        <f t="shared" si="43"/>
        <v>-0.10371104579557114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>
        <v>455</v>
      </c>
      <c r="E53" s="2"/>
      <c r="F53" s="7">
        <f t="shared" si="36"/>
        <v>8.2472208678251429E-3</v>
      </c>
      <c r="G53" s="2"/>
      <c r="H53" s="6">
        <v>406</v>
      </c>
      <c r="I53" s="2"/>
      <c r="J53" s="7">
        <f t="shared" si="37"/>
        <v>6.0000404928841154E-3</v>
      </c>
      <c r="K53" s="2"/>
      <c r="L53" s="6">
        <f t="shared" si="38"/>
        <v>49</v>
      </c>
      <c r="M53" s="2"/>
      <c r="N53" s="7">
        <f t="shared" si="39"/>
        <v>0.1206896551724138</v>
      </c>
      <c r="O53" s="11"/>
      <c r="P53" s="6">
        <v>1826.61</v>
      </c>
      <c r="Q53" s="2"/>
      <c r="R53" s="7">
        <f t="shared" si="40"/>
        <v>4.0416724103711056E-3</v>
      </c>
      <c r="S53" s="2"/>
      <c r="T53" s="6">
        <v>2037.97</v>
      </c>
      <c r="U53" s="2"/>
      <c r="V53" s="7">
        <f t="shared" si="41"/>
        <v>4.3139527669408175E-3</v>
      </c>
      <c r="W53" s="2"/>
      <c r="X53" s="6">
        <f t="shared" si="42"/>
        <v>-211.36000000000013</v>
      </c>
      <c r="Y53" s="2"/>
      <c r="Z53" s="7">
        <f t="shared" si="43"/>
        <v>-0.10371104579557114</v>
      </c>
    </row>
    <row r="54" spans="1:26" s="27" customFormat="1" outlineLevel="1" collapsed="1" x14ac:dyDescent="0.25">
      <c r="A54" s="25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641.28</v>
      </c>
      <c r="E54" s="1"/>
      <c r="F54" s="5">
        <f t="shared" si="36"/>
        <v>1.1623687468393203E-2</v>
      </c>
      <c r="G54" s="1"/>
      <c r="H54" s="1">
        <f>SUM(OSRRefH22_9x_0)</f>
        <v>604.16</v>
      </c>
      <c r="I54" s="1"/>
      <c r="J54" s="5">
        <f t="shared" si="37"/>
        <v>8.9285331630070616E-3</v>
      </c>
      <c r="K54" s="1"/>
      <c r="L54" s="1">
        <f t="shared" si="38"/>
        <v>37.120000000000005</v>
      </c>
      <c r="M54" s="1"/>
      <c r="N54" s="5">
        <f t="shared" si="39"/>
        <v>6.1440677966101705E-2</v>
      </c>
      <c r="O54" s="13"/>
      <c r="P54" s="1">
        <f>SUM(OSRRefP22_9x_0)</f>
        <v>3847.68</v>
      </c>
      <c r="Q54" s="1"/>
      <c r="R54" s="5">
        <f t="shared" si="40"/>
        <v>8.513619272825998E-3</v>
      </c>
      <c r="S54" s="1"/>
      <c r="T54" s="1">
        <f>SUM(OSRRefT22_9x_0)</f>
        <v>3624.96</v>
      </c>
      <c r="U54" s="1"/>
      <c r="V54" s="5">
        <f t="shared" si="41"/>
        <v>7.6732759667952838E-3</v>
      </c>
      <c r="W54" s="1"/>
      <c r="X54" s="1">
        <f t="shared" si="42"/>
        <v>222.7199999999998</v>
      </c>
      <c r="Y54" s="1"/>
      <c r="Z54" s="5">
        <f t="shared" si="43"/>
        <v>6.1440677966101642E-2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641.28</v>
      </c>
      <c r="E55" s="2"/>
      <c r="F55" s="7">
        <f t="shared" si="36"/>
        <v>1.1623687468393203E-2</v>
      </c>
      <c r="G55" s="2"/>
      <c r="H55" s="6">
        <v>604.16</v>
      </c>
      <c r="I55" s="2"/>
      <c r="J55" s="7">
        <f t="shared" si="37"/>
        <v>8.9285331630070616E-3</v>
      </c>
      <c r="K55" s="2"/>
      <c r="L55" s="6">
        <f t="shared" si="38"/>
        <v>37.120000000000005</v>
      </c>
      <c r="M55" s="2"/>
      <c r="N55" s="7">
        <f t="shared" si="39"/>
        <v>6.1440677966101705E-2</v>
      </c>
      <c r="O55" s="11"/>
      <c r="P55" s="6">
        <v>3847.68</v>
      </c>
      <c r="Q55" s="2"/>
      <c r="R55" s="7">
        <f t="shared" si="40"/>
        <v>8.513619272825998E-3</v>
      </c>
      <c r="S55" s="2"/>
      <c r="T55" s="6">
        <v>3624.96</v>
      </c>
      <c r="U55" s="2"/>
      <c r="V55" s="7">
        <f t="shared" si="41"/>
        <v>7.6732759667952838E-3</v>
      </c>
      <c r="W55" s="2"/>
      <c r="X55" s="6">
        <f t="shared" si="42"/>
        <v>222.7199999999998</v>
      </c>
      <c r="Y55" s="2"/>
      <c r="Z55" s="7">
        <f t="shared" si="43"/>
        <v>6.1440677966101642E-2</v>
      </c>
    </row>
    <row r="56" spans="1:26" s="27" customFormat="1" outlineLevel="1" collapsed="1" x14ac:dyDescent="0.25">
      <c r="A56" s="25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7754</v>
      </c>
      <c r="E56" s="1"/>
      <c r="F56" s="5">
        <f t="shared" si="36"/>
        <v>0.1405471441958597</v>
      </c>
      <c r="G56" s="1"/>
      <c r="H56" s="1">
        <f>SUM(OSRRefH22_10x_0)</f>
        <v>7949</v>
      </c>
      <c r="I56" s="1"/>
      <c r="J56" s="5">
        <f t="shared" si="37"/>
        <v>0.1174736992067385</v>
      </c>
      <c r="K56" s="1"/>
      <c r="L56" s="1">
        <f t="shared" si="38"/>
        <v>-195</v>
      </c>
      <c r="M56" s="1"/>
      <c r="N56" s="5">
        <f t="shared" si="39"/>
        <v>-2.4531387595924017E-2</v>
      </c>
      <c r="O56" s="13"/>
      <c r="P56" s="1">
        <f>SUM(OSRRefP22_10x_0)</f>
        <v>46131.049999999996</v>
      </c>
      <c r="Q56" s="1"/>
      <c r="R56" s="5">
        <f t="shared" si="40"/>
        <v>0.10207246869690299</v>
      </c>
      <c r="S56" s="1"/>
      <c r="T56" s="1">
        <f>SUM(OSRRefT22_10x_0)</f>
        <v>47294.1</v>
      </c>
      <c r="U56" s="1"/>
      <c r="V56" s="5">
        <f t="shared" si="41"/>
        <v>0.10011163734253972</v>
      </c>
      <c r="W56" s="1"/>
      <c r="X56" s="1">
        <f t="shared" si="42"/>
        <v>-1163.0500000000029</v>
      </c>
      <c r="Y56" s="1"/>
      <c r="Z56" s="5">
        <f t="shared" si="43"/>
        <v>-2.4591862409898971E-2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6">
        <v>7754</v>
      </c>
      <c r="E57" s="2"/>
      <c r="F57" s="7">
        <f t="shared" si="36"/>
        <v>0.1405471441958597</v>
      </c>
      <c r="G57" s="2"/>
      <c r="H57" s="6">
        <v>7949</v>
      </c>
      <c r="I57" s="2"/>
      <c r="J57" s="7">
        <f t="shared" si="37"/>
        <v>0.1174736992067385</v>
      </c>
      <c r="K57" s="2"/>
      <c r="L57" s="6">
        <f t="shared" si="38"/>
        <v>-195</v>
      </c>
      <c r="M57" s="2"/>
      <c r="N57" s="7">
        <f t="shared" si="39"/>
        <v>-2.4531387595924017E-2</v>
      </c>
      <c r="O57" s="11"/>
      <c r="P57" s="6">
        <v>46131.049999999996</v>
      </c>
      <c r="Q57" s="2"/>
      <c r="R57" s="7">
        <f t="shared" si="40"/>
        <v>0.10207246869690299</v>
      </c>
      <c r="S57" s="2"/>
      <c r="T57" s="6">
        <v>47294.1</v>
      </c>
      <c r="U57" s="2"/>
      <c r="V57" s="7">
        <f t="shared" si="41"/>
        <v>0.10011163734253972</v>
      </c>
      <c r="W57" s="2"/>
      <c r="X57" s="6">
        <f t="shared" si="42"/>
        <v>-1163.0500000000029</v>
      </c>
      <c r="Y57" s="2"/>
      <c r="Z57" s="7">
        <f t="shared" si="43"/>
        <v>-2.4591862409898971E-2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3341.56</v>
      </c>
      <c r="E58" s="1"/>
      <c r="F58" s="5">
        <f t="shared" si="36"/>
        <v>6.0568315083713818E-2</v>
      </c>
      <c r="G58" s="1"/>
      <c r="H58" s="1">
        <f>SUM(OSRRefH22_11x_0)</f>
        <v>2113.84</v>
      </c>
      <c r="I58" s="1"/>
      <c r="J58" s="5">
        <f t="shared" si="37"/>
        <v>3.1239225604626008E-2</v>
      </c>
      <c r="K58" s="1"/>
      <c r="L58" s="1">
        <f t="shared" si="38"/>
        <v>1227.7199999999998</v>
      </c>
      <c r="M58" s="1"/>
      <c r="N58" s="5">
        <f t="shared" si="39"/>
        <v>0.58080081746962864</v>
      </c>
      <c r="O58" s="13"/>
      <c r="P58" s="1">
        <f>SUM(OSRRefP22_11x_0)</f>
        <v>19082.010000000002</v>
      </c>
      <c r="Q58" s="1"/>
      <c r="R58" s="5">
        <f t="shared" si="40"/>
        <v>4.2222057993455395E-2</v>
      </c>
      <c r="S58" s="1"/>
      <c r="T58" s="1">
        <f>SUM(OSRRefT22_11x_0)</f>
        <v>10656.58</v>
      </c>
      <c r="U58" s="1"/>
      <c r="V58" s="5">
        <f t="shared" si="41"/>
        <v>2.25577328307709E-2</v>
      </c>
      <c r="W58" s="1"/>
      <c r="X58" s="1">
        <f t="shared" si="42"/>
        <v>8425.4300000000021</v>
      </c>
      <c r="Y58" s="1"/>
      <c r="Z58" s="5">
        <f t="shared" si="43"/>
        <v>0.79063170360472146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2623.84</v>
      </c>
      <c r="Q59" s="2"/>
      <c r="R59" s="7">
        <f t="shared" si="40"/>
        <v>5.8056737547851614E-3</v>
      </c>
      <c r="S59" s="2"/>
      <c r="T59" s="6">
        <v>171.43</v>
      </c>
      <c r="U59" s="2"/>
      <c r="V59" s="7">
        <f t="shared" si="41"/>
        <v>3.6288116254737032E-4</v>
      </c>
      <c r="W59" s="2"/>
      <c r="X59" s="6">
        <f t="shared" si="42"/>
        <v>2452.4100000000003</v>
      </c>
      <c r="Y59" s="2"/>
      <c r="Z59" s="7">
        <f t="shared" si="43"/>
        <v>14.305605786618447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>
        <v>1861.03</v>
      </c>
      <c r="E60" s="2"/>
      <c r="F60" s="7">
        <f t="shared" si="36"/>
        <v>3.373258341021676E-2</v>
      </c>
      <c r="G60" s="2"/>
      <c r="H60" s="6">
        <v>101.2</v>
      </c>
      <c r="I60" s="2"/>
      <c r="J60" s="7">
        <f t="shared" si="37"/>
        <v>1.4955765957632328E-3</v>
      </c>
      <c r="K60" s="2"/>
      <c r="L60" s="6">
        <f t="shared" si="38"/>
        <v>1759.83</v>
      </c>
      <c r="M60" s="2"/>
      <c r="N60" s="7">
        <f t="shared" si="39"/>
        <v>17.389624505928854</v>
      </c>
      <c r="O60" s="11"/>
      <c r="P60" s="6">
        <v>3768.74</v>
      </c>
      <c r="Q60" s="2"/>
      <c r="R60" s="7">
        <f t="shared" si="40"/>
        <v>8.3389516535341424E-3</v>
      </c>
      <c r="S60" s="2"/>
      <c r="T60" s="6">
        <v>202.4</v>
      </c>
      <c r="U60" s="2"/>
      <c r="V60" s="7">
        <f t="shared" si="41"/>
        <v>4.2843812226324305E-4</v>
      </c>
      <c r="W60" s="2"/>
      <c r="X60" s="6">
        <f t="shared" si="42"/>
        <v>3566.3399999999997</v>
      </c>
      <c r="Y60" s="2"/>
      <c r="Z60" s="7">
        <f t="shared" si="43"/>
        <v>17.620256916996045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1480.53</v>
      </c>
      <c r="E61" s="2"/>
      <c r="F61" s="7">
        <f t="shared" si="36"/>
        <v>2.6835731673497055E-2</v>
      </c>
      <c r="G61" s="2"/>
      <c r="H61" s="6">
        <v>2012.64</v>
      </c>
      <c r="I61" s="2"/>
      <c r="J61" s="7">
        <f t="shared" si="37"/>
        <v>2.9743649008862776E-2</v>
      </c>
      <c r="K61" s="2"/>
      <c r="L61" s="6">
        <f t="shared" si="38"/>
        <v>-532.11000000000013</v>
      </c>
      <c r="M61" s="2"/>
      <c r="N61" s="7">
        <f t="shared" si="39"/>
        <v>-0.26438409253517775</v>
      </c>
      <c r="O61" s="11"/>
      <c r="P61" s="6">
        <v>12689.43</v>
      </c>
      <c r="Q61" s="2"/>
      <c r="R61" s="7">
        <f t="shared" si="40"/>
        <v>2.8077432585136085E-2</v>
      </c>
      <c r="S61" s="2"/>
      <c r="T61" s="6">
        <v>10282.75</v>
      </c>
      <c r="U61" s="2"/>
      <c r="V61" s="7">
        <f t="shared" si="41"/>
        <v>2.1766413545960286E-2</v>
      </c>
      <c r="W61" s="2"/>
      <c r="X61" s="6">
        <f t="shared" si="42"/>
        <v>2406.6800000000003</v>
      </c>
      <c r="Y61" s="2"/>
      <c r="Z61" s="7">
        <f t="shared" si="43"/>
        <v>0.23405022975371378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6009.67</v>
      </c>
      <c r="E62" s="1"/>
      <c r="F62" s="5">
        <f t="shared" ref="F62:F67" si="44">IF(D$12=0,0,D62/D$12)</f>
        <v>0.10892983699503897</v>
      </c>
      <c r="G62" s="1"/>
      <c r="H62" s="1">
        <f>SUM(OSRRefH22_12x_0)</f>
        <v>798.47</v>
      </c>
      <c r="I62" s="1"/>
      <c r="J62" s="5">
        <f t="shared" ref="J62:J67" si="45">IF(H$12=0,0,H62/H$12)</f>
        <v>1.1800128897421625E-2</v>
      </c>
      <c r="K62" s="1"/>
      <c r="L62" s="1">
        <f t="shared" ref="L62:L67" si="46">+D62-H62</f>
        <v>5211.2</v>
      </c>
      <c r="M62" s="1"/>
      <c r="N62" s="5">
        <f t="shared" ref="N62:N67" si="47">IF(H62=0,0,L62/H62)</f>
        <v>6.5264818966272991</v>
      </c>
      <c r="O62" s="13"/>
      <c r="P62" s="1">
        <f>SUM(OSRRefP22_12x_0)</f>
        <v>27104.82</v>
      </c>
      <c r="Q62" s="1"/>
      <c r="R62" s="5">
        <f t="shared" ref="R62:R67" si="48">IF(P$12=0,0,P62/P$12)</f>
        <v>5.9973833047051617E-2</v>
      </c>
      <c r="S62" s="1"/>
      <c r="T62" s="1">
        <f>SUM(OSRRefT22_12x_0)</f>
        <v>21975.439999999999</v>
      </c>
      <c r="U62" s="1"/>
      <c r="V62" s="5">
        <f t="shared" ref="V62:V67" si="49">IF(T$12=0,0,T62/T$12)</f>
        <v>4.6517372774251782E-2</v>
      </c>
      <c r="W62" s="1"/>
      <c r="X62" s="1">
        <f t="shared" ref="X62:X67" si="50">+P62-T62</f>
        <v>5129.380000000001</v>
      </c>
      <c r="Y62" s="1"/>
      <c r="Z62" s="5">
        <f t="shared" ref="Z62:Z67" si="51">IF(T62=0,0,X62/T62)</f>
        <v>0.23341421150156727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657.08</v>
      </c>
      <c r="E63" s="2"/>
      <c r="F63" s="7">
        <f t="shared" si="44"/>
        <v>1.1910074478748452E-2</v>
      </c>
      <c r="G63" s="2"/>
      <c r="H63" s="6"/>
      <c r="I63" s="2"/>
      <c r="J63" s="7">
        <f t="shared" si="45"/>
        <v>0</v>
      </c>
      <c r="K63" s="2"/>
      <c r="L63" s="6">
        <f t="shared" si="46"/>
        <v>657.08</v>
      </c>
      <c r="M63" s="2"/>
      <c r="N63" s="7">
        <f t="shared" si="47"/>
        <v>0</v>
      </c>
      <c r="O63" s="11"/>
      <c r="P63" s="6">
        <v>2299.7800000000002</v>
      </c>
      <c r="Q63" s="2"/>
      <c r="R63" s="7">
        <f t="shared" si="48"/>
        <v>5.0886381744999001E-3</v>
      </c>
      <c r="S63" s="2"/>
      <c r="T63" s="6">
        <v>1642.7</v>
      </c>
      <c r="U63" s="2"/>
      <c r="V63" s="7">
        <f t="shared" si="49"/>
        <v>3.4772495229339392E-3</v>
      </c>
      <c r="W63" s="2"/>
      <c r="X63" s="6">
        <f t="shared" si="50"/>
        <v>657.08000000000015</v>
      </c>
      <c r="Y63" s="2"/>
      <c r="Z63" s="7">
        <f t="shared" si="51"/>
        <v>0.40000000000000008</v>
      </c>
    </row>
    <row r="64" spans="1:26" s="24" customFormat="1" hidden="1" outlineLevel="2" x14ac:dyDescent="0.25">
      <c r="A64" s="26"/>
      <c r="B64" s="11" t="str">
        <f>CONCATENATE("          ", "6283", " - ", "PLANT SERVICE")</f>
        <v xml:space="preserve">          6283 - PLANT SERVICE</v>
      </c>
      <c r="C64" s="11"/>
      <c r="D64" s="6"/>
      <c r="E64" s="2"/>
      <c r="F64" s="7">
        <f t="shared" si="44"/>
        <v>0</v>
      </c>
      <c r="G64" s="2"/>
      <c r="H64" s="6">
        <v>56</v>
      </c>
      <c r="I64" s="2"/>
      <c r="J64" s="7">
        <f t="shared" si="45"/>
        <v>8.2759179212194695E-4</v>
      </c>
      <c r="K64" s="2"/>
      <c r="L64" s="6">
        <f t="shared" si="46"/>
        <v>-56</v>
      </c>
      <c r="M64" s="2"/>
      <c r="N64" s="7">
        <f t="shared" si="47"/>
        <v>-1</v>
      </c>
      <c r="O64" s="11"/>
      <c r="P64" s="6">
        <v>246.2</v>
      </c>
      <c r="Q64" s="2"/>
      <c r="R64" s="7">
        <f t="shared" si="48"/>
        <v>5.4475763706175165E-4</v>
      </c>
      <c r="S64" s="2"/>
      <c r="T64" s="6">
        <v>336</v>
      </c>
      <c r="U64" s="2"/>
      <c r="V64" s="7">
        <f t="shared" si="49"/>
        <v>7.1124115158324925E-4</v>
      </c>
      <c r="W64" s="2"/>
      <c r="X64" s="6">
        <f t="shared" si="50"/>
        <v>-89.800000000000011</v>
      </c>
      <c r="Y64" s="2"/>
      <c r="Z64" s="7">
        <f t="shared" si="51"/>
        <v>-0.26726190476190481</v>
      </c>
    </row>
    <row r="65" spans="1:26" s="24" customFormat="1" hidden="1" outlineLevel="2" x14ac:dyDescent="0.25">
      <c r="A65" s="26"/>
      <c r="B65" s="11" t="str">
        <f>CONCATENATE("          ", "6284", " - ", "TRASH REMOVAL EXPENSE")</f>
        <v xml:space="preserve">          6284 - TRASH REMOVAL EXPENSE</v>
      </c>
      <c r="C65" s="11"/>
      <c r="D65" s="6">
        <v>2066</v>
      </c>
      <c r="E65" s="2"/>
      <c r="F65" s="7">
        <f t="shared" si="44"/>
        <v>3.744782046797087E-2</v>
      </c>
      <c r="G65" s="2"/>
      <c r="H65" s="6">
        <v>623</v>
      </c>
      <c r="I65" s="2"/>
      <c r="J65" s="7">
        <f t="shared" si="45"/>
        <v>9.2069586873566589E-3</v>
      </c>
      <c r="K65" s="2"/>
      <c r="L65" s="6">
        <f t="shared" si="46"/>
        <v>1443</v>
      </c>
      <c r="M65" s="2"/>
      <c r="N65" s="7">
        <f t="shared" si="47"/>
        <v>2.3162118780096308</v>
      </c>
      <c r="O65" s="11"/>
      <c r="P65" s="6">
        <v>4558</v>
      </c>
      <c r="Q65" s="2"/>
      <c r="R65" s="7">
        <f t="shared" si="48"/>
        <v>1.0085318073629017E-2</v>
      </c>
      <c r="S65" s="2"/>
      <c r="T65" s="6">
        <v>4617.82</v>
      </c>
      <c r="U65" s="2"/>
      <c r="V65" s="7">
        <f t="shared" si="49"/>
        <v>9.7749512339409522E-3</v>
      </c>
      <c r="W65" s="2"/>
      <c r="X65" s="6">
        <f t="shared" si="50"/>
        <v>-59.819999999999709</v>
      </c>
      <c r="Y65" s="2"/>
      <c r="Z65" s="7">
        <f t="shared" si="51"/>
        <v>-1.2954164519188646E-2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6">
        <v>3040.95</v>
      </c>
      <c r="E66" s="2"/>
      <c r="F66" s="7">
        <f t="shared" si="44"/>
        <v>5.5119530325303007E-2</v>
      </c>
      <c r="G66" s="2"/>
      <c r="H66" s="6"/>
      <c r="I66" s="2"/>
      <c r="J66" s="7">
        <f t="shared" si="45"/>
        <v>0</v>
      </c>
      <c r="K66" s="2"/>
      <c r="L66" s="6">
        <f t="shared" si="46"/>
        <v>3040.95</v>
      </c>
      <c r="M66" s="2"/>
      <c r="N66" s="7">
        <f t="shared" si="47"/>
        <v>0</v>
      </c>
      <c r="O66" s="11"/>
      <c r="P66" s="6">
        <v>18545.7</v>
      </c>
      <c r="Q66" s="2"/>
      <c r="R66" s="7">
        <f t="shared" si="48"/>
        <v>4.1035384685849427E-2</v>
      </c>
      <c r="S66" s="2"/>
      <c r="T66" s="6">
        <v>14487.49</v>
      </c>
      <c r="U66" s="2"/>
      <c r="V66" s="7">
        <f t="shared" si="49"/>
        <v>3.0666961521282166E-2</v>
      </c>
      <c r="W66" s="2"/>
      <c r="X66" s="6">
        <f t="shared" si="50"/>
        <v>4058.2100000000009</v>
      </c>
      <c r="Y66" s="2"/>
      <c r="Z66" s="7">
        <f t="shared" si="51"/>
        <v>0.28011822613855131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6">
        <v>245.64</v>
      </c>
      <c r="E67" s="2"/>
      <c r="F67" s="7">
        <f t="shared" si="44"/>
        <v>4.4524117230166334E-3</v>
      </c>
      <c r="G67" s="2"/>
      <c r="H67" s="6">
        <v>119.47</v>
      </c>
      <c r="I67" s="2"/>
      <c r="J67" s="7">
        <f t="shared" si="45"/>
        <v>1.7655784179430179E-3</v>
      </c>
      <c r="K67" s="2"/>
      <c r="L67" s="6">
        <f t="shared" si="46"/>
        <v>126.16999999999999</v>
      </c>
      <c r="M67" s="2"/>
      <c r="N67" s="7">
        <f t="shared" si="47"/>
        <v>1.0560810245249852</v>
      </c>
      <c r="O67" s="11"/>
      <c r="P67" s="6">
        <v>1455.14</v>
      </c>
      <c r="Q67" s="2"/>
      <c r="R67" s="7">
        <f t="shared" si="48"/>
        <v>3.2197344760115246E-3</v>
      </c>
      <c r="S67" s="2"/>
      <c r="T67" s="6">
        <v>891.43</v>
      </c>
      <c r="U67" s="2"/>
      <c r="V67" s="7">
        <f t="shared" si="49"/>
        <v>1.8869693445114758E-3</v>
      </c>
      <c r="W67" s="2"/>
      <c r="X67" s="6">
        <f t="shared" si="50"/>
        <v>563.71000000000015</v>
      </c>
      <c r="Y67" s="2"/>
      <c r="Z67" s="7">
        <f t="shared" si="51"/>
        <v>0.63236597377247816</v>
      </c>
    </row>
    <row r="68" spans="1:26" s="27" customFormat="1" outlineLevel="1" collapsed="1" x14ac:dyDescent="0.25">
      <c r="A68" s="25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SUM(OSRRefD22_13x_0)</f>
        <v>1174.71</v>
      </c>
      <c r="E68" s="1"/>
      <c r="F68" s="5">
        <f t="shared" ref="F68:F70" si="52">IF(D$12=0,0,D68/D$12)</f>
        <v>2.1292511704709614E-2</v>
      </c>
      <c r="G68" s="1"/>
      <c r="H68" s="1">
        <f>SUM(OSRRefH22_13x_0)</f>
        <v>193.71</v>
      </c>
      <c r="I68" s="1"/>
      <c r="J68" s="5">
        <f t="shared" ref="J68:J70" si="53">IF(H$12=0,0,H68/H$12)</f>
        <v>2.8627286794989707E-3</v>
      </c>
      <c r="K68" s="1"/>
      <c r="L68" s="1">
        <f t="shared" ref="L68:L70" si="54">+D68-H68</f>
        <v>981</v>
      </c>
      <c r="M68" s="1"/>
      <c r="N68" s="5">
        <f t="shared" ref="N68:N70" si="55">IF(H68=0,0,L68/H68)</f>
        <v>5.0642713334365803</v>
      </c>
      <c r="O68" s="13"/>
      <c r="P68" s="1">
        <f>SUM(OSRRefP22_13x_0)</f>
        <v>2158.2600000000002</v>
      </c>
      <c r="Q68" s="1"/>
      <c r="R68" s="5">
        <f t="shared" ref="R68:R70" si="56">IF(P$12=0,0,P68/P$12)</f>
        <v>4.7755021030255742E-3</v>
      </c>
      <c r="S68" s="1"/>
      <c r="T68" s="1">
        <f>SUM(OSRRefT22_13x_0)</f>
        <v>968.55</v>
      </c>
      <c r="U68" s="1"/>
      <c r="V68" s="5">
        <f t="shared" ref="V68:V70" si="57">IF(T$12=0,0,T68/T$12)</f>
        <v>2.0502161231129644E-3</v>
      </c>
      <c r="W68" s="1"/>
      <c r="X68" s="1">
        <f t="shared" ref="X68:X70" si="58">+P68-T68</f>
        <v>1189.7100000000003</v>
      </c>
      <c r="Y68" s="1"/>
      <c r="Z68" s="5">
        <f t="shared" ref="Z68:Z70" si="59">IF(T68=0,0,X68/T68)</f>
        <v>1.2283413349852876</v>
      </c>
    </row>
    <row r="69" spans="1:26" s="24" customFormat="1" hidden="1" outlineLevel="2" x14ac:dyDescent="0.25">
      <c r="A69" s="26"/>
      <c r="B69" s="11" t="str">
        <f>CONCATENATE("          ", "6258", " - ", "MEMBERSHIP DUES")</f>
        <v xml:space="preserve">          6258 - MEMBERSHIP DUES</v>
      </c>
      <c r="C69" s="11"/>
      <c r="D69" s="6">
        <v>978</v>
      </c>
      <c r="E69" s="2"/>
      <c r="F69" s="7">
        <f t="shared" si="52"/>
        <v>1.7726993425786791E-2</v>
      </c>
      <c r="G69" s="2"/>
      <c r="H69" s="6"/>
      <c r="I69" s="2"/>
      <c r="J69" s="7">
        <f t="shared" si="53"/>
        <v>0</v>
      </c>
      <c r="K69" s="2"/>
      <c r="L69" s="6">
        <f t="shared" si="54"/>
        <v>978</v>
      </c>
      <c r="M69" s="2"/>
      <c r="N69" s="7">
        <f t="shared" si="55"/>
        <v>0</v>
      </c>
      <c r="O69" s="11"/>
      <c r="P69" s="6">
        <v>978</v>
      </c>
      <c r="Q69" s="2"/>
      <c r="R69" s="7">
        <f t="shared" si="56"/>
        <v>2.1639844396685345E-3</v>
      </c>
      <c r="S69" s="2"/>
      <c r="T69" s="6"/>
      <c r="U69" s="2"/>
      <c r="V69" s="7">
        <f t="shared" si="57"/>
        <v>0</v>
      </c>
      <c r="W69" s="2"/>
      <c r="X69" s="6">
        <f t="shared" si="58"/>
        <v>978</v>
      </c>
      <c r="Y69" s="2"/>
      <c r="Z69" s="7">
        <f t="shared" si="59"/>
        <v>0</v>
      </c>
    </row>
    <row r="70" spans="1:26" s="24" customFormat="1" hidden="1" outlineLevel="2" x14ac:dyDescent="0.25">
      <c r="A70" s="26"/>
      <c r="B70" s="11" t="str">
        <f>CONCATENATE("          ", "6275", " - ", "SUBSCRIPTIONS")</f>
        <v xml:space="preserve">          6275 - SUBSCRIPTIONS</v>
      </c>
      <c r="C70" s="11"/>
      <c r="D70" s="6">
        <v>196.71</v>
      </c>
      <c r="E70" s="2"/>
      <c r="F70" s="7">
        <f t="shared" si="52"/>
        <v>3.5655182789228221E-3</v>
      </c>
      <c r="G70" s="2"/>
      <c r="H70" s="6">
        <v>193.71</v>
      </c>
      <c r="I70" s="2"/>
      <c r="J70" s="7">
        <f t="shared" si="53"/>
        <v>2.8627286794989707E-3</v>
      </c>
      <c r="K70" s="2"/>
      <c r="L70" s="6">
        <f t="shared" si="54"/>
        <v>3</v>
      </c>
      <c r="M70" s="2"/>
      <c r="N70" s="7">
        <f t="shared" si="55"/>
        <v>1.5487068297971194E-2</v>
      </c>
      <c r="O70" s="11"/>
      <c r="P70" s="6">
        <v>1180.26</v>
      </c>
      <c r="Q70" s="2"/>
      <c r="R70" s="7">
        <f t="shared" si="56"/>
        <v>2.6115176633570393E-3</v>
      </c>
      <c r="S70" s="2"/>
      <c r="T70" s="6">
        <v>968.55</v>
      </c>
      <c r="U70" s="2"/>
      <c r="V70" s="7">
        <f t="shared" si="57"/>
        <v>2.0502161231129644E-3</v>
      </c>
      <c r="W70" s="2"/>
      <c r="X70" s="6">
        <f t="shared" si="58"/>
        <v>211.71000000000004</v>
      </c>
      <c r="Y70" s="2"/>
      <c r="Z70" s="7">
        <f t="shared" si="59"/>
        <v>0.21858448195756547</v>
      </c>
    </row>
    <row r="71" spans="1:26" s="27" customFormat="1" outlineLevel="1" collapsed="1" x14ac:dyDescent="0.25">
      <c r="A71" s="25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SUM(OSRRefD22_14x_0)</f>
        <v>2579.98</v>
      </c>
      <c r="E71" s="1"/>
      <c r="F71" s="5">
        <f t="shared" ref="F71:F78" si="60">IF(D$12=0,0,D71/D$12)</f>
        <v>4.6764098669387945E-2</v>
      </c>
      <c r="G71" s="1"/>
      <c r="H71" s="1">
        <f>SUM(OSRRefH22_14x_0)</f>
        <v>2464.2399999999998</v>
      </c>
      <c r="I71" s="1"/>
      <c r="J71" s="5">
        <f t="shared" ref="J71:J78" si="61">IF(H$12=0,0,H71/H$12)</f>
        <v>3.6417585675331897E-2</v>
      </c>
      <c r="K71" s="1"/>
      <c r="L71" s="1">
        <f t="shared" ref="L71:L78" si="62">+D71-H71</f>
        <v>115.74000000000024</v>
      </c>
      <c r="M71" s="1"/>
      <c r="N71" s="5">
        <f t="shared" ref="N71:N78" si="63">IF(H71=0,0,L71/H71)</f>
        <v>4.6967827808979748E-2</v>
      </c>
      <c r="O71" s="13"/>
      <c r="P71" s="1">
        <f>SUM(OSRRefP22_14x_0)</f>
        <v>15155.369999999999</v>
      </c>
      <c r="Q71" s="1"/>
      <c r="R71" s="5">
        <f t="shared" ref="R71:R78" si="64">IF(P$12=0,0,P71/P$12)</f>
        <v>3.3533726848077004E-2</v>
      </c>
      <c r="S71" s="1"/>
      <c r="T71" s="1">
        <f>SUM(OSRRefT22_14x_0)</f>
        <v>16254.710000000001</v>
      </c>
      <c r="U71" s="1"/>
      <c r="V71" s="5">
        <f t="shared" ref="V71:V78" si="65">IF(T$12=0,0,T71/T$12)</f>
        <v>3.4407793628130234E-2</v>
      </c>
      <c r="W71" s="1"/>
      <c r="X71" s="1">
        <f t="shared" ref="X71:X78" si="66">+P71-T71</f>
        <v>-1099.340000000002</v>
      </c>
      <c r="Y71" s="1"/>
      <c r="Z71" s="5">
        <f t="shared" ref="Z71:Z78" si="67">IF(T71=0,0,X71/T71)</f>
        <v>-6.7632089406701318E-2</v>
      </c>
    </row>
    <row r="72" spans="1:26" s="24" customFormat="1" hidden="1" outlineLevel="2" x14ac:dyDescent="0.25">
      <c r="A72" s="26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60"/>
        <v>0</v>
      </c>
      <c r="G72" s="2"/>
      <c r="H72" s="6"/>
      <c r="I72" s="2"/>
      <c r="J72" s="7">
        <f t="shared" si="61"/>
        <v>0</v>
      </c>
      <c r="K72" s="2"/>
      <c r="L72" s="6">
        <f t="shared" si="62"/>
        <v>0</v>
      </c>
      <c r="M72" s="2"/>
      <c r="N72" s="7">
        <f t="shared" si="63"/>
        <v>0</v>
      </c>
      <c r="O72" s="11"/>
      <c r="P72" s="6">
        <v>67.72</v>
      </c>
      <c r="Q72" s="2"/>
      <c r="R72" s="7">
        <f t="shared" si="64"/>
        <v>1.498415401373754E-4</v>
      </c>
      <c r="S72" s="2"/>
      <c r="T72" s="6">
        <v>1042.92</v>
      </c>
      <c r="U72" s="2"/>
      <c r="V72" s="7">
        <f t="shared" si="65"/>
        <v>2.2076417315750069E-3</v>
      </c>
      <c r="W72" s="2"/>
      <c r="X72" s="6">
        <f t="shared" si="66"/>
        <v>-975.2</v>
      </c>
      <c r="Y72" s="2"/>
      <c r="Z72" s="7">
        <f t="shared" si="67"/>
        <v>-0.93506692747286457</v>
      </c>
    </row>
    <row r="73" spans="1:26" s="24" customFormat="1" hidden="1" outlineLevel="2" x14ac:dyDescent="0.25">
      <c r="A73" s="26"/>
      <c r="B73" s="11" t="str">
        <f>CONCATENATE("          ", "6237", " - ", "JANITORIAL SUPPLIES")</f>
        <v xml:space="preserve">          6237 - JANITORIAL SUPPLIES</v>
      </c>
      <c r="C73" s="11"/>
      <c r="D73" s="6">
        <v>2010.71</v>
      </c>
      <c r="E73" s="2"/>
      <c r="F73" s="7">
        <f t="shared" si="60"/>
        <v>3.6445647189329002E-2</v>
      </c>
      <c r="G73" s="2"/>
      <c r="H73" s="6">
        <v>1878.28</v>
      </c>
      <c r="I73" s="2"/>
      <c r="J73" s="7">
        <f t="shared" si="61"/>
        <v>2.7758019844764472E-2</v>
      </c>
      <c r="K73" s="2"/>
      <c r="L73" s="6">
        <f t="shared" si="62"/>
        <v>132.43000000000006</v>
      </c>
      <c r="M73" s="2"/>
      <c r="N73" s="7">
        <f t="shared" si="63"/>
        <v>7.0505994846348827E-2</v>
      </c>
      <c r="O73" s="11"/>
      <c r="P73" s="6">
        <v>5708.7</v>
      </c>
      <c r="Q73" s="2"/>
      <c r="R73" s="7">
        <f t="shared" si="64"/>
        <v>1.2631429417930226E-2</v>
      </c>
      <c r="S73" s="2"/>
      <c r="T73" s="6">
        <v>6166.7</v>
      </c>
      <c r="U73" s="2"/>
      <c r="V73" s="7">
        <f t="shared" si="65"/>
        <v>1.3053603599608403E-2</v>
      </c>
      <c r="W73" s="2"/>
      <c r="X73" s="6">
        <f t="shared" si="66"/>
        <v>-458</v>
      </c>
      <c r="Y73" s="2"/>
      <c r="Z73" s="7">
        <f t="shared" si="67"/>
        <v>-7.4269868811519937E-2</v>
      </c>
    </row>
    <row r="74" spans="1:26" s="24" customFormat="1" hidden="1" outlineLevel="2" x14ac:dyDescent="0.25">
      <c r="A74" s="26"/>
      <c r="B74" s="11" t="str">
        <f>CONCATENATE("          ", "6239", " - ", "KITCHEN SUPPLIES")</f>
        <v xml:space="preserve">          6239 - KITCHEN SUPPLIES</v>
      </c>
      <c r="C74" s="11"/>
      <c r="D74" s="6"/>
      <c r="E74" s="2"/>
      <c r="F74" s="7">
        <f t="shared" si="60"/>
        <v>0</v>
      </c>
      <c r="G74" s="2"/>
      <c r="H74" s="6"/>
      <c r="I74" s="2"/>
      <c r="J74" s="7">
        <f t="shared" si="61"/>
        <v>0</v>
      </c>
      <c r="K74" s="2"/>
      <c r="L74" s="6">
        <f t="shared" si="62"/>
        <v>0</v>
      </c>
      <c r="M74" s="2"/>
      <c r="N74" s="7">
        <f t="shared" si="63"/>
        <v>0</v>
      </c>
      <c r="O74" s="11"/>
      <c r="P74" s="6">
        <v>231.26</v>
      </c>
      <c r="Q74" s="2"/>
      <c r="R74" s="7">
        <f t="shared" si="64"/>
        <v>5.1170045144963725E-4</v>
      </c>
      <c r="S74" s="2"/>
      <c r="T74" s="6">
        <v>1232.3599999999999</v>
      </c>
      <c r="U74" s="2"/>
      <c r="V74" s="7">
        <f t="shared" si="65"/>
        <v>2.6086462665628959E-3</v>
      </c>
      <c r="W74" s="2"/>
      <c r="X74" s="6">
        <f t="shared" si="66"/>
        <v>-1001.0999999999999</v>
      </c>
      <c r="Y74" s="2"/>
      <c r="Z74" s="7">
        <f t="shared" si="67"/>
        <v>-0.81234379564412995</v>
      </c>
    </row>
    <row r="75" spans="1:26" s="24" customFormat="1" hidden="1" outlineLevel="2" x14ac:dyDescent="0.25">
      <c r="A75" s="26"/>
      <c r="B75" s="11" t="str">
        <f>CONCATENATE("          ", "6241", " - ", "OFFICE EXPENSE")</f>
        <v xml:space="preserve">          6241 - OFFICE EXPENSE</v>
      </c>
      <c r="C75" s="11"/>
      <c r="D75" s="6">
        <v>313.06</v>
      </c>
      <c r="E75" s="2"/>
      <c r="F75" s="7">
        <f t="shared" si="60"/>
        <v>5.6744504722666799E-3</v>
      </c>
      <c r="G75" s="2"/>
      <c r="H75" s="6">
        <v>83.99</v>
      </c>
      <c r="I75" s="2"/>
      <c r="J75" s="7">
        <f t="shared" si="61"/>
        <v>1.241239903934327E-3</v>
      </c>
      <c r="K75" s="2"/>
      <c r="L75" s="6">
        <f t="shared" si="62"/>
        <v>229.07</v>
      </c>
      <c r="M75" s="2"/>
      <c r="N75" s="7">
        <f t="shared" si="63"/>
        <v>2.7273484938683179</v>
      </c>
      <c r="O75" s="11"/>
      <c r="P75" s="6">
        <v>5574.82</v>
      </c>
      <c r="Q75" s="2"/>
      <c r="R75" s="7">
        <f t="shared" si="64"/>
        <v>1.233519809197642E-2</v>
      </c>
      <c r="S75" s="2"/>
      <c r="T75" s="6">
        <v>1176.53</v>
      </c>
      <c r="U75" s="2"/>
      <c r="V75" s="7">
        <f t="shared" si="65"/>
        <v>2.4904659287864291E-3</v>
      </c>
      <c r="W75" s="2"/>
      <c r="X75" s="6">
        <f t="shared" si="66"/>
        <v>4398.29</v>
      </c>
      <c r="Y75" s="2"/>
      <c r="Z75" s="7">
        <f t="shared" si="67"/>
        <v>3.738357712935497</v>
      </c>
    </row>
    <row r="76" spans="1:26" s="24" customFormat="1" hidden="1" outlineLevel="2" x14ac:dyDescent="0.25">
      <c r="A76" s="26"/>
      <c r="B76" s="11" t="str">
        <f>CONCATENATE("          ", "6243", " - ", "PAPER SUPPLIES")</f>
        <v xml:space="preserve">          6243 - PAPER SUPPLIES</v>
      </c>
      <c r="C76" s="11"/>
      <c r="D76" s="6">
        <v>256.20999999999998</v>
      </c>
      <c r="E76" s="2"/>
      <c r="F76" s="7">
        <f t="shared" si="60"/>
        <v>4.6440010077922634E-3</v>
      </c>
      <c r="G76" s="2"/>
      <c r="H76" s="6">
        <v>389.97</v>
      </c>
      <c r="I76" s="2"/>
      <c r="J76" s="7">
        <f t="shared" si="61"/>
        <v>5.7631423423892087E-3</v>
      </c>
      <c r="K76" s="2"/>
      <c r="L76" s="6">
        <f t="shared" si="62"/>
        <v>-133.76000000000005</v>
      </c>
      <c r="M76" s="2"/>
      <c r="N76" s="7">
        <f t="shared" si="63"/>
        <v>-0.34300074364694733</v>
      </c>
      <c r="O76" s="11"/>
      <c r="P76" s="6">
        <v>3146.84</v>
      </c>
      <c r="Q76" s="2"/>
      <c r="R76" s="7">
        <f t="shared" si="64"/>
        <v>6.96289651751179E-3</v>
      </c>
      <c r="S76" s="2"/>
      <c r="T76" s="6">
        <v>4217.59</v>
      </c>
      <c r="U76" s="2"/>
      <c r="V76" s="7">
        <f t="shared" si="65"/>
        <v>8.9277487157916561E-3</v>
      </c>
      <c r="W76" s="2"/>
      <c r="X76" s="6">
        <f t="shared" si="66"/>
        <v>-1070.75</v>
      </c>
      <c r="Y76" s="2"/>
      <c r="Z76" s="7">
        <f t="shared" si="67"/>
        <v>-0.25387721423846321</v>
      </c>
    </row>
    <row r="77" spans="1:26" s="24" customFormat="1" hidden="1" outlineLevel="2" x14ac:dyDescent="0.25">
      <c r="A77" s="26"/>
      <c r="B77" s="11" t="str">
        <f>CONCATENATE("          ", "6247", " - ", "STORE SUPPLIES")</f>
        <v xml:space="preserve">          6247 - STORE SUPPLIES</v>
      </c>
      <c r="C77" s="11"/>
      <c r="D77" s="6"/>
      <c r="E77" s="2"/>
      <c r="F77" s="7">
        <f t="shared" si="60"/>
        <v>0</v>
      </c>
      <c r="G77" s="2"/>
      <c r="H77" s="6">
        <v>112</v>
      </c>
      <c r="I77" s="2"/>
      <c r="J77" s="7">
        <f t="shared" si="61"/>
        <v>1.6551835842438939E-3</v>
      </c>
      <c r="K77" s="2"/>
      <c r="L77" s="6">
        <f t="shared" si="62"/>
        <v>-112</v>
      </c>
      <c r="M77" s="2"/>
      <c r="N77" s="7">
        <f t="shared" si="63"/>
        <v>-1</v>
      </c>
      <c r="O77" s="11"/>
      <c r="P77" s="6">
        <v>410.56</v>
      </c>
      <c r="Q77" s="2"/>
      <c r="R77" s="7">
        <f t="shared" si="64"/>
        <v>9.0843093205553529E-4</v>
      </c>
      <c r="S77" s="2"/>
      <c r="T77" s="6">
        <v>960.66</v>
      </c>
      <c r="U77" s="2"/>
      <c r="V77" s="7">
        <f t="shared" si="65"/>
        <v>2.0335146567856078E-3</v>
      </c>
      <c r="W77" s="2"/>
      <c r="X77" s="6">
        <f t="shared" si="66"/>
        <v>-550.09999999999991</v>
      </c>
      <c r="Y77" s="2"/>
      <c r="Z77" s="7">
        <f t="shared" si="67"/>
        <v>-0.57262715216621896</v>
      </c>
    </row>
    <row r="78" spans="1:26" s="24" customFormat="1" hidden="1" outlineLevel="2" x14ac:dyDescent="0.25">
      <c r="A78" s="26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60"/>
        <v>0</v>
      </c>
      <c r="G78" s="2"/>
      <c r="H78" s="6"/>
      <c r="I78" s="2"/>
      <c r="J78" s="7">
        <f t="shared" si="61"/>
        <v>0</v>
      </c>
      <c r="K78" s="2"/>
      <c r="L78" s="6">
        <f t="shared" si="62"/>
        <v>0</v>
      </c>
      <c r="M78" s="2"/>
      <c r="N78" s="7">
        <f t="shared" si="63"/>
        <v>0</v>
      </c>
      <c r="O78" s="11"/>
      <c r="P78" s="6">
        <v>15.47</v>
      </c>
      <c r="Q78" s="2"/>
      <c r="R78" s="7">
        <f t="shared" si="64"/>
        <v>3.4229897016024773E-5</v>
      </c>
      <c r="S78" s="2"/>
      <c r="T78" s="6">
        <v>1457.95</v>
      </c>
      <c r="U78" s="2"/>
      <c r="V78" s="7">
        <f t="shared" si="65"/>
        <v>3.0861727290202329E-3</v>
      </c>
      <c r="W78" s="2"/>
      <c r="X78" s="6">
        <f t="shared" si="66"/>
        <v>-1442.48</v>
      </c>
      <c r="Y78" s="2"/>
      <c r="Z78" s="7">
        <f t="shared" si="67"/>
        <v>-0.98938921087828802</v>
      </c>
    </row>
    <row r="79" spans="1:26" s="27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SUM(OSRRefD22_15x_0)</f>
        <v>133.44999999999999</v>
      </c>
      <c r="E79" s="1"/>
      <c r="F79" s="5">
        <f t="shared" ref="F79:F84" si="68">IF(D$12=0,0,D79/D$12)</f>
        <v>2.4188826918928909E-3</v>
      </c>
      <c r="G79" s="1"/>
      <c r="H79" s="1">
        <f>SUM(OSRRefH22_15x_0)</f>
        <v>149.15</v>
      </c>
      <c r="I79" s="1"/>
      <c r="J79" s="5">
        <f t="shared" ref="J79:J84" si="69">IF(H$12=0,0,H79/H$12)</f>
        <v>2.2042020677676497E-3</v>
      </c>
      <c r="K79" s="1"/>
      <c r="L79" s="1">
        <f t="shared" ref="L79:L84" si="70">+D79-H79</f>
        <v>-15.700000000000017</v>
      </c>
      <c r="M79" s="1"/>
      <c r="N79" s="5">
        <f t="shared" ref="N79:N84" si="71">IF(H79=0,0,L79/H79)</f>
        <v>-0.10526315789473695</v>
      </c>
      <c r="O79" s="13"/>
      <c r="P79" s="1">
        <f>SUM(OSRRefP22_15x_0)</f>
        <v>852</v>
      </c>
      <c r="Q79" s="1"/>
      <c r="R79" s="5">
        <f t="shared" ref="R79:R84" si="72">IF(P$12=0,0,P79/P$12)</f>
        <v>1.8851888983615452E-3</v>
      </c>
      <c r="S79" s="1"/>
      <c r="T79" s="1">
        <f>SUM(OSRRefT22_15x_0)</f>
        <v>959.55</v>
      </c>
      <c r="U79" s="1"/>
      <c r="V79" s="5">
        <f t="shared" ref="V79:V84" si="73">IF(T$12=0,0,T79/T$12)</f>
        <v>2.0311650208384132E-3</v>
      </c>
      <c r="W79" s="1"/>
      <c r="X79" s="1">
        <f t="shared" ref="X79:X84" si="74">+P79-T79</f>
        <v>-107.54999999999995</v>
      </c>
      <c r="Y79" s="1"/>
      <c r="Z79" s="5">
        <f t="shared" ref="Z79:Z84" si="75">IF(T79=0,0,X79/T79)</f>
        <v>-0.11208378927622319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6">
        <v>133.44999999999999</v>
      </c>
      <c r="E80" s="2"/>
      <c r="F80" s="7">
        <f t="shared" si="68"/>
        <v>2.4188826918928909E-3</v>
      </c>
      <c r="G80" s="2"/>
      <c r="H80" s="6">
        <v>149.15</v>
      </c>
      <c r="I80" s="2"/>
      <c r="J80" s="7">
        <f t="shared" si="69"/>
        <v>2.2042020677676497E-3</v>
      </c>
      <c r="K80" s="2"/>
      <c r="L80" s="6">
        <f t="shared" si="70"/>
        <v>-15.700000000000017</v>
      </c>
      <c r="M80" s="2"/>
      <c r="N80" s="7">
        <f t="shared" si="71"/>
        <v>-0.10526315789473695</v>
      </c>
      <c r="O80" s="11"/>
      <c r="P80" s="6">
        <v>852</v>
      </c>
      <c r="Q80" s="2"/>
      <c r="R80" s="7">
        <f t="shared" si="72"/>
        <v>1.8851888983615452E-3</v>
      </c>
      <c r="S80" s="2"/>
      <c r="T80" s="6">
        <v>959.55</v>
      </c>
      <c r="U80" s="2"/>
      <c r="V80" s="7">
        <f t="shared" si="73"/>
        <v>2.0311650208384132E-3</v>
      </c>
      <c r="W80" s="2"/>
      <c r="X80" s="6">
        <f t="shared" si="74"/>
        <v>-107.54999999999995</v>
      </c>
      <c r="Y80" s="2"/>
      <c r="Z80" s="7">
        <f t="shared" si="75"/>
        <v>-0.11208378927622319</v>
      </c>
    </row>
    <row r="81" spans="1:26" s="27" customFormat="1" outlineLevel="1" collapsed="1" x14ac:dyDescent="0.25">
      <c r="A81" s="25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20</v>
      </c>
      <c r="E81" s="1"/>
      <c r="F81" s="5">
        <f t="shared" si="68"/>
        <v>3.6251520298132499E-4</v>
      </c>
      <c r="G81" s="1"/>
      <c r="H81" s="1">
        <f>SUM(OSRRefH22_16x_0)</f>
        <v>0</v>
      </c>
      <c r="I81" s="1"/>
      <c r="J81" s="5">
        <f t="shared" si="69"/>
        <v>0</v>
      </c>
      <c r="K81" s="1"/>
      <c r="L81" s="1">
        <f t="shared" si="70"/>
        <v>20</v>
      </c>
      <c r="M81" s="1"/>
      <c r="N81" s="5">
        <f t="shared" si="71"/>
        <v>0</v>
      </c>
      <c r="O81" s="13"/>
      <c r="P81" s="1">
        <f>SUM(OSRRefP22_16x_0)</f>
        <v>164</v>
      </c>
      <c r="Q81" s="1"/>
      <c r="R81" s="5">
        <f t="shared" si="72"/>
        <v>3.6287673630433498E-4</v>
      </c>
      <c r="S81" s="1"/>
      <c r="T81" s="1">
        <f>SUM(OSRRefT22_16x_0)</f>
        <v>98.83</v>
      </c>
      <c r="U81" s="1"/>
      <c r="V81" s="5">
        <f t="shared" si="73"/>
        <v>2.0920227086598965E-4</v>
      </c>
      <c r="W81" s="1"/>
      <c r="X81" s="1">
        <f t="shared" si="74"/>
        <v>65.17</v>
      </c>
      <c r="Y81" s="1"/>
      <c r="Z81" s="5">
        <f t="shared" si="75"/>
        <v>0.6594151573408884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6">
        <v>20</v>
      </c>
      <c r="E82" s="2"/>
      <c r="F82" s="7">
        <f t="shared" si="68"/>
        <v>3.6251520298132499E-4</v>
      </c>
      <c r="G82" s="2"/>
      <c r="H82" s="6"/>
      <c r="I82" s="2"/>
      <c r="J82" s="7">
        <f t="shared" si="69"/>
        <v>0</v>
      </c>
      <c r="K82" s="2"/>
      <c r="L82" s="6">
        <f t="shared" si="70"/>
        <v>20</v>
      </c>
      <c r="M82" s="2"/>
      <c r="N82" s="7">
        <f t="shared" si="71"/>
        <v>0</v>
      </c>
      <c r="O82" s="11"/>
      <c r="P82" s="6">
        <v>164</v>
      </c>
      <c r="Q82" s="2"/>
      <c r="R82" s="7">
        <f t="shared" si="72"/>
        <v>3.6287673630433498E-4</v>
      </c>
      <c r="S82" s="2"/>
      <c r="T82" s="6">
        <v>98.83</v>
      </c>
      <c r="U82" s="2"/>
      <c r="V82" s="7">
        <f t="shared" si="73"/>
        <v>2.0920227086598965E-4</v>
      </c>
      <c r="W82" s="2"/>
      <c r="X82" s="6">
        <f t="shared" si="74"/>
        <v>65.17</v>
      </c>
      <c r="Y82" s="2"/>
      <c r="Z82" s="7">
        <f t="shared" si="75"/>
        <v>0.6594151573408884</v>
      </c>
    </row>
    <row r="83" spans="1:26" s="27" customFormat="1" outlineLevel="1" collapsed="1" x14ac:dyDescent="0.25">
      <c r="A83" s="25"/>
      <c r="B83" s="13" t="str">
        <f>CONCATENATE("     ","Utilities                                         ")</f>
        <v xml:space="preserve">     Utilities                                         </v>
      </c>
      <c r="C83" s="13"/>
      <c r="D83" s="1">
        <f>SUM(OSRRefD22_17x_0)</f>
        <v>5088</v>
      </c>
      <c r="E83" s="1"/>
      <c r="F83" s="5">
        <f t="shared" si="68"/>
        <v>9.2223867638449072E-2</v>
      </c>
      <c r="G83" s="1"/>
      <c r="H83" s="1">
        <f>SUM(OSRRefH22_17x_0)</f>
        <v>2031</v>
      </c>
      <c r="I83" s="1"/>
      <c r="J83" s="5">
        <f t="shared" si="69"/>
        <v>3.0014980889279896E-2</v>
      </c>
      <c r="K83" s="1"/>
      <c r="L83" s="1">
        <f t="shared" si="70"/>
        <v>3057</v>
      </c>
      <c r="M83" s="1"/>
      <c r="N83" s="5">
        <f t="shared" si="71"/>
        <v>1.5051698670605613</v>
      </c>
      <c r="O83" s="13"/>
      <c r="P83" s="1">
        <f>SUM(OSRRefP22_17x_0)</f>
        <v>13212</v>
      </c>
      <c r="Q83" s="1"/>
      <c r="R83" s="5">
        <f t="shared" si="72"/>
        <v>2.9233703902761428E-2</v>
      </c>
      <c r="S83" s="1"/>
      <c r="T83" s="1">
        <f>SUM(OSRRefT22_17x_0)</f>
        <v>9185</v>
      </c>
      <c r="U83" s="1"/>
      <c r="V83" s="5">
        <f t="shared" si="73"/>
        <v>1.9442708265750432E-2</v>
      </c>
      <c r="W83" s="1"/>
      <c r="X83" s="1">
        <f t="shared" si="74"/>
        <v>4027</v>
      </c>
      <c r="Y83" s="1"/>
      <c r="Z83" s="5">
        <f t="shared" si="75"/>
        <v>0.43843222645617858</v>
      </c>
    </row>
    <row r="84" spans="1:26" s="24" customFormat="1" hidden="1" outlineLevel="2" x14ac:dyDescent="0.25">
      <c r="A84" s="26"/>
      <c r="B84" s="11" t="str">
        <f>CONCATENATE("          ", "6274", " - ", "UTILITIES")</f>
        <v xml:space="preserve">          6274 - UTILITIES</v>
      </c>
      <c r="C84" s="11"/>
      <c r="D84" s="6">
        <v>5088</v>
      </c>
      <c r="E84" s="2"/>
      <c r="F84" s="7">
        <f t="shared" si="68"/>
        <v>9.2223867638449072E-2</v>
      </c>
      <c r="G84" s="2"/>
      <c r="H84" s="6">
        <v>2031</v>
      </c>
      <c r="I84" s="2"/>
      <c r="J84" s="7">
        <f t="shared" si="69"/>
        <v>3.0014980889279896E-2</v>
      </c>
      <c r="K84" s="2"/>
      <c r="L84" s="6">
        <f t="shared" si="70"/>
        <v>3057</v>
      </c>
      <c r="M84" s="2"/>
      <c r="N84" s="7">
        <f t="shared" si="71"/>
        <v>1.5051698670605613</v>
      </c>
      <c r="O84" s="11"/>
      <c r="P84" s="6">
        <v>13212</v>
      </c>
      <c r="Q84" s="2"/>
      <c r="R84" s="7">
        <f t="shared" si="72"/>
        <v>2.9233703902761428E-2</v>
      </c>
      <c r="S84" s="2"/>
      <c r="T84" s="6">
        <v>9185</v>
      </c>
      <c r="U84" s="2"/>
      <c r="V84" s="7">
        <f t="shared" si="73"/>
        <v>1.9442708265750432E-2</v>
      </c>
      <c r="W84" s="2"/>
      <c r="X84" s="6">
        <f t="shared" si="74"/>
        <v>4027</v>
      </c>
      <c r="Y84" s="2"/>
      <c r="Z84" s="7">
        <f t="shared" si="75"/>
        <v>0.43843222645617858</v>
      </c>
    </row>
    <row r="85" spans="1:26" s="61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collapsed="1" x14ac:dyDescent="0.25">
      <c r="A86" s="10"/>
      <c r="B86" s="28" t="s">
        <v>0</v>
      </c>
      <c r="C86" s="10"/>
      <c r="D86" s="4">
        <f>SUM(OSRRefD25x_0)</f>
        <v>68.760000000000005</v>
      </c>
      <c r="E86" s="4"/>
      <c r="F86" s="12">
        <f t="shared" ref="F86:F87" si="76">IF(D$12=0,0,D86/D$12)</f>
        <v>1.2463272678497955E-3</v>
      </c>
      <c r="G86" s="4"/>
      <c r="H86" s="4">
        <f>SUM(OSRRefH25x_0)</f>
        <v>0</v>
      </c>
      <c r="I86" s="4"/>
      <c r="J86" s="12">
        <f t="shared" ref="J86:J87" si="77">IF(H$12=0,0,H86/H$12)</f>
        <v>0</v>
      </c>
      <c r="K86" s="4"/>
      <c r="L86" s="4">
        <f t="shared" ref="L86:L87" si="78">+D86-H86</f>
        <v>68.760000000000005</v>
      </c>
      <c r="M86" s="4"/>
      <c r="N86" s="12">
        <f t="shared" ref="N86:N87" si="79">IF(H86=0,0,L86/H86)</f>
        <v>0</v>
      </c>
      <c r="O86" s="10"/>
      <c r="P86" s="4">
        <f>SUM(OSRRefP25x_0)</f>
        <v>68.760000000000005</v>
      </c>
      <c r="Q86" s="4"/>
      <c r="R86" s="12">
        <f t="shared" ref="R86:R87" si="80">IF(P$12=0,0,P86/P$12)</f>
        <v>1.5214270968467119E-4</v>
      </c>
      <c r="S86" s="4"/>
      <c r="T86" s="4">
        <f>SUM(OSRRefT25x_0)</f>
        <v>0</v>
      </c>
      <c r="U86" s="4"/>
      <c r="V86" s="12">
        <f t="shared" ref="V86:V87" si="81">IF(T$12=0,0,T86/T$12)</f>
        <v>0</v>
      </c>
      <c r="W86" s="4"/>
      <c r="X86" s="4">
        <f t="shared" ref="X86:X87" si="82">+P86-T86</f>
        <v>68.760000000000005</v>
      </c>
      <c r="Y86" s="4"/>
      <c r="Z86" s="12">
        <f t="shared" ref="Z86:Z87" si="83">IF(T86=0,0,X86/T86)</f>
        <v>0</v>
      </c>
    </row>
    <row r="87" spans="1:26" s="24" customFormat="1" hidden="1" outlineLevel="1" x14ac:dyDescent="0.25">
      <c r="A87" s="44"/>
      <c r="B87" s="11" t="str">
        <f>CONCATENATE("          ", "9150", " - ", "MISC. INCOME")</f>
        <v xml:space="preserve">          9150 - MISC. INCOME</v>
      </c>
      <c r="C87" s="11"/>
      <c r="D87" s="2">
        <f>--68.76</f>
        <v>68.760000000000005</v>
      </c>
      <c r="E87" s="2"/>
      <c r="F87" s="19">
        <f t="shared" si="76"/>
        <v>1.2463272678497955E-3</v>
      </c>
      <c r="G87" s="2"/>
      <c r="H87" s="2">
        <f>0</f>
        <v>0</v>
      </c>
      <c r="I87" s="2"/>
      <c r="J87" s="19">
        <f t="shared" si="77"/>
        <v>0</v>
      </c>
      <c r="K87" s="2"/>
      <c r="L87" s="2">
        <f t="shared" si="78"/>
        <v>68.760000000000005</v>
      </c>
      <c r="M87" s="2"/>
      <c r="N87" s="19">
        <f t="shared" si="79"/>
        <v>0</v>
      </c>
      <c r="O87" s="11"/>
      <c r="P87" s="2">
        <f>--68.76</f>
        <v>68.760000000000005</v>
      </c>
      <c r="Q87" s="2"/>
      <c r="R87" s="19">
        <f t="shared" si="80"/>
        <v>1.5214270968467119E-4</v>
      </c>
      <c r="S87" s="2"/>
      <c r="T87" s="2">
        <f>0</f>
        <v>0</v>
      </c>
      <c r="U87" s="2"/>
      <c r="V87" s="19">
        <f t="shared" si="81"/>
        <v>0</v>
      </c>
      <c r="W87" s="2"/>
      <c r="X87" s="2">
        <f t="shared" si="82"/>
        <v>68.760000000000005</v>
      </c>
      <c r="Y87" s="2"/>
      <c r="Z87" s="19">
        <f t="shared" si="83"/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9" t="s">
        <v>3</v>
      </c>
      <c r="C89" s="29"/>
      <c r="D89" s="20">
        <f>+D20-D22+D86</f>
        <v>-34139.639999999992</v>
      </c>
      <c r="E89" s="14"/>
      <c r="F89" s="21">
        <f>IF(D$12=0,0,D89/D$12)</f>
        <v>-0.61880692621546796</v>
      </c>
      <c r="G89" s="14"/>
      <c r="H89" s="20">
        <f>+H20-H22+H86</f>
        <v>-16820.040000000015</v>
      </c>
      <c r="I89" s="14"/>
      <c r="J89" s="21">
        <f>IF(H$12=0,0,H89/H$12)</f>
        <v>-0.24857369727076509</v>
      </c>
      <c r="K89" s="15"/>
      <c r="L89" s="20">
        <f>+D89-H89</f>
        <v>-17319.599999999977</v>
      </c>
      <c r="M89" s="15"/>
      <c r="N89" s="21">
        <f>IF(H89=0,0,L89/H89)</f>
        <v>1.0297002860873079</v>
      </c>
      <c r="O89" s="28"/>
      <c r="P89" s="20">
        <f>+P20-P22+P86</f>
        <v>-118793.96000000004</v>
      </c>
      <c r="Q89" s="14"/>
      <c r="R89" s="21">
        <f>IF(P$12=0,0,P89/P$12)</f>
        <v>-0.26285100303333986</v>
      </c>
      <c r="S89" s="14"/>
      <c r="T89" s="20">
        <f>+T20-T22+T86</f>
        <v>-77710.620000000054</v>
      </c>
      <c r="U89" s="14"/>
      <c r="V89" s="21">
        <f>IF(T$12=0,0,T89/T$12)</f>
        <v>-0.16449699660431047</v>
      </c>
      <c r="W89" s="15"/>
      <c r="X89" s="20">
        <f>+P89-T89</f>
        <v>-41083.339999999982</v>
      </c>
      <c r="Y89" s="15"/>
      <c r="Z89" s="21">
        <f>IF(T89=0,0,X89/T89)</f>
        <v>0.52867085605545228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>
        <v>6797.76</v>
      </c>
      <c r="E91" s="4"/>
      <c r="F91" s="12">
        <f>IF(D$12=0,0,D91/D$12)</f>
        <v>0.1232145673109166</v>
      </c>
      <c r="G91" s="4"/>
      <c r="H91" s="4">
        <v>8392.09</v>
      </c>
      <c r="I91" s="4"/>
      <c r="J91" s="12">
        <f>IF(H$12=0,0,H91/H$12)</f>
        <v>0.12402187147765481</v>
      </c>
      <c r="K91" s="4"/>
      <c r="L91" s="4">
        <f>+D91-H91</f>
        <v>-1594.33</v>
      </c>
      <c r="M91" s="4"/>
      <c r="N91" s="12">
        <f>IF(H91=0,0,L91/H91)</f>
        <v>-0.18998008839276032</v>
      </c>
      <c r="O91" s="10"/>
      <c r="P91" s="4">
        <v>48813.440000000002</v>
      </c>
      <c r="Q91" s="4"/>
      <c r="R91" s="12">
        <f>IF(P$12=0,0,P91/P$12)</f>
        <v>0.10800769387187488</v>
      </c>
      <c r="S91" s="4"/>
      <c r="T91" s="4">
        <v>50980.579999999994</v>
      </c>
      <c r="U91" s="4"/>
      <c r="V91" s="12">
        <f>IF(T$12=0,0,T91/T$12)</f>
        <v>0.10791513817732727</v>
      </c>
      <c r="W91" s="4"/>
      <c r="X91" s="4">
        <f>+P91-T91</f>
        <v>-2167.1399999999921</v>
      </c>
      <c r="Y91" s="4"/>
      <c r="Z91" s="12">
        <f>IF(T91=0,0,X91/T91)</f>
        <v>-4.25091279855975E-2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4</v>
      </c>
      <c r="C93" s="29"/>
      <c r="D93" s="32">
        <f>+D89-D91</f>
        <v>-40937.399999999994</v>
      </c>
      <c r="E93" s="14"/>
      <c r="F93" s="30">
        <f>IF(D$12=0,0,D93/D$12)</f>
        <v>-0.74202149352638458</v>
      </c>
      <c r="G93" s="14"/>
      <c r="H93" s="32">
        <f>+H89-H91</f>
        <v>-25212.130000000016</v>
      </c>
      <c r="I93" s="14"/>
      <c r="J93" s="30">
        <f>IF(H$12=0,0,H93/H$12)</f>
        <v>-0.37259556874841993</v>
      </c>
      <c r="K93" s="15"/>
      <c r="L93" s="32">
        <f>D93-H93</f>
        <v>-15725.269999999979</v>
      </c>
      <c r="M93" s="15"/>
      <c r="N93" s="30">
        <f>IF(H93=0,0,L93/H93)</f>
        <v>0.6237184244250672</v>
      </c>
      <c r="O93" s="28"/>
      <c r="P93" s="32">
        <f>+P89-P91</f>
        <v>-167607.40000000002</v>
      </c>
      <c r="Q93" s="14"/>
      <c r="R93" s="30">
        <f>IF(P$12=0,0,P93/P$12)</f>
        <v>-0.37085869690521467</v>
      </c>
      <c r="S93" s="14"/>
      <c r="T93" s="32">
        <f>+T89-T91</f>
        <v>-128691.20000000004</v>
      </c>
      <c r="U93" s="14"/>
      <c r="V93" s="30">
        <f>IF(T$12=0,0,T93/T$12)</f>
        <v>-0.27241213478163773</v>
      </c>
      <c r="W93" s="15"/>
      <c r="X93" s="32">
        <f>P93-T93</f>
        <v>-38916.199999999983</v>
      </c>
      <c r="Y93" s="15"/>
      <c r="Z93" s="30">
        <f>IF(T93=0,0,X93/T93)</f>
        <v>0.30239985329222174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5</v>
      </c>
      <c r="C96" s="29"/>
      <c r="D96" s="36">
        <f>SUM(D93:D95)</f>
        <v>-40937.399999999994</v>
      </c>
      <c r="E96" s="14"/>
      <c r="F96" s="31">
        <f>IF(D$12=0,0,D96/D$12)</f>
        <v>-0.74202149352638458</v>
      </c>
      <c r="G96" s="14"/>
      <c r="H96" s="36">
        <f>SUM(H93:H95)</f>
        <v>-25212.130000000016</v>
      </c>
      <c r="I96" s="14"/>
      <c r="J96" s="31">
        <f>IF(H$12=0,0,H96/H$12)</f>
        <v>-0.37259556874841993</v>
      </c>
      <c r="K96" s="15"/>
      <c r="L96" s="36">
        <f>+D96-H96</f>
        <v>-15725.269999999979</v>
      </c>
      <c r="M96" s="15"/>
      <c r="N96" s="31">
        <f>IF(H96=0,0,L96/H96)</f>
        <v>0.6237184244250672</v>
      </c>
      <c r="O96" s="28"/>
      <c r="P96" s="36">
        <f>SUM(P93:P95)</f>
        <v>-167607.40000000002</v>
      </c>
      <c r="Q96" s="14"/>
      <c r="R96" s="31">
        <f>IF(P$12=0,0,P96/P$12)</f>
        <v>-0.37085869690521467</v>
      </c>
      <c r="S96" s="14"/>
      <c r="T96" s="36">
        <f>SUM(T93:T95)</f>
        <v>-128691.20000000004</v>
      </c>
      <c r="U96" s="14"/>
      <c r="V96" s="31">
        <f>IF(T$12=0,0,T96/T$12)</f>
        <v>-0.27241213478163773</v>
      </c>
      <c r="W96" s="15"/>
      <c r="X96" s="36">
        <f>+P96-T96</f>
        <v>-38916.199999999983</v>
      </c>
      <c r="Y96" s="15"/>
      <c r="Z96" s="31">
        <f>IF(T96=0,0,X96/T96)</f>
        <v>0.30239985329222174</v>
      </c>
    </row>
    <row r="97" spans="1:24" ht="15.75" thickTop="1" x14ac:dyDescent="0.25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62">
        <v>43847.454085300924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56" t="s">
        <v>313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A100" s="9"/>
      <c r="B100" s="54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25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","418", " - ", "Nugget")</f>
        <v>Department 418 - Nugget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100001.24</v>
      </c>
      <c r="E12" s="4"/>
      <c r="F12" s="12"/>
      <c r="G12" s="4"/>
      <c r="H12" s="4">
        <f>SUM(OSRRefH13x_0)</f>
        <v>119120.59999999999</v>
      </c>
      <c r="I12" s="4"/>
      <c r="J12" s="12"/>
      <c r="K12" s="4"/>
      <c r="L12" s="4">
        <f t="shared" ref="L12:L14" si="0">+D12-H12</f>
        <v>-19119.359999999986</v>
      </c>
      <c r="M12" s="4"/>
      <c r="N12" s="12">
        <f t="shared" ref="N12:N14" si="1">IF(H12=0,0,L12/H12)</f>
        <v>-0.16050422848776774</v>
      </c>
      <c r="O12" s="10"/>
      <c r="P12" s="4">
        <f>SUM(OSRRefP13x_0)</f>
        <v>756574.4</v>
      </c>
      <c r="Q12" s="4"/>
      <c r="R12" s="12"/>
      <c r="S12" s="4"/>
      <c r="T12" s="4">
        <f>SUM(OSRRefT13x_0)</f>
        <v>764429.46</v>
      </c>
      <c r="U12" s="4"/>
      <c r="V12" s="12"/>
      <c r="W12" s="4"/>
      <c r="X12" s="4">
        <f t="shared" ref="X12:X14" si="2">+P12-T12</f>
        <v>-7855.0599999999395</v>
      </c>
      <c r="Y12" s="4"/>
      <c r="Z12" s="12">
        <f t="shared" ref="Z12:Z14" si="3">IF(T12=0,0,X12/T12)</f>
        <v>-1.0275715956839156E-2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--36745.98</f>
        <v>36745.980000000003</v>
      </c>
      <c r="E13" s="2"/>
      <c r="F13" s="19"/>
      <c r="G13" s="2"/>
      <c r="H13" s="2">
        <f>--48684.59</f>
        <v>48684.59</v>
      </c>
      <c r="I13" s="2"/>
      <c r="J13" s="19"/>
      <c r="K13" s="2"/>
      <c r="L13" s="2">
        <f t="shared" si="0"/>
        <v>-11938.609999999993</v>
      </c>
      <c r="M13" s="2"/>
      <c r="N13" s="19">
        <f t="shared" si="1"/>
        <v>-0.2452235912842235</v>
      </c>
      <c r="O13" s="11"/>
      <c r="P13" s="2">
        <f>--271853.95</f>
        <v>271853.95</v>
      </c>
      <c r="Q13" s="2"/>
      <c r="R13" s="19"/>
      <c r="S13" s="2"/>
      <c r="T13" s="2">
        <f>--316320.95</f>
        <v>316320.95</v>
      </c>
      <c r="U13" s="2"/>
      <c r="V13" s="19"/>
      <c r="W13" s="2"/>
      <c r="X13" s="2">
        <f t="shared" si="2"/>
        <v>-44467</v>
      </c>
      <c r="Y13" s="2"/>
      <c r="Z13" s="19">
        <f t="shared" si="3"/>
        <v>-0.14057557679945004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>--63255.26</f>
        <v>63255.26</v>
      </c>
      <c r="E14" s="2"/>
      <c r="F14" s="19"/>
      <c r="G14" s="2"/>
      <c r="H14" s="2">
        <f>--70436.01</f>
        <v>70436.009999999995</v>
      </c>
      <c r="I14" s="2"/>
      <c r="J14" s="19"/>
      <c r="K14" s="2"/>
      <c r="L14" s="2">
        <f t="shared" si="0"/>
        <v>-7180.7499999999927</v>
      </c>
      <c r="M14" s="2"/>
      <c r="N14" s="19">
        <f t="shared" si="1"/>
        <v>-0.10194714322972004</v>
      </c>
      <c r="O14" s="11"/>
      <c r="P14" s="2">
        <f>--484720.45</f>
        <v>484720.45</v>
      </c>
      <c r="Q14" s="2"/>
      <c r="R14" s="19"/>
      <c r="S14" s="2"/>
      <c r="T14" s="2">
        <f>--448108.51</f>
        <v>448108.51</v>
      </c>
      <c r="U14" s="2"/>
      <c r="V14" s="19"/>
      <c r="W14" s="2"/>
      <c r="X14" s="2">
        <f t="shared" si="2"/>
        <v>36611.94</v>
      </c>
      <c r="Y14" s="2"/>
      <c r="Z14" s="19">
        <f t="shared" si="3"/>
        <v>8.1703291017615351E-2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29523.11</v>
      </c>
      <c r="E16" s="4"/>
      <c r="F16" s="12">
        <f t="shared" ref="F16:F18" si="4">IF(D$12=0,0,D16/D$12)</f>
        <v>0.29522743917975414</v>
      </c>
      <c r="G16" s="4"/>
      <c r="H16" s="4">
        <f>SUM(OSRRefH16x_0)</f>
        <v>38119.279999999999</v>
      </c>
      <c r="I16" s="4"/>
      <c r="J16" s="12">
        <f t="shared" ref="J16:J18" si="5">IF(H$12=0,0,H16/H$12)</f>
        <v>0.32000577565928984</v>
      </c>
      <c r="K16" s="4"/>
      <c r="L16" s="4">
        <f t="shared" ref="L16:L18" si="6">+D16-H16</f>
        <v>-8596.1699999999983</v>
      </c>
      <c r="M16" s="4"/>
      <c r="N16" s="12">
        <f t="shared" ref="N16:N18" si="7">IF(H16=0,0,L16/H16)</f>
        <v>-0.2255071449408278</v>
      </c>
      <c r="O16" s="10"/>
      <c r="P16" s="4">
        <f>SUM(OSRRefP16x_0)</f>
        <v>246045.73</v>
      </c>
      <c r="Q16" s="4"/>
      <c r="R16" s="12">
        <f t="shared" ref="R16:R18" si="8">IF(P$12=0,0,P16/P$12)</f>
        <v>0.32521022387223253</v>
      </c>
      <c r="S16" s="4"/>
      <c r="T16" s="4">
        <f>SUM(OSRRefT16x_0)</f>
        <v>244616.66</v>
      </c>
      <c r="U16" s="4"/>
      <c r="V16" s="12">
        <f t="shared" ref="V16:V18" si="9">IF(T$12=0,0,T16/T$12)</f>
        <v>0.31999899637567608</v>
      </c>
      <c r="W16" s="4"/>
      <c r="X16" s="4">
        <f t="shared" ref="X16:X18" si="10">+P16-T16</f>
        <v>1429.070000000007</v>
      </c>
      <c r="Y16" s="4"/>
      <c r="Z16" s="12">
        <f t="shared" ref="Z16:Z18" si="11">IF(T16=0,0,X16/T16)</f>
        <v>5.8420796032453677E-3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34087.11</v>
      </c>
      <c r="E17" s="2"/>
      <c r="F17" s="19">
        <f t="shared" si="4"/>
        <v>0.3408668732507717</v>
      </c>
      <c r="G17" s="2"/>
      <c r="H17" s="2">
        <v>35073.279999999999</v>
      </c>
      <c r="I17" s="2"/>
      <c r="J17" s="19">
        <f t="shared" si="5"/>
        <v>0.29443505153600635</v>
      </c>
      <c r="K17" s="2"/>
      <c r="L17" s="2">
        <f t="shared" si="6"/>
        <v>-986.16999999999825</v>
      </c>
      <c r="M17" s="2"/>
      <c r="N17" s="19">
        <f t="shared" si="7"/>
        <v>-2.811741587898247E-2</v>
      </c>
      <c r="O17" s="11"/>
      <c r="P17" s="2">
        <v>255146.73</v>
      </c>
      <c r="Q17" s="2"/>
      <c r="R17" s="19">
        <f t="shared" si="8"/>
        <v>0.33723944399916256</v>
      </c>
      <c r="S17" s="2"/>
      <c r="T17" s="2">
        <v>235314.66</v>
      </c>
      <c r="U17" s="2"/>
      <c r="V17" s="19">
        <f t="shared" si="9"/>
        <v>0.30783044389733488</v>
      </c>
      <c r="W17" s="2"/>
      <c r="X17" s="2">
        <f t="shared" si="10"/>
        <v>19832.070000000007</v>
      </c>
      <c r="Y17" s="2"/>
      <c r="Z17" s="19">
        <f t="shared" si="11"/>
        <v>8.4278939527184613E-2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-4564</v>
      </c>
      <c r="E18" s="2"/>
      <c r="F18" s="19">
        <f t="shared" si="4"/>
        <v>-4.5639434071017518E-2</v>
      </c>
      <c r="G18" s="2"/>
      <c r="H18" s="2">
        <v>3046</v>
      </c>
      <c r="I18" s="2"/>
      <c r="J18" s="19">
        <f t="shared" si="5"/>
        <v>2.5570724123283463E-2</v>
      </c>
      <c r="K18" s="2"/>
      <c r="L18" s="2">
        <f t="shared" si="6"/>
        <v>-7610</v>
      </c>
      <c r="M18" s="2"/>
      <c r="N18" s="19">
        <f t="shared" si="7"/>
        <v>-2.4983585029546949</v>
      </c>
      <c r="O18" s="11"/>
      <c r="P18" s="2">
        <v>-9101</v>
      </c>
      <c r="Q18" s="2"/>
      <c r="R18" s="19">
        <f t="shared" si="8"/>
        <v>-1.2029220126930015E-2</v>
      </c>
      <c r="S18" s="2"/>
      <c r="T18" s="2">
        <v>9302</v>
      </c>
      <c r="U18" s="2"/>
      <c r="V18" s="19">
        <f t="shared" si="9"/>
        <v>1.2168552478341168E-2</v>
      </c>
      <c r="W18" s="2"/>
      <c r="X18" s="2">
        <f t="shared" si="10"/>
        <v>-18403</v>
      </c>
      <c r="Y18" s="2"/>
      <c r="Z18" s="19">
        <f t="shared" si="11"/>
        <v>-1.9783917437110299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70478.13</v>
      </c>
      <c r="E20" s="14"/>
      <c r="F20" s="21">
        <f>IF(D$12=0,0,D20/D$12)</f>
        <v>0.70477256082024586</v>
      </c>
      <c r="G20" s="14"/>
      <c r="H20" s="20">
        <f>H12-H16</f>
        <v>81001.319999999992</v>
      </c>
      <c r="I20" s="14"/>
      <c r="J20" s="21">
        <f>IF(H$12=0,0,H20/H$12)</f>
        <v>0.67999422434071011</v>
      </c>
      <c r="K20" s="15"/>
      <c r="L20" s="20">
        <f>+D20-H20</f>
        <v>-10523.189999999988</v>
      </c>
      <c r="M20" s="15"/>
      <c r="N20" s="21">
        <f>IF(H20=0,0,L20/H20)</f>
        <v>-0.1299138088120044</v>
      </c>
      <c r="O20" s="28"/>
      <c r="P20" s="20">
        <f>P12-P16</f>
        <v>510528.67000000004</v>
      </c>
      <c r="Q20" s="14"/>
      <c r="R20" s="21">
        <f>IF(P$12=0,0,P20/P$12)</f>
        <v>0.67478977612776747</v>
      </c>
      <c r="S20" s="14"/>
      <c r="T20" s="20">
        <f>T12-T16</f>
        <v>519812.79999999993</v>
      </c>
      <c r="U20" s="14"/>
      <c r="V20" s="21">
        <f>IF(T$12=0,0,T20/T$12)</f>
        <v>0.68000100362432392</v>
      </c>
      <c r="W20" s="15"/>
      <c r="X20" s="20">
        <f>+P20-T20</f>
        <v>-9284.1299999998882</v>
      </c>
      <c r="Y20" s="15"/>
      <c r="Z20" s="21">
        <f>IF(T20=0,0,X20/T20)</f>
        <v>-1.7860525943185487E-2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62860.740000000005</v>
      </c>
      <c r="E22" s="22"/>
      <c r="F22" s="33">
        <f t="shared" ref="F22:F31" si="12">IF(D$12=0,0,D22/D$12)</f>
        <v>0.62859960536489345</v>
      </c>
      <c r="G22" s="22"/>
      <c r="H22" s="22">
        <f>SUM(OSRRefH22x_0)</f>
        <v>65543.790000000008</v>
      </c>
      <c r="I22" s="22"/>
      <c r="J22" s="33">
        <f t="shared" ref="J22:J31" si="13">IF(H$12=0,0,H22/H$12)</f>
        <v>0.55023052268037609</v>
      </c>
      <c r="K22" s="4"/>
      <c r="L22" s="22">
        <f t="shared" ref="L22:L31" si="14">+D22-H22</f>
        <v>-2683.0500000000029</v>
      </c>
      <c r="M22" s="4"/>
      <c r="N22" s="33">
        <f t="shared" ref="N22:N31" si="15">IF(H22=0,0,L22/H22)</f>
        <v>-4.0935228188665969E-2</v>
      </c>
      <c r="O22" s="10"/>
      <c r="P22" s="22">
        <f>SUM(OSRRefP22x_0)</f>
        <v>366968.29</v>
      </c>
      <c r="Q22" s="22"/>
      <c r="R22" s="33">
        <f t="shared" ref="R22:R31" si="16">IF(P$12=0,0,P22/P$12)</f>
        <v>0.4850392638186013</v>
      </c>
      <c r="S22" s="22"/>
      <c r="T22" s="22">
        <f>SUM(OSRRefT22x_0)</f>
        <v>351794.14999999997</v>
      </c>
      <c r="U22" s="22"/>
      <c r="V22" s="33">
        <f t="shared" ref="V22:V31" si="17">IF(T$12=0,0,T22/T$12)</f>
        <v>0.46020485657368565</v>
      </c>
      <c r="W22" s="4"/>
      <c r="X22" s="22">
        <f t="shared" ref="X22:X31" si="18">+P22-T22</f>
        <v>15174.140000000014</v>
      </c>
      <c r="Y22" s="4"/>
      <c r="Z22" s="33">
        <f t="shared" ref="Z22:Z31" si="19">IF(T22=0,0,X22/T22)</f>
        <v>4.3133576837477303E-2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11171.379999999997</v>
      </c>
      <c r="E23" s="1"/>
      <c r="F23" s="5">
        <f t="shared" si="12"/>
        <v>0.11171241476605687</v>
      </c>
      <c r="G23" s="1"/>
      <c r="H23" s="1">
        <f>SUM(OSRRefH22_0x_0)</f>
        <v>8931.2799999999988</v>
      </c>
      <c r="I23" s="1"/>
      <c r="J23" s="5">
        <f t="shared" si="13"/>
        <v>7.4976788229743629E-2</v>
      </c>
      <c r="K23" s="1"/>
      <c r="L23" s="1">
        <f t="shared" si="14"/>
        <v>2240.0999999999985</v>
      </c>
      <c r="M23" s="1"/>
      <c r="N23" s="5">
        <f t="shared" si="15"/>
        <v>0.25081511272740287</v>
      </c>
      <c r="O23" s="13"/>
      <c r="P23" s="1">
        <f>SUM(OSRRefP22_0x_0)</f>
        <v>49884.289999999994</v>
      </c>
      <c r="Q23" s="1"/>
      <c r="R23" s="5">
        <f t="shared" si="16"/>
        <v>6.5934414381454087E-2</v>
      </c>
      <c r="S23" s="1"/>
      <c r="T23" s="1">
        <f>SUM(OSRRefT22_0x_0)</f>
        <v>51911.14</v>
      </c>
      <c r="U23" s="1"/>
      <c r="V23" s="5">
        <f t="shared" si="17"/>
        <v>6.7908345656903388E-2</v>
      </c>
      <c r="W23" s="1"/>
      <c r="X23" s="1">
        <f t="shared" si="18"/>
        <v>-2026.8500000000058</v>
      </c>
      <c r="Y23" s="1"/>
      <c r="Z23" s="5">
        <f t="shared" si="19"/>
        <v>-3.9044605839902685E-2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1776.22</v>
      </c>
      <c r="E24" s="2"/>
      <c r="F24" s="7">
        <f t="shared" si="12"/>
        <v>1.7761979751451083E-2</v>
      </c>
      <c r="G24" s="2"/>
      <c r="H24" s="6">
        <v>1201.6099999999999</v>
      </c>
      <c r="I24" s="2"/>
      <c r="J24" s="7">
        <f t="shared" si="13"/>
        <v>1.0087340057051425E-2</v>
      </c>
      <c r="K24" s="2"/>
      <c r="L24" s="6">
        <f t="shared" si="14"/>
        <v>574.61000000000013</v>
      </c>
      <c r="M24" s="2"/>
      <c r="N24" s="7">
        <f t="shared" si="15"/>
        <v>0.47820008155724419</v>
      </c>
      <c r="O24" s="11"/>
      <c r="P24" s="6">
        <v>11052.27</v>
      </c>
      <c r="Q24" s="2"/>
      <c r="R24" s="7">
        <f t="shared" si="16"/>
        <v>1.4608305541398177E-2</v>
      </c>
      <c r="S24" s="2"/>
      <c r="T24" s="6">
        <v>8876.66</v>
      </c>
      <c r="U24" s="2"/>
      <c r="V24" s="7">
        <f t="shared" si="17"/>
        <v>1.1612137501869695E-2</v>
      </c>
      <c r="W24" s="2"/>
      <c r="X24" s="6">
        <f t="shared" si="18"/>
        <v>2175.6100000000006</v>
      </c>
      <c r="Y24" s="2"/>
      <c r="Z24" s="7">
        <f t="shared" si="19"/>
        <v>0.24509331212415489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1799.17</v>
      </c>
      <c r="E25" s="2"/>
      <c r="F25" s="7">
        <f t="shared" si="12"/>
        <v>1.7991476905686369E-2</v>
      </c>
      <c r="G25" s="2"/>
      <c r="H25" s="6">
        <v>1473.97</v>
      </c>
      <c r="I25" s="2"/>
      <c r="J25" s="7">
        <f t="shared" si="13"/>
        <v>1.2373762388705229E-2</v>
      </c>
      <c r="K25" s="2"/>
      <c r="L25" s="6">
        <f t="shared" si="14"/>
        <v>325.20000000000005</v>
      </c>
      <c r="M25" s="2"/>
      <c r="N25" s="7">
        <f t="shared" si="15"/>
        <v>0.22062864237399679</v>
      </c>
      <c r="O25" s="11"/>
      <c r="P25" s="6">
        <v>5806.33</v>
      </c>
      <c r="Q25" s="2"/>
      <c r="R25" s="7">
        <f t="shared" si="16"/>
        <v>7.6744996922972807E-3</v>
      </c>
      <c r="S25" s="2"/>
      <c r="T25" s="6">
        <v>7169.14</v>
      </c>
      <c r="U25" s="2"/>
      <c r="V25" s="7">
        <f t="shared" si="17"/>
        <v>9.3784192984922386E-3</v>
      </c>
      <c r="W25" s="2"/>
      <c r="X25" s="6">
        <f t="shared" si="18"/>
        <v>-1362.8100000000004</v>
      </c>
      <c r="Y25" s="2"/>
      <c r="Z25" s="7">
        <f t="shared" si="19"/>
        <v>-0.19009393037379663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5096.34</v>
      </c>
      <c r="E26" s="2"/>
      <c r="F26" s="7">
        <f t="shared" si="12"/>
        <v>5.0962768061676031E-2</v>
      </c>
      <c r="G26" s="2"/>
      <c r="H26" s="6">
        <v>4110.21</v>
      </c>
      <c r="I26" s="2"/>
      <c r="J26" s="7">
        <f t="shared" si="13"/>
        <v>3.4504611293092888E-2</v>
      </c>
      <c r="K26" s="2"/>
      <c r="L26" s="6">
        <f t="shared" si="14"/>
        <v>986.13000000000011</v>
      </c>
      <c r="M26" s="2"/>
      <c r="N26" s="7">
        <f t="shared" si="15"/>
        <v>0.23992204777858067</v>
      </c>
      <c r="O26" s="11"/>
      <c r="P26" s="6">
        <v>20428.3</v>
      </c>
      <c r="Q26" s="2"/>
      <c r="R26" s="7">
        <f t="shared" si="16"/>
        <v>2.7001045766285509E-2</v>
      </c>
      <c r="S26" s="2"/>
      <c r="T26" s="6">
        <v>22076.99</v>
      </c>
      <c r="U26" s="2"/>
      <c r="V26" s="7">
        <f t="shared" si="17"/>
        <v>2.8880349535456158E-2</v>
      </c>
      <c r="W26" s="2"/>
      <c r="X26" s="6">
        <f t="shared" si="18"/>
        <v>-1648.6900000000023</v>
      </c>
      <c r="Y26" s="2"/>
      <c r="Z26" s="7">
        <f t="shared" si="19"/>
        <v>-7.4679111599905701E-2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120.56</v>
      </c>
      <c r="E27" s="2"/>
      <c r="F27" s="7">
        <f t="shared" si="12"/>
        <v>1.2055850507453707E-3</v>
      </c>
      <c r="G27" s="2"/>
      <c r="H27" s="6">
        <v>109.5</v>
      </c>
      <c r="I27" s="2"/>
      <c r="J27" s="7">
        <f t="shared" si="13"/>
        <v>9.1923647127365045E-4</v>
      </c>
      <c r="K27" s="2"/>
      <c r="L27" s="6">
        <f t="shared" si="14"/>
        <v>11.060000000000002</v>
      </c>
      <c r="M27" s="2"/>
      <c r="N27" s="7">
        <f t="shared" si="15"/>
        <v>0.10100456621004568</v>
      </c>
      <c r="O27" s="11"/>
      <c r="P27" s="6">
        <v>526.35</v>
      </c>
      <c r="Q27" s="2"/>
      <c r="R27" s="7">
        <f t="shared" si="16"/>
        <v>6.9570157277327918E-4</v>
      </c>
      <c r="S27" s="2"/>
      <c r="T27" s="6">
        <v>532.57000000000005</v>
      </c>
      <c r="U27" s="2"/>
      <c r="V27" s="7">
        <f t="shared" si="17"/>
        <v>6.966895284229366E-4</v>
      </c>
      <c r="W27" s="2"/>
      <c r="X27" s="6">
        <f t="shared" si="18"/>
        <v>-6.2200000000000273</v>
      </c>
      <c r="Y27" s="2"/>
      <c r="Z27" s="7">
        <f t="shared" si="19"/>
        <v>-1.1679215877725043E-2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617.47</v>
      </c>
      <c r="E28" s="2"/>
      <c r="F28" s="7">
        <f t="shared" si="12"/>
        <v>6.1746234346694105E-3</v>
      </c>
      <c r="G28" s="2"/>
      <c r="H28" s="6">
        <v>579.83000000000004</v>
      </c>
      <c r="I28" s="2"/>
      <c r="J28" s="7">
        <f t="shared" si="13"/>
        <v>4.8675879738685002E-3</v>
      </c>
      <c r="K28" s="2"/>
      <c r="L28" s="6">
        <f t="shared" si="14"/>
        <v>37.639999999999986</v>
      </c>
      <c r="M28" s="2"/>
      <c r="N28" s="7">
        <f t="shared" si="15"/>
        <v>6.4915578704102903E-2</v>
      </c>
      <c r="O28" s="11"/>
      <c r="P28" s="6">
        <v>2901.55</v>
      </c>
      <c r="Q28" s="2"/>
      <c r="R28" s="7">
        <f t="shared" si="16"/>
        <v>3.8351152246229852E-3</v>
      </c>
      <c r="S28" s="2"/>
      <c r="T28" s="6">
        <v>3760.45</v>
      </c>
      <c r="U28" s="2"/>
      <c r="V28" s="7">
        <f t="shared" si="17"/>
        <v>4.9192897406125612E-3</v>
      </c>
      <c r="W28" s="2"/>
      <c r="X28" s="6">
        <f t="shared" si="18"/>
        <v>-858.89999999999964</v>
      </c>
      <c r="Y28" s="2"/>
      <c r="Z28" s="7">
        <f t="shared" si="19"/>
        <v>-0.22840351553670429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629.32000000000005</v>
      </c>
      <c r="E29" s="2"/>
      <c r="F29" s="7">
        <f t="shared" si="12"/>
        <v>6.2931219652876307E-3</v>
      </c>
      <c r="G29" s="2"/>
      <c r="H29" s="6">
        <v>500.32</v>
      </c>
      <c r="I29" s="2"/>
      <c r="J29" s="7">
        <f t="shared" si="13"/>
        <v>4.2001131626267837E-3</v>
      </c>
      <c r="K29" s="2"/>
      <c r="L29" s="6">
        <f t="shared" si="14"/>
        <v>129.00000000000006</v>
      </c>
      <c r="M29" s="2"/>
      <c r="N29" s="7">
        <f t="shared" si="15"/>
        <v>0.2578349856092102</v>
      </c>
      <c r="O29" s="11"/>
      <c r="P29" s="6">
        <v>3420.91</v>
      </c>
      <c r="Q29" s="2"/>
      <c r="R29" s="7">
        <f t="shared" si="16"/>
        <v>4.5215777853440447E-3</v>
      </c>
      <c r="S29" s="2"/>
      <c r="T29" s="6">
        <v>3264.4</v>
      </c>
      <c r="U29" s="2"/>
      <c r="V29" s="7">
        <f t="shared" si="17"/>
        <v>4.2703744044610735E-3</v>
      </c>
      <c r="W29" s="2"/>
      <c r="X29" s="6">
        <f t="shared" si="18"/>
        <v>156.50999999999976</v>
      </c>
      <c r="Y29" s="2"/>
      <c r="Z29" s="7">
        <f t="shared" si="19"/>
        <v>4.7944492096556719E-2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665.96</v>
      </c>
      <c r="E30" s="2"/>
      <c r="F30" s="7">
        <f t="shared" si="12"/>
        <v>6.6595174219839671E-3</v>
      </c>
      <c r="G30" s="2"/>
      <c r="H30" s="6">
        <v>516.36</v>
      </c>
      <c r="I30" s="2"/>
      <c r="J30" s="7">
        <f t="shared" si="13"/>
        <v>4.3347666146745407E-3</v>
      </c>
      <c r="K30" s="2"/>
      <c r="L30" s="6">
        <f t="shared" si="14"/>
        <v>149.60000000000002</v>
      </c>
      <c r="M30" s="2"/>
      <c r="N30" s="7">
        <f t="shared" si="15"/>
        <v>0.28972035014331088</v>
      </c>
      <c r="O30" s="11"/>
      <c r="P30" s="6">
        <v>3499.9</v>
      </c>
      <c r="Q30" s="2"/>
      <c r="R30" s="7">
        <f t="shared" si="16"/>
        <v>4.6259825867753391E-3</v>
      </c>
      <c r="S30" s="2"/>
      <c r="T30" s="6">
        <v>3616</v>
      </c>
      <c r="U30" s="2"/>
      <c r="V30" s="7">
        <f t="shared" si="17"/>
        <v>4.7303252807656057E-3</v>
      </c>
      <c r="W30" s="2"/>
      <c r="X30" s="6">
        <f t="shared" si="18"/>
        <v>-116.09999999999991</v>
      </c>
      <c r="Y30" s="2"/>
      <c r="Z30" s="7">
        <f t="shared" si="19"/>
        <v>-3.2107300884955725E-2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466.34</v>
      </c>
      <c r="E31" s="2"/>
      <c r="F31" s="7">
        <f t="shared" si="12"/>
        <v>4.6633421745570346E-3</v>
      </c>
      <c r="G31" s="2"/>
      <c r="H31" s="6">
        <v>439.48</v>
      </c>
      <c r="I31" s="2"/>
      <c r="J31" s="7">
        <f t="shared" si="13"/>
        <v>3.6893702684506293E-3</v>
      </c>
      <c r="K31" s="2"/>
      <c r="L31" s="6">
        <f t="shared" si="14"/>
        <v>26.859999999999957</v>
      </c>
      <c r="M31" s="2"/>
      <c r="N31" s="7">
        <f t="shared" si="15"/>
        <v>6.1117684536270034E-2</v>
      </c>
      <c r="O31" s="11"/>
      <c r="P31" s="6">
        <v>2248.6799999999998</v>
      </c>
      <c r="Q31" s="2"/>
      <c r="R31" s="7">
        <f t="shared" si="16"/>
        <v>2.9721862119574754E-3</v>
      </c>
      <c r="S31" s="2"/>
      <c r="T31" s="6">
        <v>2614.9299999999998</v>
      </c>
      <c r="U31" s="2"/>
      <c r="V31" s="7">
        <f t="shared" si="17"/>
        <v>3.4207603668231206E-3</v>
      </c>
      <c r="W31" s="2"/>
      <c r="X31" s="6">
        <f t="shared" si="18"/>
        <v>-366.25</v>
      </c>
      <c r="Y31" s="2"/>
      <c r="Z31" s="7">
        <f t="shared" si="19"/>
        <v>-0.1400611106224641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29826.13</v>
      </c>
      <c r="E32" s="1"/>
      <c r="F32" s="5">
        <f t="shared" ref="F32:F38" si="20">IF(D$12=0,0,D32/D$12)</f>
        <v>0.29825760160574011</v>
      </c>
      <c r="G32" s="1"/>
      <c r="H32" s="1">
        <f>SUM(OSRRefH22_1x_0)</f>
        <v>27608.43</v>
      </c>
      <c r="I32" s="1"/>
      <c r="J32" s="5">
        <f t="shared" ref="J32:J38" si="21">IF(H$12=0,0,H32/H$12)</f>
        <v>0.23176872849868119</v>
      </c>
      <c r="K32" s="1"/>
      <c r="L32" s="1">
        <f t="shared" ref="L32:L38" si="22">+D32-H32</f>
        <v>2217.7000000000007</v>
      </c>
      <c r="M32" s="1"/>
      <c r="N32" s="5">
        <f t="shared" ref="N32:N38" si="23">IF(H32=0,0,L32/H32)</f>
        <v>8.0326914641651148E-2</v>
      </c>
      <c r="O32" s="13"/>
      <c r="P32" s="1">
        <f>SUM(OSRRefP22_1x_0)</f>
        <v>196538.28</v>
      </c>
      <c r="Q32" s="1"/>
      <c r="R32" s="5">
        <f t="shared" ref="R32:R38" si="24">IF(P$12=0,0,P32/P$12)</f>
        <v>0.25977389665841188</v>
      </c>
      <c r="S32" s="1"/>
      <c r="T32" s="1">
        <f>SUM(OSRRefT22_1x_0)</f>
        <v>181187.23999999996</v>
      </c>
      <c r="U32" s="1"/>
      <c r="V32" s="5">
        <f t="shared" ref="V32:V38" si="25">IF(T$12=0,0,T32/T$12)</f>
        <v>0.23702283792150028</v>
      </c>
      <c r="W32" s="1"/>
      <c r="X32" s="1">
        <f t="shared" ref="X32:X38" si="26">+P32-T32</f>
        <v>15351.040000000037</v>
      </c>
      <c r="Y32" s="1"/>
      <c r="Z32" s="5">
        <f t="shared" ref="Z32:Z38" si="27">IF(T32=0,0,X32/T32)</f>
        <v>8.4724730063772929E-2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8648</v>
      </c>
      <c r="E33" s="2"/>
      <c r="F33" s="7">
        <f t="shared" si="20"/>
        <v>8.6478927661297E-2</v>
      </c>
      <c r="G33" s="2"/>
      <c r="H33" s="6">
        <v>8293.26</v>
      </c>
      <c r="I33" s="2"/>
      <c r="J33" s="7">
        <f t="shared" si="21"/>
        <v>6.9620703723789173E-2</v>
      </c>
      <c r="K33" s="2"/>
      <c r="L33" s="6">
        <f t="shared" si="22"/>
        <v>354.73999999999978</v>
      </c>
      <c r="M33" s="2"/>
      <c r="N33" s="7">
        <f t="shared" si="23"/>
        <v>4.2774493986683135E-2</v>
      </c>
      <c r="O33" s="11"/>
      <c r="P33" s="6">
        <v>44616</v>
      </c>
      <c r="Q33" s="2"/>
      <c r="R33" s="7">
        <f t="shared" si="24"/>
        <v>5.8971067485233439E-2</v>
      </c>
      <c r="S33" s="2"/>
      <c r="T33" s="6">
        <v>52542.15</v>
      </c>
      <c r="U33" s="2"/>
      <c r="V33" s="7">
        <f t="shared" si="25"/>
        <v>6.8733810965370179E-2</v>
      </c>
      <c r="W33" s="2"/>
      <c r="X33" s="6">
        <f t="shared" si="26"/>
        <v>-7926.1500000000015</v>
      </c>
      <c r="Y33" s="2"/>
      <c r="Z33" s="7">
        <f t="shared" si="27"/>
        <v>-0.15085317216748842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4813.22</v>
      </c>
      <c r="E34" s="2"/>
      <c r="F34" s="7">
        <f t="shared" si="20"/>
        <v>4.8131603168120714E-2</v>
      </c>
      <c r="G34" s="2"/>
      <c r="H34" s="6">
        <v>2375.75</v>
      </c>
      <c r="I34" s="2"/>
      <c r="J34" s="7">
        <f t="shared" si="21"/>
        <v>1.9944073485190641E-2</v>
      </c>
      <c r="K34" s="2"/>
      <c r="L34" s="6">
        <f t="shared" si="22"/>
        <v>2437.4700000000003</v>
      </c>
      <c r="M34" s="2"/>
      <c r="N34" s="7">
        <f t="shared" si="23"/>
        <v>1.0259791644743765</v>
      </c>
      <c r="O34" s="11"/>
      <c r="P34" s="6">
        <v>21827.21</v>
      </c>
      <c r="Q34" s="2"/>
      <c r="R34" s="7">
        <f t="shared" si="24"/>
        <v>2.88500509665672E-2</v>
      </c>
      <c r="S34" s="2"/>
      <c r="T34" s="6">
        <v>13498</v>
      </c>
      <c r="U34" s="2"/>
      <c r="V34" s="7">
        <f t="shared" si="25"/>
        <v>1.7657613561884441E-2</v>
      </c>
      <c r="W34" s="2"/>
      <c r="X34" s="6">
        <f t="shared" si="26"/>
        <v>8329.2099999999991</v>
      </c>
      <c r="Y34" s="2"/>
      <c r="Z34" s="7">
        <f t="shared" si="27"/>
        <v>0.61706993628685725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8636.11</v>
      </c>
      <c r="E35" s="2"/>
      <c r="F35" s="7">
        <f t="shared" si="20"/>
        <v>8.6360029135638713E-2</v>
      </c>
      <c r="G35" s="2"/>
      <c r="H35" s="6">
        <v>4678.93</v>
      </c>
      <c r="I35" s="2"/>
      <c r="J35" s="7">
        <f t="shared" si="21"/>
        <v>3.9278932443254991E-2</v>
      </c>
      <c r="K35" s="2"/>
      <c r="L35" s="6">
        <f t="shared" si="22"/>
        <v>3957.1800000000003</v>
      </c>
      <c r="M35" s="2"/>
      <c r="N35" s="7">
        <f t="shared" si="23"/>
        <v>0.84574464674615779</v>
      </c>
      <c r="O35" s="11"/>
      <c r="P35" s="6">
        <v>58407.950000000004</v>
      </c>
      <c r="Q35" s="2"/>
      <c r="R35" s="7">
        <f t="shared" si="24"/>
        <v>7.7200537052271395E-2</v>
      </c>
      <c r="S35" s="2"/>
      <c r="T35" s="6">
        <v>34143.769999999997</v>
      </c>
      <c r="U35" s="2"/>
      <c r="V35" s="7">
        <f t="shared" si="25"/>
        <v>4.4665690932424292E-2</v>
      </c>
      <c r="W35" s="2"/>
      <c r="X35" s="6">
        <f t="shared" si="26"/>
        <v>24264.180000000008</v>
      </c>
      <c r="Y35" s="2"/>
      <c r="Z35" s="7">
        <f t="shared" si="27"/>
        <v>0.71064735967937953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>
        <v>568.75</v>
      </c>
      <c r="E36" s="2"/>
      <c r="F36" s="7">
        <f t="shared" si="20"/>
        <v>5.6874294758744986E-3</v>
      </c>
      <c r="G36" s="2"/>
      <c r="H36" s="6"/>
      <c r="I36" s="2"/>
      <c r="J36" s="7">
        <f t="shared" si="21"/>
        <v>0</v>
      </c>
      <c r="K36" s="2"/>
      <c r="L36" s="6">
        <f t="shared" si="22"/>
        <v>568.75</v>
      </c>
      <c r="M36" s="2"/>
      <c r="N36" s="7">
        <f t="shared" si="23"/>
        <v>0</v>
      </c>
      <c r="O36" s="11"/>
      <c r="P36" s="6">
        <v>7215.01</v>
      </c>
      <c r="Q36" s="2"/>
      <c r="R36" s="7">
        <f t="shared" si="24"/>
        <v>9.5364183614988825E-3</v>
      </c>
      <c r="S36" s="2"/>
      <c r="T36" s="6"/>
      <c r="U36" s="2"/>
      <c r="V36" s="7">
        <f t="shared" si="25"/>
        <v>0</v>
      </c>
      <c r="W36" s="2"/>
      <c r="X36" s="6">
        <f t="shared" si="26"/>
        <v>7215.01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7160.05</v>
      </c>
      <c r="E37" s="2"/>
      <c r="F37" s="7">
        <f t="shared" si="20"/>
        <v>7.1599612164809159E-2</v>
      </c>
      <c r="G37" s="2"/>
      <c r="H37" s="6">
        <v>11455.74</v>
      </c>
      <c r="I37" s="2"/>
      <c r="J37" s="7">
        <f t="shared" si="21"/>
        <v>9.6169260396606476E-2</v>
      </c>
      <c r="K37" s="2"/>
      <c r="L37" s="6">
        <f t="shared" si="22"/>
        <v>-4295.6899999999996</v>
      </c>
      <c r="M37" s="2"/>
      <c r="N37" s="7">
        <f t="shared" si="23"/>
        <v>-0.37498145034716218</v>
      </c>
      <c r="O37" s="11"/>
      <c r="P37" s="6">
        <v>62642.109999999993</v>
      </c>
      <c r="Q37" s="2"/>
      <c r="R37" s="7">
        <f t="shared" si="24"/>
        <v>8.2797025646122832E-2</v>
      </c>
      <c r="S37" s="2"/>
      <c r="T37" s="6">
        <v>74798.36</v>
      </c>
      <c r="U37" s="2"/>
      <c r="V37" s="7">
        <f t="shared" si="25"/>
        <v>9.7848609863884634E-2</v>
      </c>
      <c r="W37" s="2"/>
      <c r="X37" s="6">
        <f t="shared" si="26"/>
        <v>-12156.250000000007</v>
      </c>
      <c r="Y37" s="2"/>
      <c r="Z37" s="7">
        <f t="shared" si="27"/>
        <v>-0.16252027450869252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804.75</v>
      </c>
      <c r="I38" s="2"/>
      <c r="J38" s="7">
        <f t="shared" si="21"/>
        <v>6.7557584498399107E-3</v>
      </c>
      <c r="K38" s="2"/>
      <c r="L38" s="6">
        <f t="shared" si="22"/>
        <v>-804.75</v>
      </c>
      <c r="M38" s="2"/>
      <c r="N38" s="7">
        <f t="shared" si="23"/>
        <v>-1</v>
      </c>
      <c r="O38" s="11"/>
      <c r="P38" s="6">
        <v>1830</v>
      </c>
      <c r="Q38" s="2"/>
      <c r="R38" s="7">
        <f t="shared" si="24"/>
        <v>2.4187971467181549E-3</v>
      </c>
      <c r="S38" s="2"/>
      <c r="T38" s="6">
        <v>6204.96</v>
      </c>
      <c r="U38" s="2"/>
      <c r="V38" s="7">
        <f t="shared" si="25"/>
        <v>8.1171125979367671E-3</v>
      </c>
      <c r="W38" s="2"/>
      <c r="X38" s="6">
        <f t="shared" si="26"/>
        <v>-4374.96</v>
      </c>
      <c r="Y38" s="2"/>
      <c r="Z38" s="7">
        <f t="shared" si="27"/>
        <v>-0.70507464995745339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28">IF(D$12=0,0,D39/D$12)</f>
        <v>0</v>
      </c>
      <c r="G39" s="1"/>
      <c r="H39" s="1">
        <f>SUM(OSRRefH22_2x_0)</f>
        <v>255.33</v>
      </c>
      <c r="I39" s="1"/>
      <c r="J39" s="5">
        <f t="shared" ref="J39:J47" si="29">IF(H$12=0,0,H39/H$12)</f>
        <v>2.1434579745232985E-3</v>
      </c>
      <c r="K39" s="1"/>
      <c r="L39" s="1">
        <f t="shared" ref="L39:L47" si="30">+D39-H39</f>
        <v>-255.33</v>
      </c>
      <c r="M39" s="1"/>
      <c r="N39" s="5">
        <f t="shared" ref="N39:N47" si="31">IF(H39=0,0,L39/H39)</f>
        <v>-1</v>
      </c>
      <c r="O39" s="13"/>
      <c r="P39" s="1">
        <f>SUM(OSRRefP22_2x_0)</f>
        <v>3041.11</v>
      </c>
      <c r="Q39" s="1"/>
      <c r="R39" s="5">
        <f t="shared" ref="R39:R47" si="32">IF(P$12=0,0,P39/P$12)</f>
        <v>4.0195782463694251E-3</v>
      </c>
      <c r="S39" s="1"/>
      <c r="T39" s="1">
        <f>SUM(OSRRefT22_2x_0)</f>
        <v>3336.15</v>
      </c>
      <c r="U39" s="1"/>
      <c r="V39" s="5">
        <f t="shared" ref="V39:V47" si="33">IF(T$12=0,0,T39/T$12)</f>
        <v>4.36423525592538E-3</v>
      </c>
      <c r="W39" s="1"/>
      <c r="X39" s="1">
        <f t="shared" ref="X39:X47" si="34">+P39-T39</f>
        <v>-295.03999999999996</v>
      </c>
      <c r="Y39" s="1"/>
      <c r="Z39" s="5">
        <f t="shared" ref="Z39:Z47" si="35">IF(T39=0,0,X39/T39)</f>
        <v>-8.8437270506422055E-2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8"/>
        <v>0</v>
      </c>
      <c r="G40" s="2"/>
      <c r="H40" s="6">
        <v>255.33</v>
      </c>
      <c r="I40" s="2"/>
      <c r="J40" s="7">
        <f t="shared" si="29"/>
        <v>2.1434579745232985E-3</v>
      </c>
      <c r="K40" s="2"/>
      <c r="L40" s="6">
        <f t="shared" si="30"/>
        <v>-255.33</v>
      </c>
      <c r="M40" s="2"/>
      <c r="N40" s="7">
        <f t="shared" si="31"/>
        <v>-1</v>
      </c>
      <c r="O40" s="11"/>
      <c r="P40" s="6">
        <v>3041.11</v>
      </c>
      <c r="Q40" s="2"/>
      <c r="R40" s="7">
        <f t="shared" si="32"/>
        <v>4.0195782463694251E-3</v>
      </c>
      <c r="S40" s="2"/>
      <c r="T40" s="6">
        <v>3336.15</v>
      </c>
      <c r="U40" s="2"/>
      <c r="V40" s="7">
        <f t="shared" si="33"/>
        <v>4.36423525592538E-3</v>
      </c>
      <c r="W40" s="2"/>
      <c r="X40" s="6">
        <f t="shared" si="34"/>
        <v>-295.03999999999996</v>
      </c>
      <c r="Y40" s="2"/>
      <c r="Z40" s="7">
        <f t="shared" si="35"/>
        <v>-8.8437270506422055E-2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-38.380000000000003</v>
      </c>
      <c r="E41" s="1"/>
      <c r="F41" s="5">
        <f t="shared" si="28"/>
        <v>-3.8379524093901237E-4</v>
      </c>
      <c r="G41" s="1"/>
      <c r="H41" s="1">
        <f>SUM(OSRRefH22_3x_0)</f>
        <v>-12.6</v>
      </c>
      <c r="I41" s="1"/>
      <c r="J41" s="5">
        <f t="shared" si="29"/>
        <v>-1.0577515559861183E-4</v>
      </c>
      <c r="K41" s="1"/>
      <c r="L41" s="1">
        <f t="shared" si="30"/>
        <v>-25.78</v>
      </c>
      <c r="M41" s="1"/>
      <c r="N41" s="5">
        <f t="shared" si="31"/>
        <v>2.0460317460317463</v>
      </c>
      <c r="O41" s="13"/>
      <c r="P41" s="1">
        <f>SUM(OSRRefP22_3x_0)</f>
        <v>-36.76</v>
      </c>
      <c r="Q41" s="1"/>
      <c r="R41" s="5">
        <f t="shared" si="32"/>
        <v>-4.8587422466316596E-5</v>
      </c>
      <c r="S41" s="1"/>
      <c r="T41" s="1">
        <f>SUM(OSRRefT22_3x_0)</f>
        <v>-7.58</v>
      </c>
      <c r="U41" s="1"/>
      <c r="V41" s="5">
        <f t="shared" si="33"/>
        <v>-9.9158920431978121E-6</v>
      </c>
      <c r="W41" s="1"/>
      <c r="X41" s="1">
        <f t="shared" si="34"/>
        <v>-29.18</v>
      </c>
      <c r="Y41" s="1"/>
      <c r="Z41" s="5">
        <f t="shared" si="35"/>
        <v>3.8496042216358837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-38.380000000000003</v>
      </c>
      <c r="E42" s="2"/>
      <c r="F42" s="7">
        <f t="shared" si="28"/>
        <v>-3.8379524093901237E-4</v>
      </c>
      <c r="G42" s="2"/>
      <c r="H42" s="6">
        <v>-12.6</v>
      </c>
      <c r="I42" s="2"/>
      <c r="J42" s="7">
        <f t="shared" si="29"/>
        <v>-1.0577515559861183E-4</v>
      </c>
      <c r="K42" s="2"/>
      <c r="L42" s="6">
        <f t="shared" si="30"/>
        <v>-25.78</v>
      </c>
      <c r="M42" s="2"/>
      <c r="N42" s="7">
        <f t="shared" si="31"/>
        <v>2.0460317460317463</v>
      </c>
      <c r="O42" s="11"/>
      <c r="P42" s="6">
        <v>-36.76</v>
      </c>
      <c r="Q42" s="2"/>
      <c r="R42" s="7">
        <f t="shared" si="32"/>
        <v>-4.8587422466316596E-5</v>
      </c>
      <c r="S42" s="2"/>
      <c r="T42" s="6">
        <v>-7.58</v>
      </c>
      <c r="U42" s="2"/>
      <c r="V42" s="7">
        <f t="shared" si="33"/>
        <v>-9.9158920431978121E-6</v>
      </c>
      <c r="W42" s="2"/>
      <c r="X42" s="6">
        <f t="shared" si="34"/>
        <v>-29.18</v>
      </c>
      <c r="Y42" s="2"/>
      <c r="Z42" s="7">
        <f t="shared" si="35"/>
        <v>3.8496042216358837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7390.66</v>
      </c>
      <c r="E43" s="1"/>
      <c r="F43" s="5">
        <f t="shared" si="28"/>
        <v>7.3905683569523734E-2</v>
      </c>
      <c r="G43" s="1"/>
      <c r="H43" s="1">
        <f>SUM(OSRRefH22_4x_0)</f>
        <v>8783.3700000000008</v>
      </c>
      <c r="I43" s="1"/>
      <c r="J43" s="5">
        <f t="shared" si="29"/>
        <v>7.3735105430966619E-2</v>
      </c>
      <c r="K43" s="1"/>
      <c r="L43" s="1">
        <f t="shared" si="30"/>
        <v>-1392.7100000000009</v>
      </c>
      <c r="M43" s="1"/>
      <c r="N43" s="5">
        <f t="shared" si="31"/>
        <v>-0.1585621464198822</v>
      </c>
      <c r="O43" s="13"/>
      <c r="P43" s="1">
        <f>SUM(OSRRefP22_4x_0)</f>
        <v>30890.329999999998</v>
      </c>
      <c r="Q43" s="1"/>
      <c r="R43" s="5">
        <f t="shared" si="32"/>
        <v>4.0829203314307221E-2</v>
      </c>
      <c r="S43" s="1"/>
      <c r="T43" s="1">
        <f>SUM(OSRRefT22_4x_0)</f>
        <v>30691.279999999999</v>
      </c>
      <c r="U43" s="1"/>
      <c r="V43" s="5">
        <f t="shared" si="33"/>
        <v>4.0149263739783135E-2</v>
      </c>
      <c r="W43" s="1"/>
      <c r="X43" s="1">
        <f t="shared" si="34"/>
        <v>199.04999999999927</v>
      </c>
      <c r="Y43" s="1"/>
      <c r="Z43" s="5">
        <f t="shared" si="35"/>
        <v>6.4855555063196872E-3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7390.66</v>
      </c>
      <c r="E44" s="2"/>
      <c r="F44" s="7">
        <f t="shared" si="28"/>
        <v>7.3905683569523734E-2</v>
      </c>
      <c r="G44" s="2"/>
      <c r="H44" s="6">
        <v>8783.3700000000008</v>
      </c>
      <c r="I44" s="2"/>
      <c r="J44" s="7">
        <f t="shared" si="29"/>
        <v>7.3735105430966619E-2</v>
      </c>
      <c r="K44" s="2"/>
      <c r="L44" s="6">
        <f t="shared" si="30"/>
        <v>-1392.7100000000009</v>
      </c>
      <c r="M44" s="2"/>
      <c r="N44" s="7">
        <f t="shared" si="31"/>
        <v>-0.1585621464198822</v>
      </c>
      <c r="O44" s="11"/>
      <c r="P44" s="6">
        <v>30890.329999999998</v>
      </c>
      <c r="Q44" s="2"/>
      <c r="R44" s="7">
        <f t="shared" si="32"/>
        <v>4.0829203314307221E-2</v>
      </c>
      <c r="S44" s="2"/>
      <c r="T44" s="6">
        <v>30691.279999999999</v>
      </c>
      <c r="U44" s="2"/>
      <c r="V44" s="7">
        <f t="shared" si="33"/>
        <v>4.0149263739783135E-2</v>
      </c>
      <c r="W44" s="2"/>
      <c r="X44" s="6">
        <f t="shared" si="34"/>
        <v>199.04999999999927</v>
      </c>
      <c r="Y44" s="2"/>
      <c r="Z44" s="7">
        <f t="shared" si="35"/>
        <v>6.4855555063196872E-3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8263.4700000000012</v>
      </c>
      <c r="E45" s="1"/>
      <c r="F45" s="5">
        <f t="shared" si="28"/>
        <v>8.2633675342425758E-2</v>
      </c>
      <c r="G45" s="1"/>
      <c r="H45" s="1">
        <f>SUM(OSRRefH22_5x_0)</f>
        <v>8410.08</v>
      </c>
      <c r="I45" s="1"/>
      <c r="J45" s="5">
        <f t="shared" si="29"/>
        <v>7.0601390523553451E-2</v>
      </c>
      <c r="K45" s="1"/>
      <c r="L45" s="1">
        <f t="shared" si="30"/>
        <v>-146.60999999999876</v>
      </c>
      <c r="M45" s="1"/>
      <c r="N45" s="5">
        <f t="shared" si="31"/>
        <v>-1.7432652245876229E-2</v>
      </c>
      <c r="O45" s="13"/>
      <c r="P45" s="1">
        <f>SUM(OSRRefP22_5x_0)</f>
        <v>49580.820000000007</v>
      </c>
      <c r="Q45" s="1"/>
      <c r="R45" s="5">
        <f t="shared" si="32"/>
        <v>6.5533303796692047E-2</v>
      </c>
      <c r="S45" s="1"/>
      <c r="T45" s="1">
        <f>SUM(OSRRefT22_5x_0)</f>
        <v>50460.480000000003</v>
      </c>
      <c r="U45" s="1"/>
      <c r="V45" s="5">
        <f t="shared" si="33"/>
        <v>6.6010642760942262E-2</v>
      </c>
      <c r="W45" s="1"/>
      <c r="X45" s="1">
        <f t="shared" si="34"/>
        <v>-879.65999999999622</v>
      </c>
      <c r="Y45" s="1"/>
      <c r="Z45" s="5">
        <f t="shared" si="35"/>
        <v>-1.7432652245876302E-2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28"/>
        <v>6.5369689415851237E-2</v>
      </c>
      <c r="G46" s="2"/>
      <c r="H46" s="6">
        <v>6537.05</v>
      </c>
      <c r="I46" s="2"/>
      <c r="J46" s="7">
        <f t="shared" si="29"/>
        <v>5.4877577849675042E-2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39222.300000000003</v>
      </c>
      <c r="Q46" s="2"/>
      <c r="R46" s="7">
        <f t="shared" si="32"/>
        <v>5.1841960288373491E-2</v>
      </c>
      <c r="S46" s="2"/>
      <c r="T46" s="6">
        <v>39222.300000000003</v>
      </c>
      <c r="U46" s="2"/>
      <c r="V46" s="7">
        <f t="shared" si="33"/>
        <v>5.1309247029804432E-2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1726.42</v>
      </c>
      <c r="E47" s="2"/>
      <c r="F47" s="7">
        <f t="shared" si="28"/>
        <v>1.7263985926574511E-2</v>
      </c>
      <c r="G47" s="2"/>
      <c r="H47" s="6">
        <v>1873.03</v>
      </c>
      <c r="I47" s="2"/>
      <c r="J47" s="7">
        <f t="shared" si="29"/>
        <v>1.5723812673878408E-2</v>
      </c>
      <c r="K47" s="2"/>
      <c r="L47" s="6">
        <f t="shared" si="30"/>
        <v>-146.6099999999999</v>
      </c>
      <c r="M47" s="2"/>
      <c r="N47" s="7">
        <f t="shared" si="31"/>
        <v>-7.827424013496842E-2</v>
      </c>
      <c r="O47" s="11"/>
      <c r="P47" s="6">
        <v>10358.52</v>
      </c>
      <c r="Q47" s="2"/>
      <c r="R47" s="7">
        <f t="shared" si="32"/>
        <v>1.3691343508318547E-2</v>
      </c>
      <c r="S47" s="2"/>
      <c r="T47" s="6">
        <v>11238.18</v>
      </c>
      <c r="U47" s="2"/>
      <c r="V47" s="7">
        <f t="shared" si="33"/>
        <v>1.4701395731137835E-2</v>
      </c>
      <c r="W47" s="2"/>
      <c r="X47" s="6">
        <f t="shared" si="34"/>
        <v>-879.65999999999985</v>
      </c>
      <c r="Y47" s="2"/>
      <c r="Z47" s="7">
        <f t="shared" si="35"/>
        <v>-7.8274240134968462E-2</v>
      </c>
    </row>
    <row r="48" spans="1:26" s="27" customFormat="1" outlineLevel="1" collapsed="1" x14ac:dyDescent="0.25">
      <c r="A48" s="25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73</v>
      </c>
      <c r="E48" s="1"/>
      <c r="F48" s="5">
        <f t="shared" ref="F48:F56" si="36">IF(D$12=0,0,D48/D$12)</f>
        <v>7.2999094811224336E-4</v>
      </c>
      <c r="G48" s="1"/>
      <c r="H48" s="1">
        <f>SUM(OSRRefH22_6x_0)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73</v>
      </c>
      <c r="M48" s="1"/>
      <c r="N48" s="5">
        <f t="shared" ref="N48:N56" si="39">IF(H48=0,0,L48/H48)</f>
        <v>0</v>
      </c>
      <c r="O48" s="13"/>
      <c r="P48" s="1">
        <f>SUM(OSRRefP22_6x_0)</f>
        <v>73</v>
      </c>
      <c r="Q48" s="1"/>
      <c r="R48" s="5">
        <f t="shared" ref="R48:R56" si="40">IF(P$12=0,0,P48/P$12)</f>
        <v>9.6487536453784321E-5</v>
      </c>
      <c r="S48" s="1"/>
      <c r="T48" s="1">
        <f>SUM(OSRRefT22_6x_0)</f>
        <v>62</v>
      </c>
      <c r="U48" s="1"/>
      <c r="V48" s="5">
        <f t="shared" ref="V48:V56" si="41">IF(T$12=0,0,T48/T$12)</f>
        <v>8.1106240986578409E-5</v>
      </c>
      <c r="W48" s="1"/>
      <c r="X48" s="1">
        <f t="shared" ref="X48:X56" si="42">+P48-T48</f>
        <v>11</v>
      </c>
      <c r="Y48" s="1"/>
      <c r="Z48" s="5">
        <f t="shared" ref="Z48:Z56" si="43">IF(T48=0,0,X48/T48)</f>
        <v>0.17741935483870969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>
        <v>73</v>
      </c>
      <c r="E49" s="2"/>
      <c r="F49" s="7">
        <f t="shared" si="36"/>
        <v>7.2999094811224336E-4</v>
      </c>
      <c r="G49" s="2"/>
      <c r="H49" s="6"/>
      <c r="I49" s="2"/>
      <c r="J49" s="7">
        <f t="shared" si="37"/>
        <v>0</v>
      </c>
      <c r="K49" s="2"/>
      <c r="L49" s="6">
        <f t="shared" si="38"/>
        <v>73</v>
      </c>
      <c r="M49" s="2"/>
      <c r="N49" s="7">
        <f t="shared" si="39"/>
        <v>0</v>
      </c>
      <c r="O49" s="11"/>
      <c r="P49" s="6">
        <v>73</v>
      </c>
      <c r="Q49" s="2"/>
      <c r="R49" s="7">
        <f t="shared" si="40"/>
        <v>9.6487536453784321E-5</v>
      </c>
      <c r="S49" s="2"/>
      <c r="T49" s="6">
        <v>62</v>
      </c>
      <c r="U49" s="2"/>
      <c r="V49" s="7">
        <f t="shared" si="41"/>
        <v>8.1106240986578409E-5</v>
      </c>
      <c r="W49" s="2"/>
      <c r="X49" s="6">
        <f t="shared" si="42"/>
        <v>11</v>
      </c>
      <c r="Y49" s="2"/>
      <c r="Z49" s="7">
        <f t="shared" si="43"/>
        <v>0.17741935483870969</v>
      </c>
    </row>
    <row r="50" spans="1:26" s="27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0</v>
      </c>
      <c r="E50" s="1"/>
      <c r="F50" s="5">
        <f t="shared" si="36"/>
        <v>0</v>
      </c>
      <c r="G50" s="1"/>
      <c r="H50" s="1">
        <f>SUM(OSRRefH22_7x_0)</f>
        <v>48.4</v>
      </c>
      <c r="I50" s="1"/>
      <c r="J50" s="5">
        <f t="shared" si="37"/>
        <v>4.0631091515657244E-4</v>
      </c>
      <c r="K50" s="1"/>
      <c r="L50" s="1">
        <f t="shared" si="38"/>
        <v>-48.4</v>
      </c>
      <c r="M50" s="1"/>
      <c r="N50" s="5">
        <f t="shared" si="39"/>
        <v>-1</v>
      </c>
      <c r="O50" s="13"/>
      <c r="P50" s="1">
        <f>SUM(OSRRefP22_7x_0)</f>
        <v>8.25</v>
      </c>
      <c r="Q50" s="1"/>
      <c r="R50" s="5">
        <f t="shared" si="40"/>
        <v>1.0904413366352337E-5</v>
      </c>
      <c r="S50" s="1"/>
      <c r="T50" s="1">
        <f>SUM(OSRRefT22_7x_0)</f>
        <v>203.9</v>
      </c>
      <c r="U50" s="1"/>
      <c r="V50" s="5">
        <f t="shared" si="41"/>
        <v>2.6673487963166674E-4</v>
      </c>
      <c r="W50" s="1"/>
      <c r="X50" s="1">
        <f t="shared" si="42"/>
        <v>-195.65</v>
      </c>
      <c r="Y50" s="1"/>
      <c r="Z50" s="5">
        <f t="shared" si="43"/>
        <v>-0.95953898970083373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6"/>
        <v>0</v>
      </c>
      <c r="G51" s="2"/>
      <c r="H51" s="6">
        <v>48.4</v>
      </c>
      <c r="I51" s="2"/>
      <c r="J51" s="7">
        <f t="shared" si="37"/>
        <v>4.0631091515657244E-4</v>
      </c>
      <c r="K51" s="2"/>
      <c r="L51" s="6">
        <f t="shared" si="38"/>
        <v>-48.4</v>
      </c>
      <c r="M51" s="2"/>
      <c r="N51" s="7">
        <f t="shared" si="39"/>
        <v>-1</v>
      </c>
      <c r="O51" s="11"/>
      <c r="P51" s="6">
        <v>8.25</v>
      </c>
      <c r="Q51" s="2"/>
      <c r="R51" s="7">
        <f t="shared" si="40"/>
        <v>1.0904413366352337E-5</v>
      </c>
      <c r="S51" s="2"/>
      <c r="T51" s="6">
        <v>203.9</v>
      </c>
      <c r="U51" s="2"/>
      <c r="V51" s="7">
        <f t="shared" si="41"/>
        <v>2.6673487963166674E-4</v>
      </c>
      <c r="W51" s="2"/>
      <c r="X51" s="6">
        <f t="shared" si="42"/>
        <v>-195.65</v>
      </c>
      <c r="Y51" s="2"/>
      <c r="Z51" s="7">
        <f t="shared" si="43"/>
        <v>-0.95953898970083373</v>
      </c>
    </row>
    <row r="52" spans="1:26" s="27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774.99</v>
      </c>
      <c r="E52" s="1"/>
      <c r="F52" s="5">
        <f t="shared" si="36"/>
        <v>7.7498039024316099E-3</v>
      </c>
      <c r="G52" s="1"/>
      <c r="H52" s="1">
        <f>SUM(OSRRefH22_8x_0)</f>
        <v>0</v>
      </c>
      <c r="I52" s="1"/>
      <c r="J52" s="5">
        <f t="shared" si="37"/>
        <v>0</v>
      </c>
      <c r="K52" s="1"/>
      <c r="L52" s="1">
        <f t="shared" si="38"/>
        <v>774.99</v>
      </c>
      <c r="M52" s="1"/>
      <c r="N52" s="5">
        <f t="shared" si="39"/>
        <v>0</v>
      </c>
      <c r="O52" s="13"/>
      <c r="P52" s="1">
        <f>SUM(OSRRefP22_8x_0)</f>
        <v>2987.67</v>
      </c>
      <c r="Q52" s="1"/>
      <c r="R52" s="5">
        <f t="shared" si="40"/>
        <v>3.9489440826969563E-3</v>
      </c>
      <c r="S52" s="1"/>
      <c r="T52" s="1">
        <f>SUM(OSRRefT22_8x_0)</f>
        <v>0</v>
      </c>
      <c r="U52" s="1"/>
      <c r="V52" s="5">
        <f t="shared" si="41"/>
        <v>0</v>
      </c>
      <c r="W52" s="1"/>
      <c r="X52" s="1">
        <f t="shared" si="42"/>
        <v>2987.67</v>
      </c>
      <c r="Y52" s="1"/>
      <c r="Z52" s="5">
        <f t="shared" si="43"/>
        <v>0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774.99</v>
      </c>
      <c r="E53" s="2"/>
      <c r="F53" s="7">
        <f t="shared" si="36"/>
        <v>7.7498039024316099E-3</v>
      </c>
      <c r="G53" s="2"/>
      <c r="H53" s="6"/>
      <c r="I53" s="2"/>
      <c r="J53" s="7">
        <f t="shared" si="37"/>
        <v>0</v>
      </c>
      <c r="K53" s="2"/>
      <c r="L53" s="6">
        <f t="shared" si="38"/>
        <v>774.99</v>
      </c>
      <c r="M53" s="2"/>
      <c r="N53" s="7">
        <f t="shared" si="39"/>
        <v>0</v>
      </c>
      <c r="O53" s="11"/>
      <c r="P53" s="6">
        <v>2987.67</v>
      </c>
      <c r="Q53" s="2"/>
      <c r="R53" s="7">
        <f t="shared" si="40"/>
        <v>3.9489440826969563E-3</v>
      </c>
      <c r="S53" s="2"/>
      <c r="T53" s="6"/>
      <c r="U53" s="2"/>
      <c r="V53" s="7">
        <f t="shared" si="41"/>
        <v>0</v>
      </c>
      <c r="W53" s="2"/>
      <c r="X53" s="6">
        <f t="shared" si="42"/>
        <v>2987.67</v>
      </c>
      <c r="Y53" s="2"/>
      <c r="Z53" s="7">
        <f t="shared" si="43"/>
        <v>0</v>
      </c>
    </row>
    <row r="54" spans="1:26" s="27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SUM(OSRRefD22_9x_0)</f>
        <v>1367.16</v>
      </c>
      <c r="E54" s="1"/>
      <c r="F54" s="5">
        <f t="shared" si="36"/>
        <v>1.3671430474262119E-2</v>
      </c>
      <c r="G54" s="1"/>
      <c r="H54" s="1">
        <f>SUM(OSRRefH22_9x_0)</f>
        <v>525.96</v>
      </c>
      <c r="I54" s="1"/>
      <c r="J54" s="5">
        <f t="shared" si="37"/>
        <v>4.4153572094163401E-3</v>
      </c>
      <c r="K54" s="1"/>
      <c r="L54" s="1">
        <f t="shared" si="38"/>
        <v>841.2</v>
      </c>
      <c r="M54" s="1"/>
      <c r="N54" s="5">
        <f t="shared" si="39"/>
        <v>1.5993611681496691</v>
      </c>
      <c r="O54" s="13"/>
      <c r="P54" s="1">
        <f>SUM(OSRRefP22_9x_0)</f>
        <v>8778.7800000000007</v>
      </c>
      <c r="Q54" s="1"/>
      <c r="R54" s="5">
        <f t="shared" si="40"/>
        <v>1.160332678451716E-2</v>
      </c>
      <c r="S54" s="1"/>
      <c r="T54" s="1">
        <f>SUM(OSRRefT22_9x_0)</f>
        <v>6269.53</v>
      </c>
      <c r="U54" s="1"/>
      <c r="V54" s="5">
        <f t="shared" si="41"/>
        <v>8.2015808234287575E-3</v>
      </c>
      <c r="W54" s="1"/>
      <c r="X54" s="1">
        <f t="shared" si="42"/>
        <v>2509.2500000000009</v>
      </c>
      <c r="Y54" s="1"/>
      <c r="Z54" s="5">
        <f t="shared" si="43"/>
        <v>0.40022936328560532</v>
      </c>
    </row>
    <row r="55" spans="1:26" s="24" customFormat="1" hidden="1" outlineLevel="2" x14ac:dyDescent="0.25">
      <c r="A55" s="26"/>
      <c r="B55" s="11" t="str">
        <f>CONCATENATE("          ", "6269", " - ", "ENTERTAINMENT")</f>
        <v xml:space="preserve">          6269 - ENTERTAINMENT</v>
      </c>
      <c r="C55" s="11"/>
      <c r="D55" s="6">
        <v>1250</v>
      </c>
      <c r="E55" s="2"/>
      <c r="F55" s="7">
        <f t="shared" si="36"/>
        <v>1.2499845001921975E-2</v>
      </c>
      <c r="G55" s="2"/>
      <c r="H55" s="6">
        <v>500</v>
      </c>
      <c r="I55" s="2"/>
      <c r="J55" s="7">
        <f t="shared" si="37"/>
        <v>4.1974268094687236E-3</v>
      </c>
      <c r="K55" s="2"/>
      <c r="L55" s="6">
        <f t="shared" si="38"/>
        <v>750</v>
      </c>
      <c r="M55" s="2"/>
      <c r="N55" s="7">
        <f t="shared" si="39"/>
        <v>1.5</v>
      </c>
      <c r="O55" s="11"/>
      <c r="P55" s="6">
        <v>7350</v>
      </c>
      <c r="Q55" s="2"/>
      <c r="R55" s="7">
        <f t="shared" si="40"/>
        <v>9.7148409991138999E-3</v>
      </c>
      <c r="S55" s="2"/>
      <c r="T55" s="6">
        <v>4860</v>
      </c>
      <c r="U55" s="2"/>
      <c r="V55" s="7">
        <f t="shared" si="41"/>
        <v>6.3576827612059853E-3</v>
      </c>
      <c r="W55" s="2"/>
      <c r="X55" s="6">
        <f t="shared" si="42"/>
        <v>2490</v>
      </c>
      <c r="Y55" s="2"/>
      <c r="Z55" s="7">
        <f t="shared" si="43"/>
        <v>0.51234567901234573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117.16</v>
      </c>
      <c r="E56" s="2"/>
      <c r="F56" s="7">
        <f t="shared" si="36"/>
        <v>1.1715854723401429E-3</v>
      </c>
      <c r="G56" s="2"/>
      <c r="H56" s="6">
        <v>25.96</v>
      </c>
      <c r="I56" s="2"/>
      <c r="J56" s="7">
        <f t="shared" si="37"/>
        <v>2.1793039994761614E-4</v>
      </c>
      <c r="K56" s="2"/>
      <c r="L56" s="6">
        <f t="shared" si="38"/>
        <v>91.199999999999989</v>
      </c>
      <c r="M56" s="2"/>
      <c r="N56" s="7">
        <f t="shared" si="39"/>
        <v>3.513097072419106</v>
      </c>
      <c r="O56" s="11"/>
      <c r="P56" s="6">
        <v>1428.78</v>
      </c>
      <c r="Q56" s="2"/>
      <c r="R56" s="7">
        <f t="shared" si="40"/>
        <v>1.8884857854032596E-3</v>
      </c>
      <c r="S56" s="2"/>
      <c r="T56" s="6">
        <v>1409.53</v>
      </c>
      <c r="U56" s="2"/>
      <c r="V56" s="7">
        <f t="shared" si="41"/>
        <v>1.8438980622227721E-3</v>
      </c>
      <c r="W56" s="2"/>
      <c r="X56" s="6">
        <f t="shared" si="42"/>
        <v>19.25</v>
      </c>
      <c r="Y56" s="2"/>
      <c r="Z56" s="7">
        <f t="shared" si="43"/>
        <v>1.3657034614375004E-2</v>
      </c>
    </row>
    <row r="57" spans="1:26" s="27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1917.84</v>
      </c>
      <c r="E57" s="1"/>
      <c r="F57" s="5">
        <f t="shared" ref="F57:F60" si="44">IF(D$12=0,0,D57/D$12)</f>
        <v>1.9178162190788831E-2</v>
      </c>
      <c r="G57" s="1"/>
      <c r="H57" s="1">
        <f>SUM(OSRRefH22_10x_0)</f>
        <v>9233.5700000000015</v>
      </c>
      <c r="I57" s="1"/>
      <c r="J57" s="5">
        <f t="shared" ref="J57:J60" si="45">IF(H$12=0,0,H57/H$12)</f>
        <v>7.7514468530212252E-2</v>
      </c>
      <c r="K57" s="1"/>
      <c r="L57" s="1">
        <f t="shared" ref="L57:L60" si="46">+D57-H57</f>
        <v>-7315.7300000000014</v>
      </c>
      <c r="M57" s="1"/>
      <c r="N57" s="5">
        <f t="shared" ref="N57:N60" si="47">IF(H57=0,0,L57/H57)</f>
        <v>-0.79229702054568274</v>
      </c>
      <c r="O57" s="13"/>
      <c r="P57" s="1">
        <f>SUM(OSRRefP22_10x_0)</f>
        <v>13767.53</v>
      </c>
      <c r="Q57" s="1"/>
      <c r="R57" s="5">
        <f t="shared" ref="R57:R60" si="48">IF(P$12=0,0,P57/P$12)</f>
        <v>1.8197192503473552E-2</v>
      </c>
      <c r="S57" s="1"/>
      <c r="T57" s="1">
        <f>SUM(OSRRefT22_10x_0)</f>
        <v>13789.25</v>
      </c>
      <c r="U57" s="1"/>
      <c r="V57" s="5">
        <f t="shared" ref="V57:V60" si="49">IF(T$12=0,0,T57/T$12)</f>
        <v>1.8038616669744781E-2</v>
      </c>
      <c r="W57" s="1"/>
      <c r="X57" s="1">
        <f t="shared" ref="X57:X60" si="50">+P57-T57</f>
        <v>-21.719999999999345</v>
      </c>
      <c r="Y57" s="1"/>
      <c r="Z57" s="5">
        <f t="shared" ref="Z57:Z60" si="51">IF(T57=0,0,X57/T57)</f>
        <v>-1.575140054752749E-3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>
        <v>2623.85</v>
      </c>
      <c r="Q58" s="2"/>
      <c r="R58" s="7">
        <f t="shared" si="48"/>
        <v>3.4680660619761912E-3</v>
      </c>
      <c r="S58" s="2"/>
      <c r="T58" s="6"/>
      <c r="U58" s="2"/>
      <c r="V58" s="7">
        <f t="shared" si="49"/>
        <v>0</v>
      </c>
      <c r="W58" s="2"/>
      <c r="X58" s="6">
        <f t="shared" si="50"/>
        <v>2623.85</v>
      </c>
      <c r="Y58" s="2"/>
      <c r="Z58" s="7">
        <f t="shared" si="51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6">
        <v>1056.04</v>
      </c>
      <c r="E59" s="2"/>
      <c r="F59" s="7">
        <f t="shared" si="44"/>
        <v>1.0560269052663745E-2</v>
      </c>
      <c r="G59" s="2"/>
      <c r="H59" s="6">
        <v>188.2</v>
      </c>
      <c r="I59" s="2"/>
      <c r="J59" s="7">
        <f t="shared" si="45"/>
        <v>1.5799114510840274E-3</v>
      </c>
      <c r="K59" s="2"/>
      <c r="L59" s="6">
        <f t="shared" si="46"/>
        <v>867.83999999999992</v>
      </c>
      <c r="M59" s="2"/>
      <c r="N59" s="7">
        <f t="shared" si="47"/>
        <v>4.6112646121147716</v>
      </c>
      <c r="O59" s="11"/>
      <c r="P59" s="6">
        <v>1245.08</v>
      </c>
      <c r="Q59" s="2"/>
      <c r="R59" s="7">
        <f t="shared" si="48"/>
        <v>1.6456808477791475E-3</v>
      </c>
      <c r="S59" s="2"/>
      <c r="T59" s="6">
        <v>376.4</v>
      </c>
      <c r="U59" s="2"/>
      <c r="V59" s="7">
        <f t="shared" si="49"/>
        <v>4.9239337269916313E-4</v>
      </c>
      <c r="W59" s="2"/>
      <c r="X59" s="6">
        <f t="shared" si="50"/>
        <v>868.68</v>
      </c>
      <c r="Y59" s="2"/>
      <c r="Z59" s="7">
        <f t="shared" si="51"/>
        <v>2.3078639744952181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861.8</v>
      </c>
      <c r="E60" s="2"/>
      <c r="F60" s="7">
        <f t="shared" si="44"/>
        <v>8.6178931381250858E-3</v>
      </c>
      <c r="G60" s="2"/>
      <c r="H60" s="6">
        <v>9045.3700000000008</v>
      </c>
      <c r="I60" s="2"/>
      <c r="J60" s="7">
        <f t="shared" si="45"/>
        <v>7.5934557079128218E-2</v>
      </c>
      <c r="K60" s="2"/>
      <c r="L60" s="6">
        <f t="shared" si="46"/>
        <v>-8183.5700000000006</v>
      </c>
      <c r="M60" s="2"/>
      <c r="N60" s="7">
        <f t="shared" si="47"/>
        <v>-0.90472473762820094</v>
      </c>
      <c r="O60" s="11"/>
      <c r="P60" s="6">
        <v>9898.6</v>
      </c>
      <c r="Q60" s="2"/>
      <c r="R60" s="7">
        <f t="shared" si="48"/>
        <v>1.3083445593718213E-2</v>
      </c>
      <c r="S60" s="2"/>
      <c r="T60" s="6">
        <v>13412.85</v>
      </c>
      <c r="U60" s="2"/>
      <c r="V60" s="7">
        <f t="shared" si="49"/>
        <v>1.7546223297045617E-2</v>
      </c>
      <c r="W60" s="2"/>
      <c r="X60" s="6">
        <f t="shared" si="50"/>
        <v>-3514.25</v>
      </c>
      <c r="Y60" s="2"/>
      <c r="Z60" s="7">
        <f t="shared" si="51"/>
        <v>-0.26200621046235512</v>
      </c>
    </row>
    <row r="61" spans="1:26" s="27" customFormat="1" outlineLevel="1" collapsed="1" x14ac:dyDescent="0.25">
      <c r="A61" s="25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SUM(OSRRefD22_11x_0)</f>
        <v>137.69999999999999</v>
      </c>
      <c r="E61" s="1"/>
      <c r="F61" s="5">
        <f t="shared" ref="F61:F64" si="52">IF(D$12=0,0,D61/D$12)</f>
        <v>1.3769829254117248E-3</v>
      </c>
      <c r="G61" s="1"/>
      <c r="H61" s="1">
        <f>SUM(OSRRefH22_11x_0)</f>
        <v>167.7</v>
      </c>
      <c r="I61" s="1"/>
      <c r="J61" s="5">
        <f t="shared" ref="J61:J64" si="53">IF(H$12=0,0,H61/H$12)</f>
        <v>1.4078169518958099E-3</v>
      </c>
      <c r="K61" s="1"/>
      <c r="L61" s="1">
        <f t="shared" ref="L61:L64" si="54">+D61-H61</f>
        <v>-30</v>
      </c>
      <c r="M61" s="1"/>
      <c r="N61" s="5">
        <f t="shared" ref="N61:N64" si="55">IF(H61=0,0,L61/H61)</f>
        <v>-0.17889087656529518</v>
      </c>
      <c r="O61" s="13"/>
      <c r="P61" s="1">
        <f>SUM(OSRRefP22_11x_0)</f>
        <v>1621.15</v>
      </c>
      <c r="Q61" s="1"/>
      <c r="R61" s="5">
        <f t="shared" ref="R61:R64" si="56">IF(P$12=0,0,P61/P$12)</f>
        <v>2.1427502701651022E-3</v>
      </c>
      <c r="S61" s="1"/>
      <c r="T61" s="1">
        <f>SUM(OSRRefT22_11x_0)</f>
        <v>1444.72</v>
      </c>
      <c r="U61" s="1"/>
      <c r="V61" s="5">
        <f t="shared" ref="V61:V64" si="57">IF(T$12=0,0,T61/T$12)</f>
        <v>1.8899323948085413E-3</v>
      </c>
      <c r="W61" s="1"/>
      <c r="X61" s="1">
        <f t="shared" ref="X61:X64" si="58">+P61-T61</f>
        <v>176.43000000000006</v>
      </c>
      <c r="Y61" s="1"/>
      <c r="Z61" s="5">
        <f t="shared" ref="Z61:Z64" si="59">IF(T61=0,0,X61/T61)</f>
        <v>0.1221205493105931</v>
      </c>
    </row>
    <row r="62" spans="1:26" s="24" customFormat="1" hidden="1" outlineLevel="2" x14ac:dyDescent="0.25">
      <c r="A62" s="26"/>
      <c r="B62" s="11" t="str">
        <f>CONCATENATE("          ", "6283", " - ", "PLANT SERVICE")</f>
        <v xml:space="preserve">          6283 - PLANT SERVICE</v>
      </c>
      <c r="C62" s="11"/>
      <c r="D62" s="6"/>
      <c r="E62" s="2"/>
      <c r="F62" s="7">
        <f t="shared" si="52"/>
        <v>0</v>
      </c>
      <c r="G62" s="2"/>
      <c r="H62" s="6">
        <v>30</v>
      </c>
      <c r="I62" s="2"/>
      <c r="J62" s="7">
        <f t="shared" si="53"/>
        <v>2.5184560856812341E-4</v>
      </c>
      <c r="K62" s="2"/>
      <c r="L62" s="6">
        <f t="shared" si="54"/>
        <v>-30</v>
      </c>
      <c r="M62" s="2"/>
      <c r="N62" s="7">
        <f t="shared" si="55"/>
        <v>-1</v>
      </c>
      <c r="O62" s="11"/>
      <c r="P62" s="6">
        <v>159</v>
      </c>
      <c r="Q62" s="2"/>
      <c r="R62" s="7">
        <f t="shared" si="56"/>
        <v>2.101577848787905E-4</v>
      </c>
      <c r="S62" s="2"/>
      <c r="T62" s="6">
        <v>180</v>
      </c>
      <c r="U62" s="2"/>
      <c r="V62" s="7">
        <f t="shared" si="57"/>
        <v>2.3546973189651798E-4</v>
      </c>
      <c r="W62" s="2"/>
      <c r="X62" s="6">
        <f t="shared" si="58"/>
        <v>-21</v>
      </c>
      <c r="Y62" s="2"/>
      <c r="Z62" s="7">
        <f t="shared" si="59"/>
        <v>-0.11666666666666667</v>
      </c>
    </row>
    <row r="63" spans="1:26" s="24" customFormat="1" hidden="1" outlineLevel="2" x14ac:dyDescent="0.25">
      <c r="A63" s="26"/>
      <c r="B63" s="11" t="str">
        <f>CONCATENATE("          ", "6285", " - ", "JANITORIAL SERVICES")</f>
        <v xml:space="preserve">          6285 - JANITORIAL SERVICES</v>
      </c>
      <c r="C63" s="11"/>
      <c r="D63" s="6"/>
      <c r="E63" s="2"/>
      <c r="F63" s="7">
        <f t="shared" si="52"/>
        <v>0</v>
      </c>
      <c r="G63" s="2"/>
      <c r="H63" s="6"/>
      <c r="I63" s="2"/>
      <c r="J63" s="7">
        <f t="shared" si="53"/>
        <v>0</v>
      </c>
      <c r="K63" s="2"/>
      <c r="L63" s="6">
        <f t="shared" si="54"/>
        <v>0</v>
      </c>
      <c r="M63" s="2"/>
      <c r="N63" s="7">
        <f t="shared" si="55"/>
        <v>0</v>
      </c>
      <c r="O63" s="11"/>
      <c r="P63" s="6">
        <v>350</v>
      </c>
      <c r="Q63" s="2"/>
      <c r="R63" s="7">
        <f t="shared" si="56"/>
        <v>4.6261147614828099E-4</v>
      </c>
      <c r="S63" s="2"/>
      <c r="T63" s="6"/>
      <c r="U63" s="2"/>
      <c r="V63" s="7">
        <f t="shared" si="57"/>
        <v>0</v>
      </c>
      <c r="W63" s="2"/>
      <c r="X63" s="6">
        <f t="shared" si="58"/>
        <v>350</v>
      </c>
      <c r="Y63" s="2"/>
      <c r="Z63" s="7">
        <f t="shared" si="59"/>
        <v>0</v>
      </c>
    </row>
    <row r="64" spans="1:26" s="24" customFormat="1" hidden="1" outlineLevel="2" x14ac:dyDescent="0.25">
      <c r="A64" s="26"/>
      <c r="B64" s="11" t="str">
        <f>CONCATENATE("          ", "6286", " - ", "LAUNDRY EXPENSE")</f>
        <v xml:space="preserve">          6286 - LAUNDRY EXPENSE</v>
      </c>
      <c r="C64" s="11"/>
      <c r="D64" s="6">
        <v>137.69999999999999</v>
      </c>
      <c r="E64" s="2"/>
      <c r="F64" s="7">
        <f t="shared" si="52"/>
        <v>1.3769829254117248E-3</v>
      </c>
      <c r="G64" s="2"/>
      <c r="H64" s="6">
        <v>137.69999999999999</v>
      </c>
      <c r="I64" s="2"/>
      <c r="J64" s="7">
        <f t="shared" si="53"/>
        <v>1.1559713433276864E-3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>
        <v>1112.1500000000001</v>
      </c>
      <c r="Q64" s="2"/>
      <c r="R64" s="7">
        <f t="shared" si="56"/>
        <v>1.4699810091380306E-3</v>
      </c>
      <c r="S64" s="2"/>
      <c r="T64" s="6">
        <v>1264.72</v>
      </c>
      <c r="U64" s="2"/>
      <c r="V64" s="7">
        <f t="shared" si="57"/>
        <v>1.6544626629120234E-3</v>
      </c>
      <c r="W64" s="2"/>
      <c r="X64" s="6">
        <f t="shared" si="58"/>
        <v>-152.56999999999994</v>
      </c>
      <c r="Y64" s="2"/>
      <c r="Z64" s="7">
        <f t="shared" si="59"/>
        <v>-0.12063539755835279</v>
      </c>
    </row>
    <row r="65" spans="1:26" s="27" customFormat="1" outlineLevel="1" collapsed="1" x14ac:dyDescent="0.25">
      <c r="A65" s="25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1174.71</v>
      </c>
      <c r="E65" s="1"/>
      <c r="F65" s="5">
        <f t="shared" ref="F65:F67" si="60">IF(D$12=0,0,D65/D$12)</f>
        <v>1.1746954337766211E-2</v>
      </c>
      <c r="G65" s="1"/>
      <c r="H65" s="1">
        <f>SUM(OSRRefH22_12x_0)</f>
        <v>193.71</v>
      </c>
      <c r="I65" s="1"/>
      <c r="J65" s="5">
        <f t="shared" ref="J65:J67" si="61">IF(H$12=0,0,H65/H$12)</f>
        <v>1.6261670945243729E-3</v>
      </c>
      <c r="K65" s="1"/>
      <c r="L65" s="1">
        <f t="shared" ref="L65:L67" si="62">+D65-H65</f>
        <v>981</v>
      </c>
      <c r="M65" s="1"/>
      <c r="N65" s="5">
        <f t="shared" ref="N65:N67" si="63">IF(H65=0,0,L65/H65)</f>
        <v>5.0642713334365803</v>
      </c>
      <c r="O65" s="13"/>
      <c r="P65" s="1">
        <f>SUM(OSRRefP22_12x_0)</f>
        <v>2158.2600000000002</v>
      </c>
      <c r="Q65" s="1"/>
      <c r="R65" s="5">
        <f t="shared" ref="R65:R67" si="64">IF(P$12=0,0,P65/P$12)</f>
        <v>2.8526738414622545E-3</v>
      </c>
      <c r="S65" s="1"/>
      <c r="T65" s="1">
        <f>SUM(OSRRefT22_12x_0)</f>
        <v>742.8</v>
      </c>
      <c r="U65" s="1"/>
      <c r="V65" s="5">
        <f t="shared" ref="V65:V67" si="65">IF(T$12=0,0,T65/T$12)</f>
        <v>9.7170509362629748E-4</v>
      </c>
      <c r="W65" s="1"/>
      <c r="X65" s="1">
        <f t="shared" ref="X65:X67" si="66">+P65-T65</f>
        <v>1415.4600000000003</v>
      </c>
      <c r="Y65" s="1"/>
      <c r="Z65" s="5">
        <f t="shared" ref="Z65:Z67" si="67">IF(T65=0,0,X65/T65)</f>
        <v>1.9055735056542815</v>
      </c>
    </row>
    <row r="66" spans="1:26" s="24" customFormat="1" hidden="1" outlineLevel="2" x14ac:dyDescent="0.25">
      <c r="A66" s="26"/>
      <c r="B66" s="11" t="str">
        <f>CONCATENATE("          ", "6258", " - ", "MEMBERSHIP DUES")</f>
        <v xml:space="preserve">          6258 - MEMBERSHIP DUES</v>
      </c>
      <c r="C66" s="11"/>
      <c r="D66" s="6">
        <v>978</v>
      </c>
      <c r="E66" s="2"/>
      <c r="F66" s="7">
        <f t="shared" si="60"/>
        <v>9.7798787295037531E-3</v>
      </c>
      <c r="G66" s="2"/>
      <c r="H66" s="6"/>
      <c r="I66" s="2"/>
      <c r="J66" s="7">
        <f t="shared" si="61"/>
        <v>0</v>
      </c>
      <c r="K66" s="2"/>
      <c r="L66" s="6">
        <f t="shared" si="62"/>
        <v>978</v>
      </c>
      <c r="M66" s="2"/>
      <c r="N66" s="7">
        <f t="shared" si="63"/>
        <v>0</v>
      </c>
      <c r="O66" s="11"/>
      <c r="P66" s="6">
        <v>978</v>
      </c>
      <c r="Q66" s="2"/>
      <c r="R66" s="7">
        <f t="shared" si="64"/>
        <v>1.292668639065768E-3</v>
      </c>
      <c r="S66" s="2"/>
      <c r="T66" s="6"/>
      <c r="U66" s="2"/>
      <c r="V66" s="7">
        <f t="shared" si="65"/>
        <v>0</v>
      </c>
      <c r="W66" s="2"/>
      <c r="X66" s="6">
        <f t="shared" si="66"/>
        <v>978</v>
      </c>
      <c r="Y66" s="2"/>
      <c r="Z66" s="7">
        <f t="shared" si="67"/>
        <v>0</v>
      </c>
    </row>
    <row r="67" spans="1:26" s="24" customFormat="1" hidden="1" outlineLevel="2" x14ac:dyDescent="0.25">
      <c r="A67" s="26"/>
      <c r="B67" s="11" t="str">
        <f>CONCATENATE("          ", "6275", " - ", "SUBSCRIPTIONS")</f>
        <v xml:space="preserve">          6275 - SUBSCRIPTIONS</v>
      </c>
      <c r="C67" s="11"/>
      <c r="D67" s="6">
        <v>196.71</v>
      </c>
      <c r="E67" s="2"/>
      <c r="F67" s="7">
        <f t="shared" si="60"/>
        <v>1.9670756082624573E-3</v>
      </c>
      <c r="G67" s="2"/>
      <c r="H67" s="6">
        <v>193.71</v>
      </c>
      <c r="I67" s="2"/>
      <c r="J67" s="7">
        <f t="shared" si="61"/>
        <v>1.6261670945243729E-3</v>
      </c>
      <c r="K67" s="2"/>
      <c r="L67" s="6">
        <f t="shared" si="62"/>
        <v>3</v>
      </c>
      <c r="M67" s="2"/>
      <c r="N67" s="7">
        <f t="shared" si="63"/>
        <v>1.5487068297971194E-2</v>
      </c>
      <c r="O67" s="11"/>
      <c r="P67" s="6">
        <v>1180.26</v>
      </c>
      <c r="Q67" s="2"/>
      <c r="R67" s="7">
        <f t="shared" si="64"/>
        <v>1.560005202396486E-3</v>
      </c>
      <c r="S67" s="2"/>
      <c r="T67" s="6">
        <v>742.8</v>
      </c>
      <c r="U67" s="2"/>
      <c r="V67" s="7">
        <f t="shared" si="65"/>
        <v>9.7170509362629748E-4</v>
      </c>
      <c r="W67" s="2"/>
      <c r="X67" s="6">
        <f t="shared" si="66"/>
        <v>437.46000000000004</v>
      </c>
      <c r="Y67" s="2"/>
      <c r="Z67" s="7">
        <f t="shared" si="67"/>
        <v>0.58893376413570286</v>
      </c>
    </row>
    <row r="68" spans="1:26" s="27" customFormat="1" outlineLevel="1" collapsed="1" x14ac:dyDescent="0.25">
      <c r="A68" s="25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SUM(OSRRefD22_13x_0)</f>
        <v>506.63</v>
      </c>
      <c r="E68" s="1"/>
      <c r="F68" s="5">
        <f t="shared" ref="F68:F75" si="68">IF(D$12=0,0,D68/D$12)</f>
        <v>5.0662371786589847E-3</v>
      </c>
      <c r="G68" s="1"/>
      <c r="H68" s="1">
        <f>SUM(OSRRefH22_13x_0)</f>
        <v>1240.21</v>
      </c>
      <c r="I68" s="1"/>
      <c r="J68" s="5">
        <f t="shared" ref="J68:J75" si="69">IF(H$12=0,0,H68/H$12)</f>
        <v>1.0411381406742411E-2</v>
      </c>
      <c r="K68" s="1"/>
      <c r="L68" s="1">
        <f t="shared" ref="L68:L75" si="70">+D68-H68</f>
        <v>-733.58</v>
      </c>
      <c r="M68" s="1"/>
      <c r="N68" s="5">
        <f t="shared" ref="N68:N75" si="71">IF(H68=0,0,L68/H68)</f>
        <v>-0.59149660138202398</v>
      </c>
      <c r="O68" s="13"/>
      <c r="P68" s="1">
        <f>SUM(OSRRefP22_13x_0)</f>
        <v>6542.2799999999988</v>
      </c>
      <c r="Q68" s="1"/>
      <c r="R68" s="5">
        <f t="shared" ref="R68:R75" si="72">IF(P$12=0,0,P68/P$12)</f>
        <v>8.647239451929644E-3</v>
      </c>
      <c r="S68" s="1"/>
      <c r="T68" s="1">
        <f>SUM(OSRRefT22_13x_0)</f>
        <v>10608.89</v>
      </c>
      <c r="U68" s="1"/>
      <c r="V68" s="5">
        <f t="shared" ref="V68:V75" si="73">IF(T$12=0,0,T68/T$12)</f>
        <v>1.3878180466775835E-2</v>
      </c>
      <c r="W68" s="1"/>
      <c r="X68" s="1">
        <f t="shared" ref="X68:X75" si="74">+P68-T68</f>
        <v>-4066.6100000000006</v>
      </c>
      <c r="Y68" s="1"/>
      <c r="Z68" s="5">
        <f t="shared" ref="Z68:Z75" si="75">IF(T68=0,0,X68/T68)</f>
        <v>-0.38332096948879674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68"/>
        <v>0</v>
      </c>
      <c r="G69" s="2"/>
      <c r="H69" s="6"/>
      <c r="I69" s="2"/>
      <c r="J69" s="7">
        <f t="shared" si="69"/>
        <v>0</v>
      </c>
      <c r="K69" s="2"/>
      <c r="L69" s="6">
        <f t="shared" si="70"/>
        <v>0</v>
      </c>
      <c r="M69" s="2"/>
      <c r="N69" s="7">
        <f t="shared" si="71"/>
        <v>0</v>
      </c>
      <c r="O69" s="11"/>
      <c r="P69" s="6"/>
      <c r="Q69" s="2"/>
      <c r="R69" s="7">
        <f t="shared" si="72"/>
        <v>0</v>
      </c>
      <c r="S69" s="2"/>
      <c r="T69" s="6">
        <v>2546.81</v>
      </c>
      <c r="U69" s="2"/>
      <c r="V69" s="7">
        <f t="shared" si="73"/>
        <v>3.3316481549520607E-3</v>
      </c>
      <c r="W69" s="2"/>
      <c r="X69" s="6">
        <f t="shared" si="74"/>
        <v>-2546.81</v>
      </c>
      <c r="Y69" s="2"/>
      <c r="Z69" s="7">
        <f t="shared" si="75"/>
        <v>-1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>
        <v>227.92</v>
      </c>
      <c r="E70" s="2"/>
      <c r="F70" s="7">
        <f t="shared" si="68"/>
        <v>2.2791717382704452E-3</v>
      </c>
      <c r="G70" s="2"/>
      <c r="H70" s="6"/>
      <c r="I70" s="2"/>
      <c r="J70" s="7">
        <f t="shared" si="69"/>
        <v>0</v>
      </c>
      <c r="K70" s="2"/>
      <c r="L70" s="6">
        <f t="shared" si="70"/>
        <v>227.92</v>
      </c>
      <c r="M70" s="2"/>
      <c r="N70" s="7">
        <f t="shared" si="71"/>
        <v>0</v>
      </c>
      <c r="O70" s="11"/>
      <c r="P70" s="6">
        <v>710.53</v>
      </c>
      <c r="Q70" s="2"/>
      <c r="R70" s="7">
        <f t="shared" si="72"/>
        <v>9.3914094899325159E-4</v>
      </c>
      <c r="S70" s="2"/>
      <c r="T70" s="6">
        <v>205.46</v>
      </c>
      <c r="U70" s="2"/>
      <c r="V70" s="7">
        <f t="shared" si="73"/>
        <v>2.6877561730810325E-4</v>
      </c>
      <c r="W70" s="2"/>
      <c r="X70" s="6">
        <f t="shared" si="74"/>
        <v>505.06999999999994</v>
      </c>
      <c r="Y70" s="2"/>
      <c r="Z70" s="7">
        <f t="shared" si="75"/>
        <v>2.458240046724423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>
        <v>25.09</v>
      </c>
      <c r="E71" s="2"/>
      <c r="F71" s="7">
        <f t="shared" si="68"/>
        <v>2.5089688887857791E-4</v>
      </c>
      <c r="G71" s="2"/>
      <c r="H71" s="6">
        <v>66.569999999999993</v>
      </c>
      <c r="I71" s="2"/>
      <c r="J71" s="7">
        <f t="shared" si="69"/>
        <v>5.5884540541266577E-4</v>
      </c>
      <c r="K71" s="2"/>
      <c r="L71" s="6">
        <f t="shared" si="70"/>
        <v>-41.47999999999999</v>
      </c>
      <c r="M71" s="2"/>
      <c r="N71" s="7">
        <f t="shared" si="71"/>
        <v>-0.62310350007510884</v>
      </c>
      <c r="O71" s="11"/>
      <c r="P71" s="6">
        <v>1597.63</v>
      </c>
      <c r="Q71" s="2"/>
      <c r="R71" s="7">
        <f t="shared" si="72"/>
        <v>2.1116627789679377E-3</v>
      </c>
      <c r="S71" s="2"/>
      <c r="T71" s="6">
        <v>914.74</v>
      </c>
      <c r="U71" s="2"/>
      <c r="V71" s="7">
        <f t="shared" si="73"/>
        <v>1.1966310141945603E-3</v>
      </c>
      <c r="W71" s="2"/>
      <c r="X71" s="6">
        <f t="shared" si="74"/>
        <v>682.8900000000001</v>
      </c>
      <c r="Y71" s="2"/>
      <c r="Z71" s="7">
        <f t="shared" si="75"/>
        <v>0.74654000043728286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>
        <v>253.62</v>
      </c>
      <c r="E72" s="2"/>
      <c r="F72" s="7">
        <f t="shared" si="68"/>
        <v>2.5361685515099611E-3</v>
      </c>
      <c r="G72" s="2"/>
      <c r="H72" s="6">
        <v>464.35</v>
      </c>
      <c r="I72" s="2"/>
      <c r="J72" s="7">
        <f t="shared" si="69"/>
        <v>3.8981502779536037E-3</v>
      </c>
      <c r="K72" s="2"/>
      <c r="L72" s="6">
        <f t="shared" si="70"/>
        <v>-210.73000000000002</v>
      </c>
      <c r="M72" s="2"/>
      <c r="N72" s="7">
        <f t="shared" si="71"/>
        <v>-0.45381716377732317</v>
      </c>
      <c r="O72" s="11"/>
      <c r="P72" s="6">
        <v>2167.2199999999998</v>
      </c>
      <c r="Q72" s="2"/>
      <c r="R72" s="7">
        <f t="shared" si="72"/>
        <v>2.8645166952516498E-3</v>
      </c>
      <c r="S72" s="2"/>
      <c r="T72" s="6">
        <v>4285.96</v>
      </c>
      <c r="U72" s="2"/>
      <c r="V72" s="7">
        <f t="shared" si="73"/>
        <v>5.6067436228844454E-3</v>
      </c>
      <c r="W72" s="2"/>
      <c r="X72" s="6">
        <f t="shared" si="74"/>
        <v>-2118.7400000000002</v>
      </c>
      <c r="Y72" s="2"/>
      <c r="Z72" s="7">
        <f t="shared" si="75"/>
        <v>-0.49434432425874253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68"/>
        <v>0</v>
      </c>
      <c r="G73" s="2"/>
      <c r="H73" s="6"/>
      <c r="I73" s="2"/>
      <c r="J73" s="7">
        <f t="shared" si="69"/>
        <v>0</v>
      </c>
      <c r="K73" s="2"/>
      <c r="L73" s="6">
        <f t="shared" si="70"/>
        <v>0</v>
      </c>
      <c r="M73" s="2"/>
      <c r="N73" s="7">
        <f t="shared" si="71"/>
        <v>0</v>
      </c>
      <c r="O73" s="11"/>
      <c r="P73" s="6">
        <v>22.05</v>
      </c>
      <c r="Q73" s="2"/>
      <c r="R73" s="7">
        <f t="shared" si="72"/>
        <v>2.9144522997341704E-5</v>
      </c>
      <c r="S73" s="2"/>
      <c r="T73" s="6"/>
      <c r="U73" s="2"/>
      <c r="V73" s="7">
        <f t="shared" si="73"/>
        <v>0</v>
      </c>
      <c r="W73" s="2"/>
      <c r="X73" s="6">
        <f t="shared" si="74"/>
        <v>22.05</v>
      </c>
      <c r="Y73" s="2"/>
      <c r="Z73" s="7">
        <f t="shared" si="75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68"/>
        <v>0</v>
      </c>
      <c r="G74" s="2"/>
      <c r="H74" s="6"/>
      <c r="I74" s="2"/>
      <c r="J74" s="7">
        <f t="shared" si="69"/>
        <v>0</v>
      </c>
      <c r="K74" s="2"/>
      <c r="L74" s="6">
        <f t="shared" si="70"/>
        <v>0</v>
      </c>
      <c r="M74" s="2"/>
      <c r="N74" s="7">
        <f t="shared" si="71"/>
        <v>0</v>
      </c>
      <c r="O74" s="11"/>
      <c r="P74" s="6">
        <v>1264.6099999999999</v>
      </c>
      <c r="Q74" s="2"/>
      <c r="R74" s="7">
        <f t="shared" si="72"/>
        <v>1.6714945681482215E-3</v>
      </c>
      <c r="S74" s="2"/>
      <c r="T74" s="6">
        <v>1201.3</v>
      </c>
      <c r="U74" s="2"/>
      <c r="V74" s="7">
        <f t="shared" si="73"/>
        <v>1.5714988273738168E-3</v>
      </c>
      <c r="W74" s="2"/>
      <c r="X74" s="6">
        <f t="shared" si="74"/>
        <v>63.309999999999945</v>
      </c>
      <c r="Y74" s="2"/>
      <c r="Z74" s="7">
        <f t="shared" si="75"/>
        <v>5.2701240322983393E-2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68"/>
        <v>0</v>
      </c>
      <c r="G75" s="2"/>
      <c r="H75" s="6">
        <v>709.29</v>
      </c>
      <c r="I75" s="2"/>
      <c r="J75" s="7">
        <f t="shared" si="69"/>
        <v>5.9543857233761415E-3</v>
      </c>
      <c r="K75" s="2"/>
      <c r="L75" s="6">
        <f t="shared" si="70"/>
        <v>-709.29</v>
      </c>
      <c r="M75" s="2"/>
      <c r="N75" s="7">
        <f t="shared" si="71"/>
        <v>-1</v>
      </c>
      <c r="O75" s="11"/>
      <c r="P75" s="6">
        <v>780.24</v>
      </c>
      <c r="Q75" s="2"/>
      <c r="R75" s="7">
        <f t="shared" si="72"/>
        <v>1.0312799375712422E-3</v>
      </c>
      <c r="S75" s="2"/>
      <c r="T75" s="6">
        <v>1454.62</v>
      </c>
      <c r="U75" s="2"/>
      <c r="V75" s="7">
        <f t="shared" si="73"/>
        <v>1.9028832300628496E-3</v>
      </c>
      <c r="W75" s="2"/>
      <c r="X75" s="6">
        <f t="shared" si="74"/>
        <v>-674.37999999999988</v>
      </c>
      <c r="Y75" s="2"/>
      <c r="Z75" s="7">
        <f t="shared" si="75"/>
        <v>-0.46361248985989462</v>
      </c>
    </row>
    <row r="76" spans="1:26" s="27" customFormat="1" outlineLevel="1" collapsed="1" x14ac:dyDescent="0.25">
      <c r="A76" s="25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156.44999999999999</v>
      </c>
      <c r="E76" s="1"/>
      <c r="F76" s="5">
        <f t="shared" ref="F76:F79" si="76">IF(D$12=0,0,D76/D$12)</f>
        <v>1.5644806004405543E-3</v>
      </c>
      <c r="G76" s="1"/>
      <c r="H76" s="1">
        <f>SUM(OSRRefH22_14x_0)</f>
        <v>158.35</v>
      </c>
      <c r="I76" s="1"/>
      <c r="J76" s="5">
        <f t="shared" ref="J76:J79" si="77">IF(H$12=0,0,H76/H$12)</f>
        <v>1.3293250705587447E-3</v>
      </c>
      <c r="K76" s="1"/>
      <c r="L76" s="1">
        <f t="shared" ref="L76:L79" si="78">+D76-H76</f>
        <v>-1.9000000000000057</v>
      </c>
      <c r="M76" s="1"/>
      <c r="N76" s="5">
        <f t="shared" ref="N76:N79" si="79">IF(H76=0,0,L76/H76)</f>
        <v>-1.1998736975055293E-2</v>
      </c>
      <c r="O76" s="13"/>
      <c r="P76" s="1">
        <f>SUM(OSRRefP22_14x_0)</f>
        <v>853.35</v>
      </c>
      <c r="Q76" s="1"/>
      <c r="R76" s="5">
        <f t="shared" ref="R76:R79" si="80">IF(P$12=0,0,P76/P$12)</f>
        <v>1.1279128662032446E-3</v>
      </c>
      <c r="S76" s="1"/>
      <c r="T76" s="1">
        <f>SUM(OSRRefT22_14x_0)</f>
        <v>954.35</v>
      </c>
      <c r="U76" s="1"/>
      <c r="V76" s="5">
        <f t="shared" ref="V76:V79" si="81">IF(T$12=0,0,T76/T$12)</f>
        <v>1.2484474368635663E-3</v>
      </c>
      <c r="W76" s="1"/>
      <c r="X76" s="1">
        <f t="shared" ref="X76:X79" si="82">+P76-T76</f>
        <v>-101</v>
      </c>
      <c r="Y76" s="1"/>
      <c r="Z76" s="5">
        <f t="shared" ref="Z76:Z79" si="83">IF(T76=0,0,X76/T76)</f>
        <v>-0.10583119400639178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6">
        <v>156.44999999999999</v>
      </c>
      <c r="E77" s="2"/>
      <c r="F77" s="7">
        <f t="shared" si="76"/>
        <v>1.5644806004405543E-3</v>
      </c>
      <c r="G77" s="2"/>
      <c r="H77" s="6">
        <v>158.35</v>
      </c>
      <c r="I77" s="2"/>
      <c r="J77" s="7">
        <f t="shared" si="77"/>
        <v>1.3293250705587447E-3</v>
      </c>
      <c r="K77" s="2"/>
      <c r="L77" s="6">
        <f t="shared" si="78"/>
        <v>-1.9000000000000057</v>
      </c>
      <c r="M77" s="2"/>
      <c r="N77" s="7">
        <f t="shared" si="79"/>
        <v>-1.1998736975055293E-2</v>
      </c>
      <c r="O77" s="11"/>
      <c r="P77" s="6">
        <v>853.35</v>
      </c>
      <c r="Q77" s="2"/>
      <c r="R77" s="7">
        <f t="shared" si="80"/>
        <v>1.1279128662032446E-3</v>
      </c>
      <c r="S77" s="2"/>
      <c r="T77" s="6">
        <v>954.35</v>
      </c>
      <c r="U77" s="2"/>
      <c r="V77" s="7">
        <f t="shared" si="81"/>
        <v>1.2484474368635663E-3</v>
      </c>
      <c r="W77" s="2"/>
      <c r="X77" s="6">
        <f t="shared" si="82"/>
        <v>-101</v>
      </c>
      <c r="Y77" s="2"/>
      <c r="Z77" s="7">
        <f t="shared" si="83"/>
        <v>-0.10583119400639178</v>
      </c>
    </row>
    <row r="78" spans="1:26" s="27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139</v>
      </c>
      <c r="E78" s="1"/>
      <c r="F78" s="5">
        <f t="shared" si="76"/>
        <v>1.3899827642137237E-3</v>
      </c>
      <c r="G78" s="1"/>
      <c r="H78" s="1">
        <f>SUM(OSRRefH22_15x_0)</f>
        <v>0</v>
      </c>
      <c r="I78" s="1"/>
      <c r="J78" s="5">
        <f t="shared" si="77"/>
        <v>0</v>
      </c>
      <c r="K78" s="1"/>
      <c r="L78" s="1">
        <f t="shared" si="78"/>
        <v>139</v>
      </c>
      <c r="M78" s="1"/>
      <c r="N78" s="5">
        <f t="shared" si="79"/>
        <v>0</v>
      </c>
      <c r="O78" s="13"/>
      <c r="P78" s="1">
        <f>SUM(OSRRefP22_15x_0)</f>
        <v>279.95</v>
      </c>
      <c r="Q78" s="1"/>
      <c r="R78" s="5">
        <f t="shared" si="80"/>
        <v>3.7002309356488932E-4</v>
      </c>
      <c r="S78" s="1"/>
      <c r="T78" s="1">
        <f>SUM(OSRRefT22_15x_0)</f>
        <v>140</v>
      </c>
      <c r="U78" s="1"/>
      <c r="V78" s="5">
        <f t="shared" si="81"/>
        <v>1.8314312480840288E-4</v>
      </c>
      <c r="W78" s="1"/>
      <c r="X78" s="1">
        <f t="shared" si="82"/>
        <v>139.94999999999999</v>
      </c>
      <c r="Y78" s="1"/>
      <c r="Z78" s="5">
        <f t="shared" si="83"/>
        <v>0.99964285714285706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>
        <v>139</v>
      </c>
      <c r="E79" s="2"/>
      <c r="F79" s="7">
        <f t="shared" si="76"/>
        <v>1.3899827642137237E-3</v>
      </c>
      <c r="G79" s="2"/>
      <c r="H79" s="6"/>
      <c r="I79" s="2"/>
      <c r="J79" s="7">
        <f t="shared" si="77"/>
        <v>0</v>
      </c>
      <c r="K79" s="2"/>
      <c r="L79" s="6">
        <f t="shared" si="78"/>
        <v>139</v>
      </c>
      <c r="M79" s="2"/>
      <c r="N79" s="7">
        <f t="shared" si="79"/>
        <v>0</v>
      </c>
      <c r="O79" s="11"/>
      <c r="P79" s="6">
        <v>279.95</v>
      </c>
      <c r="Q79" s="2"/>
      <c r="R79" s="7">
        <f t="shared" si="80"/>
        <v>3.7002309356488932E-4</v>
      </c>
      <c r="S79" s="2"/>
      <c r="T79" s="6">
        <v>140</v>
      </c>
      <c r="U79" s="2"/>
      <c r="V79" s="7">
        <f t="shared" si="81"/>
        <v>1.8314312480840288E-4</v>
      </c>
      <c r="W79" s="2"/>
      <c r="X79" s="6">
        <f t="shared" si="82"/>
        <v>139.94999999999999</v>
      </c>
      <c r="Y79" s="2"/>
      <c r="Z79" s="7">
        <f t="shared" si="83"/>
        <v>0.99964285714285706</v>
      </c>
    </row>
    <row r="80" spans="1:26" s="61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8" t="s">
        <v>0</v>
      </c>
      <c r="C81" s="10"/>
      <c r="D81" s="4">
        <f>SUM(OSRRefD25x_0)</f>
        <v>0</v>
      </c>
      <c r="E81" s="4"/>
      <c r="F81" s="12">
        <f t="shared" ref="F81:F82" si="84">IF(D$12=0,0,D81/D$12)</f>
        <v>0</v>
      </c>
      <c r="G81" s="4"/>
      <c r="H81" s="4">
        <f>SUM(OSRRefH25x_0)</f>
        <v>0</v>
      </c>
      <c r="I81" s="4"/>
      <c r="J81" s="12">
        <f t="shared" ref="J81:J82" si="85">IF(H$12=0,0,H81/H$12)</f>
        <v>0</v>
      </c>
      <c r="K81" s="4"/>
      <c r="L81" s="4">
        <f t="shared" ref="L81:L82" si="86">+D81-H81</f>
        <v>0</v>
      </c>
      <c r="M81" s="4"/>
      <c r="N81" s="12">
        <f t="shared" ref="N81:N82" si="87">IF(H81=0,0,L81/H81)</f>
        <v>0</v>
      </c>
      <c r="O81" s="10"/>
      <c r="P81" s="4">
        <f>SUM(OSRRefP25x_0)</f>
        <v>0</v>
      </c>
      <c r="Q81" s="4"/>
      <c r="R81" s="12">
        <f t="shared" ref="R81:R82" si="88">IF(P$12=0,0,P81/P$12)</f>
        <v>0</v>
      </c>
      <c r="S81" s="4"/>
      <c r="T81" s="4">
        <f>SUM(OSRRefT25x_0)</f>
        <v>258</v>
      </c>
      <c r="U81" s="4"/>
      <c r="V81" s="12">
        <f t="shared" ref="V81:V82" si="89">IF(T$12=0,0,T81/T$12)</f>
        <v>3.3750661571834242E-4</v>
      </c>
      <c r="W81" s="4"/>
      <c r="X81" s="4">
        <f t="shared" ref="X81:X82" si="90">+P81-T81</f>
        <v>-258</v>
      </c>
      <c r="Y81" s="4"/>
      <c r="Z81" s="12">
        <f t="shared" ref="Z81:Z82" si="91">IF(T81=0,0,X81/T81)</f>
        <v>-1</v>
      </c>
    </row>
    <row r="82" spans="1:26" s="24" customFormat="1" hidden="1" outlineLevel="1" x14ac:dyDescent="0.25">
      <c r="A82" s="44"/>
      <c r="B82" s="11" t="str">
        <f>CONCATENATE("          ", "9150", " - ", "MISC. INCOME")</f>
        <v xml:space="preserve">          9150 - MISC. INCOME</v>
      </c>
      <c r="C82" s="11"/>
      <c r="D82" s="2">
        <f>0</f>
        <v>0</v>
      </c>
      <c r="E82" s="2"/>
      <c r="F82" s="19">
        <f t="shared" si="84"/>
        <v>0</v>
      </c>
      <c r="G82" s="2"/>
      <c r="H82" s="2">
        <f>0</f>
        <v>0</v>
      </c>
      <c r="I82" s="2"/>
      <c r="J82" s="19">
        <f t="shared" si="85"/>
        <v>0</v>
      </c>
      <c r="K82" s="2"/>
      <c r="L82" s="2">
        <f t="shared" si="86"/>
        <v>0</v>
      </c>
      <c r="M82" s="2"/>
      <c r="N82" s="19">
        <f t="shared" si="87"/>
        <v>0</v>
      </c>
      <c r="O82" s="11"/>
      <c r="P82" s="2">
        <f>0</f>
        <v>0</v>
      </c>
      <c r="Q82" s="2"/>
      <c r="R82" s="19">
        <f t="shared" si="88"/>
        <v>0</v>
      </c>
      <c r="S82" s="2"/>
      <c r="T82" s="2">
        <f>--258</f>
        <v>258</v>
      </c>
      <c r="U82" s="2"/>
      <c r="V82" s="19">
        <f t="shared" si="89"/>
        <v>3.3750661571834242E-4</v>
      </c>
      <c r="W82" s="2"/>
      <c r="X82" s="2">
        <f t="shared" si="90"/>
        <v>-258</v>
      </c>
      <c r="Y82" s="2"/>
      <c r="Z82" s="19">
        <f t="shared" si="91"/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9" t="s">
        <v>3</v>
      </c>
      <c r="C84" s="29"/>
      <c r="D84" s="20">
        <f>+D20-D22+D81</f>
        <v>7617.3899999999994</v>
      </c>
      <c r="E84" s="14"/>
      <c r="F84" s="21">
        <f>IF(D$12=0,0,D84/D$12)</f>
        <v>7.617295545535234E-2</v>
      </c>
      <c r="G84" s="14"/>
      <c r="H84" s="20">
        <f>+H20-H22+H81</f>
        <v>15457.529999999984</v>
      </c>
      <c r="I84" s="14"/>
      <c r="J84" s="21">
        <f>IF(H$12=0,0,H84/H$12)</f>
        <v>0.12976370166033402</v>
      </c>
      <c r="K84" s="15"/>
      <c r="L84" s="20">
        <f>+D84-H84</f>
        <v>-7840.1399999999849</v>
      </c>
      <c r="M84" s="15"/>
      <c r="N84" s="21">
        <f>IF(H84=0,0,L84/H84)</f>
        <v>-0.50720522619072983</v>
      </c>
      <c r="O84" s="28"/>
      <c r="P84" s="20">
        <f>+P20-P22+P81</f>
        <v>143560.38000000006</v>
      </c>
      <c r="Q84" s="14"/>
      <c r="R84" s="21">
        <f>IF(P$12=0,0,P84/P$12)</f>
        <v>0.18975051230916623</v>
      </c>
      <c r="S84" s="14"/>
      <c r="T84" s="20">
        <f>+T20-T22+T81</f>
        <v>168276.64999999997</v>
      </c>
      <c r="U84" s="14"/>
      <c r="V84" s="21">
        <f>IF(T$12=0,0,T84/T$12)</f>
        <v>0.22013365366635657</v>
      </c>
      <c r="W84" s="15"/>
      <c r="X84" s="20">
        <f>+P84-T84</f>
        <v>-24716.269999999902</v>
      </c>
      <c r="Y84" s="15"/>
      <c r="Z84" s="21">
        <f>IF(T84=0,0,X84/T84)</f>
        <v>-0.14687878561880038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12189.2</v>
      </c>
      <c r="E86" s="4"/>
      <c r="F86" s="12">
        <f>IF(D$12=0,0,D86/D$12)</f>
        <v>0.12189048855794188</v>
      </c>
      <c r="G86" s="4"/>
      <c r="H86" s="4">
        <v>14592.57</v>
      </c>
      <c r="I86" s="4"/>
      <c r="J86" s="12">
        <f>IF(H$12=0,0,H86/H$12)</f>
        <v>0.12250248907409803</v>
      </c>
      <c r="K86" s="4"/>
      <c r="L86" s="4">
        <f>+D86-H86</f>
        <v>-2403.369999999999</v>
      </c>
      <c r="M86" s="4"/>
      <c r="N86" s="12">
        <f>IF(H86=0,0,L86/H86)</f>
        <v>-0.16469819915203415</v>
      </c>
      <c r="O86" s="10"/>
      <c r="P86" s="4">
        <v>81715.86</v>
      </c>
      <c r="Q86" s="4"/>
      <c r="R86" s="12">
        <f>IF(P$12=0,0,P86/P$12)</f>
        <v>0.10800769891236077</v>
      </c>
      <c r="S86" s="4"/>
      <c r="T86" s="4">
        <v>82493.509999999995</v>
      </c>
      <c r="U86" s="4"/>
      <c r="V86" s="12">
        <f>IF(T$12=0,0,T86/T$12)</f>
        <v>0.10791513712723735</v>
      </c>
      <c r="W86" s="4"/>
      <c r="X86" s="4">
        <f>+P86-T86</f>
        <v>-777.64999999999418</v>
      </c>
      <c r="Y86" s="4"/>
      <c r="Z86" s="12">
        <f>IF(T86=0,0,X86/T86)</f>
        <v>-9.4268021811654539E-3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4</v>
      </c>
      <c r="C88" s="29"/>
      <c r="D88" s="32">
        <f>+D84-D86</f>
        <v>-4571.8100000000013</v>
      </c>
      <c r="E88" s="14"/>
      <c r="F88" s="30">
        <f>IF(D$12=0,0,D88/D$12)</f>
        <v>-4.5717533102589539E-2</v>
      </c>
      <c r="G88" s="14"/>
      <c r="H88" s="32">
        <f>+H84-H86</f>
        <v>864.95999999998457</v>
      </c>
      <c r="I88" s="14"/>
      <c r="J88" s="30">
        <f>IF(H$12=0,0,H88/H$12)</f>
        <v>7.2612125862360046E-3</v>
      </c>
      <c r="K88" s="15"/>
      <c r="L88" s="32">
        <f>D88-H88</f>
        <v>-5436.7699999999859</v>
      </c>
      <c r="M88" s="15"/>
      <c r="N88" s="30">
        <f>IF(H88=0,0,L88/H88)</f>
        <v>-6.2855738993711654</v>
      </c>
      <c r="O88" s="28"/>
      <c r="P88" s="32">
        <f>+P84-P86</f>
        <v>61844.520000000062</v>
      </c>
      <c r="Q88" s="14"/>
      <c r="R88" s="30">
        <f>IF(P$12=0,0,P88/P$12)</f>
        <v>8.1742813396805475E-2</v>
      </c>
      <c r="S88" s="14"/>
      <c r="T88" s="32">
        <f>+T84-T86</f>
        <v>85783.13999999997</v>
      </c>
      <c r="U88" s="14"/>
      <c r="V88" s="30">
        <f>IF(T$12=0,0,T88/T$12)</f>
        <v>0.11221851653911923</v>
      </c>
      <c r="W88" s="15"/>
      <c r="X88" s="32">
        <f>P88-T88</f>
        <v>-23938.619999999908</v>
      </c>
      <c r="Y88" s="15"/>
      <c r="Z88" s="30">
        <f>IF(T88=0,0,X88/T88)</f>
        <v>-0.27905973131783141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5</v>
      </c>
      <c r="C91" s="29"/>
      <c r="D91" s="36">
        <f>SUM(D88:D90)</f>
        <v>-4571.8100000000013</v>
      </c>
      <c r="E91" s="14"/>
      <c r="F91" s="31">
        <f>IF(D$12=0,0,D91/D$12)</f>
        <v>-4.5717533102589539E-2</v>
      </c>
      <c r="G91" s="14"/>
      <c r="H91" s="36">
        <f>SUM(H88:H90)</f>
        <v>864.95999999998457</v>
      </c>
      <c r="I91" s="14"/>
      <c r="J91" s="31">
        <f>IF(H$12=0,0,H91/H$12)</f>
        <v>7.2612125862360046E-3</v>
      </c>
      <c r="K91" s="15"/>
      <c r="L91" s="36">
        <f>+D91-H91</f>
        <v>-5436.7699999999859</v>
      </c>
      <c r="M91" s="15"/>
      <c r="N91" s="31">
        <f>IF(H91=0,0,L91/H91)</f>
        <v>-6.2855738993711654</v>
      </c>
      <c r="O91" s="28"/>
      <c r="P91" s="36">
        <f>SUM(P88:P90)</f>
        <v>61844.520000000062</v>
      </c>
      <c r="Q91" s="14"/>
      <c r="R91" s="31">
        <f>IF(P$12=0,0,P91/P$12)</f>
        <v>8.1742813396805475E-2</v>
      </c>
      <c r="S91" s="14"/>
      <c r="T91" s="36">
        <f>SUM(T88:T90)</f>
        <v>85783.13999999997</v>
      </c>
      <c r="U91" s="14"/>
      <c r="V91" s="31">
        <f>IF(T$12=0,0,T91/T$12)</f>
        <v>0.11221851653911923</v>
      </c>
      <c r="W91" s="15"/>
      <c r="X91" s="36">
        <f>+P91-T91</f>
        <v>-23938.619999999908</v>
      </c>
      <c r="Y91" s="15"/>
      <c r="Z91" s="31">
        <f>IF(T91=0,0,X91/T91)</f>
        <v>-0.27905973131783141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2">
        <v>43847.454116053239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6" t="s">
        <v>313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4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","423", " - ", "Contract Revenue")</f>
        <v>Department 423 - Contract Revenue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D12-D14</f>
        <v>0</v>
      </c>
      <c r="E17" s="14"/>
      <c r="F17" s="21">
        <f>IF(D$12=0,0,D17/D$12)</f>
        <v>0</v>
      </c>
      <c r="G17" s="14"/>
      <c r="H17" s="20">
        <f>H12-H14</f>
        <v>0</v>
      </c>
      <c r="I17" s="14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8"/>
      <c r="P17" s="20">
        <f>P12-P14</f>
        <v>805.48</v>
      </c>
      <c r="Q17" s="14"/>
      <c r="R17" s="21">
        <f>IF(P$12=0,0,P17/P$12)</f>
        <v>0</v>
      </c>
      <c r="S17" s="14"/>
      <c r="T17" s="20">
        <f>T12-T14</f>
        <v>0</v>
      </c>
      <c r="U17" s="14"/>
      <c r="V17" s="21">
        <f>IF(T$12=0,0,T17/T$12)</f>
        <v>0</v>
      </c>
      <c r="W17" s="15"/>
      <c r="X17" s="20">
        <f>+P17-T17</f>
        <v>805.48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7544.0199999999995</v>
      </c>
      <c r="E19" s="22"/>
      <c r="F19" s="33">
        <f t="shared" ref="F19:F28" si="8">IF(D$12=0,0,D19/D$12)</f>
        <v>0</v>
      </c>
      <c r="G19" s="22"/>
      <c r="H19" s="22">
        <f>SUM(OSRRefH22x_0)</f>
        <v>7031.0099999999993</v>
      </c>
      <c r="I19" s="22"/>
      <c r="J19" s="33">
        <f t="shared" ref="J19:J28" si="9">IF(H$12=0,0,H19/H$12)</f>
        <v>0</v>
      </c>
      <c r="K19" s="4"/>
      <c r="L19" s="22">
        <f t="shared" ref="L19:L28" si="10">+D19-H19</f>
        <v>513.01000000000022</v>
      </c>
      <c r="M19" s="4"/>
      <c r="N19" s="33">
        <f t="shared" ref="N19:N28" si="11">IF(H19=0,0,L19/H19)</f>
        <v>7.2963912723776572E-2</v>
      </c>
      <c r="O19" s="10"/>
      <c r="P19" s="22">
        <f>SUM(OSRRefP22x_0)</f>
        <v>68975.400000000009</v>
      </c>
      <c r="Q19" s="22"/>
      <c r="R19" s="33">
        <f t="shared" ref="R19:R28" si="12">IF(P$12=0,0,P19/P$12)</f>
        <v>0</v>
      </c>
      <c r="S19" s="22"/>
      <c r="T19" s="22">
        <f>SUM(OSRRefT22x_0)</f>
        <v>54162.86</v>
      </c>
      <c r="U19" s="22"/>
      <c r="V19" s="33">
        <f t="shared" ref="V19:V28" si="13">IF(T$12=0,0,T19/T$12)</f>
        <v>0</v>
      </c>
      <c r="W19" s="4"/>
      <c r="X19" s="22">
        <f t="shared" ref="X19:X28" si="14">+P19-T19</f>
        <v>14812.540000000008</v>
      </c>
      <c r="Y19" s="4"/>
      <c r="Z19" s="33">
        <f t="shared" ref="Z19:Z28" si="15">IF(T19=0,0,X19/T19)</f>
        <v>0.27348149636115981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2646.2999999999997</v>
      </c>
      <c r="E20" s="1"/>
      <c r="F20" s="5">
        <f t="shared" si="8"/>
        <v>0</v>
      </c>
      <c r="G20" s="1"/>
      <c r="H20" s="1">
        <f>SUM(OSRRefH22_0x_0)</f>
        <v>2630.35</v>
      </c>
      <c r="I20" s="1"/>
      <c r="J20" s="5">
        <f t="shared" si="9"/>
        <v>0</v>
      </c>
      <c r="K20" s="1"/>
      <c r="L20" s="1">
        <f t="shared" si="10"/>
        <v>15.949999999999818</v>
      </c>
      <c r="M20" s="1"/>
      <c r="N20" s="5">
        <f t="shared" si="11"/>
        <v>6.0638318094549462E-3</v>
      </c>
      <c r="O20" s="13"/>
      <c r="P20" s="1">
        <f>SUM(OSRRefP22_0x_0)</f>
        <v>27456.609999999997</v>
      </c>
      <c r="Q20" s="1"/>
      <c r="R20" s="5">
        <f t="shared" si="12"/>
        <v>0</v>
      </c>
      <c r="S20" s="1"/>
      <c r="T20" s="1">
        <f>SUM(OSRRefT22_0x_0)</f>
        <v>20552.29</v>
      </c>
      <c r="U20" s="1"/>
      <c r="V20" s="5">
        <f t="shared" si="13"/>
        <v>0</v>
      </c>
      <c r="W20" s="1"/>
      <c r="X20" s="1">
        <f t="shared" si="14"/>
        <v>6904.3199999999961</v>
      </c>
      <c r="Y20" s="1"/>
      <c r="Z20" s="5">
        <f t="shared" si="15"/>
        <v>0.33593920677452466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241.11</v>
      </c>
      <c r="E21" s="2"/>
      <c r="F21" s="7">
        <f t="shared" si="8"/>
        <v>0</v>
      </c>
      <c r="G21" s="2"/>
      <c r="H21" s="6">
        <v>229.13</v>
      </c>
      <c r="I21" s="2"/>
      <c r="J21" s="7">
        <f t="shared" si="9"/>
        <v>0</v>
      </c>
      <c r="K21" s="2"/>
      <c r="L21" s="6">
        <f t="shared" si="10"/>
        <v>11.980000000000018</v>
      </c>
      <c r="M21" s="2"/>
      <c r="N21" s="7">
        <f t="shared" si="11"/>
        <v>5.2284729193034604E-2</v>
      </c>
      <c r="O21" s="11"/>
      <c r="P21" s="6">
        <v>3789.31</v>
      </c>
      <c r="Q21" s="2"/>
      <c r="R21" s="7">
        <f t="shared" si="12"/>
        <v>0</v>
      </c>
      <c r="S21" s="2"/>
      <c r="T21" s="6">
        <v>3477.46</v>
      </c>
      <c r="U21" s="2"/>
      <c r="V21" s="7">
        <f t="shared" si="13"/>
        <v>0</v>
      </c>
      <c r="W21" s="2"/>
      <c r="X21" s="6">
        <f t="shared" si="14"/>
        <v>311.84999999999991</v>
      </c>
      <c r="Y21" s="2"/>
      <c r="Z21" s="7">
        <f t="shared" si="15"/>
        <v>8.9677523249728219E-2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25.66</v>
      </c>
      <c r="E22" s="2"/>
      <c r="F22" s="7">
        <f t="shared" si="8"/>
        <v>0</v>
      </c>
      <c r="G22" s="2"/>
      <c r="H22" s="6">
        <v>233.15</v>
      </c>
      <c r="I22" s="2"/>
      <c r="J22" s="7">
        <f t="shared" si="9"/>
        <v>0</v>
      </c>
      <c r="K22" s="2"/>
      <c r="L22" s="6">
        <f t="shared" si="10"/>
        <v>-207.49</v>
      </c>
      <c r="M22" s="2"/>
      <c r="N22" s="7">
        <f t="shared" si="11"/>
        <v>-0.88994209736221319</v>
      </c>
      <c r="O22" s="11"/>
      <c r="P22" s="6">
        <v>125.1</v>
      </c>
      <c r="Q22" s="2"/>
      <c r="R22" s="7">
        <f t="shared" si="12"/>
        <v>0</v>
      </c>
      <c r="S22" s="2"/>
      <c r="T22" s="6">
        <v>1388.84</v>
      </c>
      <c r="U22" s="2"/>
      <c r="V22" s="7">
        <f t="shared" si="13"/>
        <v>0</v>
      </c>
      <c r="W22" s="2"/>
      <c r="X22" s="6">
        <f t="shared" si="14"/>
        <v>-1263.74</v>
      </c>
      <c r="Y22" s="2"/>
      <c r="Z22" s="7">
        <f t="shared" si="15"/>
        <v>-0.90992482935399333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1011.43</v>
      </c>
      <c r="E23" s="2"/>
      <c r="F23" s="7">
        <f t="shared" si="8"/>
        <v>0</v>
      </c>
      <c r="G23" s="2"/>
      <c r="H23" s="6">
        <v>1024.08</v>
      </c>
      <c r="I23" s="2"/>
      <c r="J23" s="7">
        <f t="shared" si="9"/>
        <v>0</v>
      </c>
      <c r="K23" s="2"/>
      <c r="L23" s="6">
        <f t="shared" si="10"/>
        <v>-12.649999999999977</v>
      </c>
      <c r="M23" s="2"/>
      <c r="N23" s="7">
        <f t="shared" si="11"/>
        <v>-1.235255058198576E-2</v>
      </c>
      <c r="O23" s="11"/>
      <c r="P23" s="6">
        <v>6068.58</v>
      </c>
      <c r="Q23" s="2"/>
      <c r="R23" s="7">
        <f t="shared" si="12"/>
        <v>0</v>
      </c>
      <c r="S23" s="2"/>
      <c r="T23" s="6">
        <v>5537.31</v>
      </c>
      <c r="U23" s="2"/>
      <c r="V23" s="7">
        <f t="shared" si="13"/>
        <v>0</v>
      </c>
      <c r="W23" s="2"/>
      <c r="X23" s="6">
        <f t="shared" si="14"/>
        <v>531.26999999999953</v>
      </c>
      <c r="Y23" s="2"/>
      <c r="Z23" s="7">
        <f t="shared" si="15"/>
        <v>9.5943698293936855E-2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19.62</v>
      </c>
      <c r="E24" s="2"/>
      <c r="F24" s="7">
        <f t="shared" si="8"/>
        <v>0</v>
      </c>
      <c r="G24" s="2"/>
      <c r="H24" s="6">
        <v>17.32</v>
      </c>
      <c r="I24" s="2"/>
      <c r="J24" s="7">
        <f t="shared" si="9"/>
        <v>0</v>
      </c>
      <c r="K24" s="2"/>
      <c r="L24" s="6">
        <f t="shared" si="10"/>
        <v>2.3000000000000007</v>
      </c>
      <c r="M24" s="2"/>
      <c r="N24" s="7">
        <f t="shared" si="11"/>
        <v>0.13279445727482683</v>
      </c>
      <c r="O24" s="11"/>
      <c r="P24" s="6">
        <v>108.15</v>
      </c>
      <c r="Q24" s="2"/>
      <c r="R24" s="7">
        <f t="shared" si="12"/>
        <v>0</v>
      </c>
      <c r="S24" s="2"/>
      <c r="T24" s="6">
        <v>103.18</v>
      </c>
      <c r="U24" s="2"/>
      <c r="V24" s="7">
        <f t="shared" si="13"/>
        <v>0</v>
      </c>
      <c r="W24" s="2"/>
      <c r="X24" s="6">
        <f t="shared" si="14"/>
        <v>4.9699999999999989</v>
      </c>
      <c r="Y24" s="2"/>
      <c r="Z24" s="7">
        <f t="shared" si="15"/>
        <v>4.8168249660786963E-2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514.27</v>
      </c>
      <c r="E25" s="2"/>
      <c r="F25" s="7">
        <f t="shared" si="8"/>
        <v>0</v>
      </c>
      <c r="G25" s="2"/>
      <c r="H25" s="6">
        <v>417.84</v>
      </c>
      <c r="I25" s="2"/>
      <c r="J25" s="7">
        <f t="shared" si="9"/>
        <v>0</v>
      </c>
      <c r="K25" s="2"/>
      <c r="L25" s="6">
        <f t="shared" si="10"/>
        <v>96.43</v>
      </c>
      <c r="M25" s="2"/>
      <c r="N25" s="7">
        <f t="shared" si="11"/>
        <v>0.23078211755695963</v>
      </c>
      <c r="O25" s="11"/>
      <c r="P25" s="6">
        <v>3994.94</v>
      </c>
      <c r="Q25" s="2"/>
      <c r="R25" s="7">
        <f t="shared" si="12"/>
        <v>0</v>
      </c>
      <c r="S25" s="2"/>
      <c r="T25" s="6">
        <v>3524.67</v>
      </c>
      <c r="U25" s="2"/>
      <c r="V25" s="7">
        <f t="shared" si="13"/>
        <v>0</v>
      </c>
      <c r="W25" s="2"/>
      <c r="X25" s="6">
        <f t="shared" si="14"/>
        <v>470.27</v>
      </c>
      <c r="Y25" s="2"/>
      <c r="Z25" s="7">
        <f t="shared" si="15"/>
        <v>0.13342241968751684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464.78</v>
      </c>
      <c r="E26" s="2"/>
      <c r="F26" s="7">
        <f t="shared" si="8"/>
        <v>0</v>
      </c>
      <c r="G26" s="2"/>
      <c r="H26" s="6">
        <v>410.22</v>
      </c>
      <c r="I26" s="2"/>
      <c r="J26" s="7">
        <f t="shared" si="9"/>
        <v>0</v>
      </c>
      <c r="K26" s="2"/>
      <c r="L26" s="6">
        <f t="shared" si="10"/>
        <v>54.559999999999945</v>
      </c>
      <c r="M26" s="2"/>
      <c r="N26" s="7">
        <f t="shared" si="11"/>
        <v>0.13300180391009689</v>
      </c>
      <c r="O26" s="11"/>
      <c r="P26" s="6">
        <v>4383.8100000000004</v>
      </c>
      <c r="Q26" s="2"/>
      <c r="R26" s="7">
        <f t="shared" si="12"/>
        <v>0</v>
      </c>
      <c r="S26" s="2"/>
      <c r="T26" s="6">
        <v>3022.14</v>
      </c>
      <c r="U26" s="2"/>
      <c r="V26" s="7">
        <f t="shared" si="13"/>
        <v>0</v>
      </c>
      <c r="W26" s="2"/>
      <c r="X26" s="6">
        <f t="shared" si="14"/>
        <v>1361.6700000000005</v>
      </c>
      <c r="Y26" s="2"/>
      <c r="Z26" s="7">
        <f t="shared" si="15"/>
        <v>0.45056483154321131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232.08</v>
      </c>
      <c r="E27" s="2"/>
      <c r="F27" s="7">
        <f t="shared" si="8"/>
        <v>0</v>
      </c>
      <c r="G27" s="2"/>
      <c r="H27" s="6">
        <v>204.83</v>
      </c>
      <c r="I27" s="2"/>
      <c r="J27" s="7">
        <f t="shared" si="9"/>
        <v>0</v>
      </c>
      <c r="K27" s="2"/>
      <c r="L27" s="6">
        <f t="shared" si="10"/>
        <v>27.25</v>
      </c>
      <c r="M27" s="2"/>
      <c r="N27" s="7">
        <f t="shared" si="11"/>
        <v>0.13303715276082603</v>
      </c>
      <c r="O27" s="11"/>
      <c r="P27" s="6">
        <v>8119.96</v>
      </c>
      <c r="Q27" s="2"/>
      <c r="R27" s="7">
        <f t="shared" si="12"/>
        <v>0</v>
      </c>
      <c r="S27" s="2"/>
      <c r="T27" s="6">
        <v>2701.75</v>
      </c>
      <c r="U27" s="2"/>
      <c r="V27" s="7">
        <f t="shared" si="13"/>
        <v>0</v>
      </c>
      <c r="W27" s="2"/>
      <c r="X27" s="6">
        <f t="shared" si="14"/>
        <v>5418.21</v>
      </c>
      <c r="Y27" s="2"/>
      <c r="Z27" s="7">
        <f t="shared" si="15"/>
        <v>2.0054446192282778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137.35</v>
      </c>
      <c r="E28" s="2"/>
      <c r="F28" s="7">
        <f t="shared" si="8"/>
        <v>0</v>
      </c>
      <c r="G28" s="2"/>
      <c r="H28" s="6">
        <v>93.78</v>
      </c>
      <c r="I28" s="2"/>
      <c r="J28" s="7">
        <f t="shared" si="9"/>
        <v>0</v>
      </c>
      <c r="K28" s="2"/>
      <c r="L28" s="6">
        <f t="shared" si="10"/>
        <v>43.569999999999993</v>
      </c>
      <c r="M28" s="2"/>
      <c r="N28" s="7">
        <f t="shared" si="11"/>
        <v>0.46459799530816798</v>
      </c>
      <c r="O28" s="11"/>
      <c r="P28" s="6">
        <v>866.76</v>
      </c>
      <c r="Q28" s="2"/>
      <c r="R28" s="7">
        <f t="shared" si="12"/>
        <v>0</v>
      </c>
      <c r="S28" s="2"/>
      <c r="T28" s="6">
        <v>796.94</v>
      </c>
      <c r="U28" s="2"/>
      <c r="V28" s="7">
        <f t="shared" si="13"/>
        <v>0</v>
      </c>
      <c r="W28" s="2"/>
      <c r="X28" s="6">
        <f t="shared" si="14"/>
        <v>69.819999999999936</v>
      </c>
      <c r="Y28" s="2"/>
      <c r="Z28" s="7">
        <f t="shared" si="15"/>
        <v>8.7610108665646017E-2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4779.93</v>
      </c>
      <c r="E29" s="1"/>
      <c r="F29" s="5">
        <f t="shared" ref="F29:F38" si="16">IF(D$12=0,0,D29/D$12)</f>
        <v>0</v>
      </c>
      <c r="G29" s="1"/>
      <c r="H29" s="1">
        <f>SUM(OSRRefH22_1x_0)</f>
        <v>4440.8599999999997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339.07000000000062</v>
      </c>
      <c r="M29" s="1"/>
      <c r="N29" s="5">
        <f t="shared" ref="N29:N38" si="19">IF(H29=0,0,L29/H29)</f>
        <v>7.6352328152655261E-2</v>
      </c>
      <c r="O29" s="13"/>
      <c r="P29" s="1">
        <f>SUM(OSRRefP22_1x_0)</f>
        <v>27879.11</v>
      </c>
      <c r="Q29" s="1"/>
      <c r="R29" s="5">
        <f t="shared" ref="R29:R38" si="20">IF(P$12=0,0,P29/P$12)</f>
        <v>0</v>
      </c>
      <c r="S29" s="1"/>
      <c r="T29" s="1">
        <f>SUM(OSRRefT22_1x_0)</f>
        <v>24646.78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3232.3300000000017</v>
      </c>
      <c r="Y29" s="1"/>
      <c r="Z29" s="5">
        <f t="shared" ref="Z29:Z38" si="23">IF(T29=0,0,X29/T29)</f>
        <v>0.13114613754819096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4779.93</v>
      </c>
      <c r="E30" s="2"/>
      <c r="F30" s="7">
        <f t="shared" si="16"/>
        <v>0</v>
      </c>
      <c r="G30" s="2"/>
      <c r="H30" s="6">
        <v>4440.8599999999997</v>
      </c>
      <c r="I30" s="2"/>
      <c r="J30" s="7">
        <f t="shared" si="17"/>
        <v>0</v>
      </c>
      <c r="K30" s="2"/>
      <c r="L30" s="6">
        <f t="shared" si="18"/>
        <v>339.07000000000062</v>
      </c>
      <c r="M30" s="2"/>
      <c r="N30" s="7">
        <f t="shared" si="19"/>
        <v>7.6352328152655261E-2</v>
      </c>
      <c r="O30" s="11"/>
      <c r="P30" s="6">
        <v>27879.11</v>
      </c>
      <c r="Q30" s="2"/>
      <c r="R30" s="7">
        <f t="shared" si="20"/>
        <v>0</v>
      </c>
      <c r="S30" s="2"/>
      <c r="T30" s="6">
        <v>24646.78</v>
      </c>
      <c r="U30" s="2"/>
      <c r="V30" s="7">
        <f t="shared" si="21"/>
        <v>0</v>
      </c>
      <c r="W30" s="2"/>
      <c r="X30" s="6">
        <f t="shared" si="22"/>
        <v>3232.3300000000017</v>
      </c>
      <c r="Y30" s="2"/>
      <c r="Z30" s="7">
        <f t="shared" si="23"/>
        <v>0.13114613754819096</v>
      </c>
    </row>
    <row r="31" spans="1:26" s="27" customFormat="1" outlineLevel="1" collapsed="1" x14ac:dyDescent="0.25">
      <c r="A31" s="25"/>
      <c r="B31" s="13" t="str">
        <f>CONCATENATE("     ","General                                           ")</f>
        <v xml:space="preserve">     General                                           </v>
      </c>
      <c r="C31" s="13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3"/>
      <c r="P31" s="1">
        <f>SUM(OSRRefP22_2x_0)</f>
        <v>2443.65</v>
      </c>
      <c r="Q31" s="1"/>
      <c r="R31" s="5">
        <f t="shared" si="20"/>
        <v>0</v>
      </c>
      <c r="S31" s="1"/>
      <c r="T31" s="1">
        <f>SUM(OSRRefT22_2x_0)</f>
        <v>2357.6</v>
      </c>
      <c r="U31" s="1"/>
      <c r="V31" s="5">
        <f t="shared" si="21"/>
        <v>0</v>
      </c>
      <c r="W31" s="1"/>
      <c r="X31" s="1">
        <f t="shared" si="22"/>
        <v>86.050000000000182</v>
      </c>
      <c r="Y31" s="1"/>
      <c r="Z31" s="5">
        <f t="shared" si="23"/>
        <v>3.6498982015609173E-2</v>
      </c>
    </row>
    <row r="32" spans="1:26" s="24" customFormat="1" hidden="1" outlineLevel="2" x14ac:dyDescent="0.25">
      <c r="A32" s="26"/>
      <c r="B32" s="11" t="str">
        <f>CONCATENATE("          ", "6279", " - ", "GENERAL EXPENSE")</f>
        <v xml:space="preserve">          6279 - GENERAL EXPENSE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2443.65</v>
      </c>
      <c r="Q32" s="2"/>
      <c r="R32" s="7">
        <f t="shared" si="20"/>
        <v>0</v>
      </c>
      <c r="S32" s="2"/>
      <c r="T32" s="6">
        <v>2357.6</v>
      </c>
      <c r="U32" s="2"/>
      <c r="V32" s="7">
        <f t="shared" si="21"/>
        <v>0</v>
      </c>
      <c r="W32" s="2"/>
      <c r="X32" s="6">
        <f t="shared" si="22"/>
        <v>86.050000000000182</v>
      </c>
      <c r="Y32" s="2"/>
      <c r="Z32" s="7">
        <f t="shared" si="23"/>
        <v>3.6498982015609173E-2</v>
      </c>
    </row>
    <row r="33" spans="1:26" s="27" customFormat="1" outlineLevel="1" collapsed="1" x14ac:dyDescent="0.25">
      <c r="A33" s="25"/>
      <c r="B33" s="13" t="str">
        <f>CONCATENATE("     ","Royalty &amp; Commissions                             ")</f>
        <v xml:space="preserve">     Royalty &amp; Commissions                             </v>
      </c>
      <c r="C33" s="13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-129</v>
      </c>
      <c r="I33" s="1"/>
      <c r="J33" s="5">
        <f t="shared" si="17"/>
        <v>0</v>
      </c>
      <c r="K33" s="1"/>
      <c r="L33" s="1">
        <f t="shared" si="18"/>
        <v>129</v>
      </c>
      <c r="M33" s="1"/>
      <c r="N33" s="5">
        <f t="shared" si="19"/>
        <v>-1</v>
      </c>
      <c r="O33" s="13"/>
      <c r="P33" s="1">
        <f>SUM(OSRRefP22_3x_0)</f>
        <v>10393.31</v>
      </c>
      <c r="Q33" s="1"/>
      <c r="R33" s="5">
        <f t="shared" si="20"/>
        <v>0</v>
      </c>
      <c r="S33" s="1"/>
      <c r="T33" s="1">
        <f>SUM(OSRRefT22_3x_0)</f>
        <v>5618.55</v>
      </c>
      <c r="U33" s="1"/>
      <c r="V33" s="5">
        <f t="shared" si="21"/>
        <v>0</v>
      </c>
      <c r="W33" s="1"/>
      <c r="X33" s="1">
        <f t="shared" si="22"/>
        <v>4774.7599999999993</v>
      </c>
      <c r="Y33" s="1"/>
      <c r="Z33" s="5">
        <f t="shared" si="23"/>
        <v>0.84982068327237437</v>
      </c>
    </row>
    <row r="34" spans="1:26" s="24" customFormat="1" hidden="1" outlineLevel="2" x14ac:dyDescent="0.25">
      <c r="A34" s="26"/>
      <c r="B34" s="11" t="str">
        <f>CONCATENATE("          ", "6254", " - ", "ROYALTY &amp; COMMISSIONS")</f>
        <v xml:space="preserve">          6254 - ROYALTY &amp; COMMISSIONS</v>
      </c>
      <c r="C34" s="11"/>
      <c r="D34" s="6"/>
      <c r="E34" s="2"/>
      <c r="F34" s="7">
        <f t="shared" si="16"/>
        <v>0</v>
      </c>
      <c r="G34" s="2"/>
      <c r="H34" s="6">
        <v>-129</v>
      </c>
      <c r="I34" s="2"/>
      <c r="J34" s="7">
        <f t="shared" si="17"/>
        <v>0</v>
      </c>
      <c r="K34" s="2"/>
      <c r="L34" s="6">
        <f t="shared" si="18"/>
        <v>129</v>
      </c>
      <c r="M34" s="2"/>
      <c r="N34" s="7">
        <f t="shared" si="19"/>
        <v>-1</v>
      </c>
      <c r="O34" s="11"/>
      <c r="P34" s="6">
        <v>10393.31</v>
      </c>
      <c r="Q34" s="2"/>
      <c r="R34" s="7">
        <f t="shared" si="20"/>
        <v>0</v>
      </c>
      <c r="S34" s="2"/>
      <c r="T34" s="6">
        <v>5618.55</v>
      </c>
      <c r="U34" s="2"/>
      <c r="V34" s="7">
        <f t="shared" si="21"/>
        <v>0</v>
      </c>
      <c r="W34" s="2"/>
      <c r="X34" s="6">
        <f t="shared" si="22"/>
        <v>4774.7599999999993</v>
      </c>
      <c r="Y34" s="2"/>
      <c r="Z34" s="7">
        <f t="shared" si="23"/>
        <v>0.84982068327237437</v>
      </c>
    </row>
    <row r="35" spans="1:26" s="27" customFormat="1" outlineLevel="1" collapsed="1" x14ac:dyDescent="0.25">
      <c r="A35" s="25"/>
      <c r="B35" s="13" t="str">
        <f>CONCATENATE("     ","Supplies                                          ")</f>
        <v xml:space="preserve">     Supplies                                          </v>
      </c>
      <c r="C35" s="13"/>
      <c r="D35" s="1">
        <f>SUM(OSRRefD22_4x_0)</f>
        <v>28.39</v>
      </c>
      <c r="E35" s="1"/>
      <c r="F35" s="5">
        <f t="shared" si="16"/>
        <v>0</v>
      </c>
      <c r="G35" s="1"/>
      <c r="H35" s="1">
        <f>SUM(OSRRefH22_4x_0)</f>
        <v>0</v>
      </c>
      <c r="I35" s="1"/>
      <c r="J35" s="5">
        <f t="shared" si="17"/>
        <v>0</v>
      </c>
      <c r="K35" s="1"/>
      <c r="L35" s="1">
        <f t="shared" si="18"/>
        <v>28.39</v>
      </c>
      <c r="M35" s="1"/>
      <c r="N35" s="5">
        <f t="shared" si="19"/>
        <v>0</v>
      </c>
      <c r="O35" s="13"/>
      <c r="P35" s="1">
        <f>SUM(OSRRefP22_4x_0)</f>
        <v>65.92</v>
      </c>
      <c r="Q35" s="1"/>
      <c r="R35" s="5">
        <f t="shared" si="20"/>
        <v>0</v>
      </c>
      <c r="S35" s="1"/>
      <c r="T35" s="1">
        <f>SUM(OSRRefT22_4x_0)</f>
        <v>525.89</v>
      </c>
      <c r="U35" s="1"/>
      <c r="V35" s="5">
        <f t="shared" si="21"/>
        <v>0</v>
      </c>
      <c r="W35" s="1"/>
      <c r="X35" s="1">
        <f t="shared" si="22"/>
        <v>-459.96999999999997</v>
      </c>
      <c r="Y35" s="1"/>
      <c r="Z35" s="5">
        <f t="shared" si="23"/>
        <v>-0.87465059232919429</v>
      </c>
    </row>
    <row r="36" spans="1:26" s="24" customFormat="1" hidden="1" outlineLevel="2" x14ac:dyDescent="0.25">
      <c r="A36" s="26"/>
      <c r="B36" s="11" t="str">
        <f>CONCATENATE("          ", "6241", " - ", "OFFICE EXPENSE")</f>
        <v xml:space="preserve">          6241 - OFFICE EXPENSE</v>
      </c>
      <c r="C36" s="11"/>
      <c r="D36" s="6">
        <v>28.39</v>
      </c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28.39</v>
      </c>
      <c r="M36" s="2"/>
      <c r="N36" s="7">
        <f t="shared" si="19"/>
        <v>0</v>
      </c>
      <c r="O36" s="11"/>
      <c r="P36" s="6">
        <v>65.92</v>
      </c>
      <c r="Q36" s="2"/>
      <c r="R36" s="7">
        <f t="shared" si="20"/>
        <v>0</v>
      </c>
      <c r="S36" s="2"/>
      <c r="T36" s="6">
        <v>525.89</v>
      </c>
      <c r="U36" s="2"/>
      <c r="V36" s="7">
        <f t="shared" si="21"/>
        <v>0</v>
      </c>
      <c r="W36" s="2"/>
      <c r="X36" s="6">
        <f t="shared" si="22"/>
        <v>-459.96999999999997</v>
      </c>
      <c r="Y36" s="2"/>
      <c r="Z36" s="7">
        <f t="shared" si="23"/>
        <v>-0.87465059232919429</v>
      </c>
    </row>
    <row r="37" spans="1:26" s="27" customFormat="1" outlineLevel="1" collapsed="1" x14ac:dyDescent="0.25">
      <c r="A37" s="25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89.4</v>
      </c>
      <c r="E37" s="1"/>
      <c r="F37" s="5">
        <f t="shared" si="16"/>
        <v>0</v>
      </c>
      <c r="G37" s="1"/>
      <c r="H37" s="1">
        <f>SUM(OSRRefH22_5x_0)</f>
        <v>88.8</v>
      </c>
      <c r="I37" s="1"/>
      <c r="J37" s="5">
        <f t="shared" si="17"/>
        <v>0</v>
      </c>
      <c r="K37" s="1"/>
      <c r="L37" s="1">
        <f t="shared" si="18"/>
        <v>0.60000000000000853</v>
      </c>
      <c r="M37" s="1"/>
      <c r="N37" s="5">
        <f t="shared" si="19"/>
        <v>6.7567567567568534E-3</v>
      </c>
      <c r="O37" s="13"/>
      <c r="P37" s="1">
        <f>SUM(OSRRefP22_5x_0)</f>
        <v>736.8</v>
      </c>
      <c r="Q37" s="1"/>
      <c r="R37" s="5">
        <f t="shared" si="20"/>
        <v>0</v>
      </c>
      <c r="S37" s="1"/>
      <c r="T37" s="1">
        <f>SUM(OSRRefT22_5x_0)</f>
        <v>461.75</v>
      </c>
      <c r="U37" s="1"/>
      <c r="V37" s="5">
        <f t="shared" si="21"/>
        <v>0</v>
      </c>
      <c r="W37" s="1"/>
      <c r="X37" s="1">
        <f t="shared" si="22"/>
        <v>275.04999999999995</v>
      </c>
      <c r="Y37" s="1"/>
      <c r="Z37" s="5">
        <f t="shared" si="23"/>
        <v>0.59566865186789375</v>
      </c>
    </row>
    <row r="38" spans="1:26" s="24" customFormat="1" hidden="1" outlineLevel="2" x14ac:dyDescent="0.25">
      <c r="A38" s="26"/>
      <c r="B38" s="11" t="str">
        <f>CONCATENATE("          ", "6309", " - ", "TELEPHONE")</f>
        <v xml:space="preserve">          6309 - TELEPHONE</v>
      </c>
      <c r="C38" s="11"/>
      <c r="D38" s="6">
        <v>89.4</v>
      </c>
      <c r="E38" s="2"/>
      <c r="F38" s="7">
        <f t="shared" si="16"/>
        <v>0</v>
      </c>
      <c r="G38" s="2"/>
      <c r="H38" s="6">
        <v>88.8</v>
      </c>
      <c r="I38" s="2"/>
      <c r="J38" s="7">
        <f t="shared" si="17"/>
        <v>0</v>
      </c>
      <c r="K38" s="2"/>
      <c r="L38" s="6">
        <f t="shared" si="18"/>
        <v>0.60000000000000853</v>
      </c>
      <c r="M38" s="2"/>
      <c r="N38" s="7">
        <f t="shared" si="19"/>
        <v>6.7567567567568534E-3</v>
      </c>
      <c r="O38" s="11"/>
      <c r="P38" s="6">
        <v>736.8</v>
      </c>
      <c r="Q38" s="2"/>
      <c r="R38" s="7">
        <f t="shared" si="20"/>
        <v>0</v>
      </c>
      <c r="S38" s="2"/>
      <c r="T38" s="6">
        <v>461.75</v>
      </c>
      <c r="U38" s="2"/>
      <c r="V38" s="7">
        <f t="shared" si="21"/>
        <v>0</v>
      </c>
      <c r="W38" s="2"/>
      <c r="X38" s="6">
        <f t="shared" si="22"/>
        <v>275.04999999999995</v>
      </c>
      <c r="Y38" s="2"/>
      <c r="Z38" s="7">
        <f t="shared" si="23"/>
        <v>0.59566865186789375</v>
      </c>
    </row>
    <row r="39" spans="1:26" s="61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7143.65</v>
      </c>
      <c r="E40" s="4"/>
      <c r="F40" s="12">
        <f t="shared" ref="F40:F41" si="24">IF(D$12=0,0,D40/D$12)</f>
        <v>0</v>
      </c>
      <c r="G40" s="4"/>
      <c r="H40" s="4">
        <f>SUM(OSRRefH25x_0)</f>
        <v>19744.150000000001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-12600.500000000002</v>
      </c>
      <c r="M40" s="4"/>
      <c r="N40" s="12">
        <f t="shared" ref="N40:N41" si="27">IF(H40=0,0,L40/H40)</f>
        <v>-0.63818903320730447</v>
      </c>
      <c r="O40" s="10"/>
      <c r="P40" s="4">
        <f>SUM(OSRRefP25x_0)</f>
        <v>78627.399999999994</v>
      </c>
      <c r="Q40" s="4"/>
      <c r="R40" s="12">
        <f t="shared" ref="R40:R41" si="28">IF(P$12=0,0,P40/P$12)</f>
        <v>0</v>
      </c>
      <c r="S40" s="4"/>
      <c r="T40" s="4">
        <f>SUM(OSRRefT25x_0)</f>
        <v>100422.52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-21795.12000000001</v>
      </c>
      <c r="Y40" s="4"/>
      <c r="Z40" s="12">
        <f t="shared" ref="Z40:Z41" si="31">IF(T40=0,0,X40/T40)</f>
        <v>-0.21703418715244358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--7143.65</f>
        <v>7143.65</v>
      </c>
      <c r="E41" s="2"/>
      <c r="F41" s="19">
        <f t="shared" si="24"/>
        <v>0</v>
      </c>
      <c r="G41" s="2"/>
      <c r="H41" s="2">
        <f>--19744.15</f>
        <v>19744.150000000001</v>
      </c>
      <c r="I41" s="2"/>
      <c r="J41" s="19">
        <f t="shared" si="25"/>
        <v>0</v>
      </c>
      <c r="K41" s="2"/>
      <c r="L41" s="2">
        <f t="shared" si="26"/>
        <v>-12600.500000000002</v>
      </c>
      <c r="M41" s="2"/>
      <c r="N41" s="19">
        <f t="shared" si="27"/>
        <v>-0.63818903320730447</v>
      </c>
      <c r="O41" s="11"/>
      <c r="P41" s="2">
        <f>--78627.4</f>
        <v>78627.399999999994</v>
      </c>
      <c r="Q41" s="2"/>
      <c r="R41" s="19">
        <f t="shared" si="28"/>
        <v>0</v>
      </c>
      <c r="S41" s="2"/>
      <c r="T41" s="2">
        <f>--100422.52</f>
        <v>100422.52</v>
      </c>
      <c r="U41" s="2"/>
      <c r="V41" s="19">
        <f t="shared" si="29"/>
        <v>0</v>
      </c>
      <c r="W41" s="2"/>
      <c r="X41" s="2">
        <f t="shared" si="30"/>
        <v>-21795.12000000001</v>
      </c>
      <c r="Y41" s="2"/>
      <c r="Z41" s="19">
        <f t="shared" si="31"/>
        <v>-0.21703418715244358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9" t="s">
        <v>3</v>
      </c>
      <c r="C43" s="29"/>
      <c r="D43" s="20">
        <f>+D17-D19+D40</f>
        <v>-400.36999999999989</v>
      </c>
      <c r="E43" s="14"/>
      <c r="F43" s="21">
        <f>IF(D$12=0,0,D43/D$12)</f>
        <v>0</v>
      </c>
      <c r="G43" s="14"/>
      <c r="H43" s="20">
        <f>+H17-H19+H40</f>
        <v>12713.140000000003</v>
      </c>
      <c r="I43" s="14"/>
      <c r="J43" s="21">
        <f>IF(H$12=0,0,H43/H$12)</f>
        <v>0</v>
      </c>
      <c r="K43" s="15"/>
      <c r="L43" s="20">
        <f>+D43-H43</f>
        <v>-13113.510000000002</v>
      </c>
      <c r="M43" s="15"/>
      <c r="N43" s="21">
        <f>IF(H43=0,0,L43/H43)</f>
        <v>-1.0314926131545785</v>
      </c>
      <c r="O43" s="28"/>
      <c r="P43" s="20">
        <f>+P17-P19+P40</f>
        <v>10457.479999999981</v>
      </c>
      <c r="Q43" s="14"/>
      <c r="R43" s="21">
        <f>IF(P$12=0,0,P43/P$12)</f>
        <v>0</v>
      </c>
      <c r="S43" s="14"/>
      <c r="T43" s="20">
        <f>+T17-T19+T40</f>
        <v>46259.66</v>
      </c>
      <c r="U43" s="14"/>
      <c r="V43" s="21">
        <f>IF(T$12=0,0,T43/T$12)</f>
        <v>0</v>
      </c>
      <c r="W43" s="15"/>
      <c r="X43" s="20">
        <f>+P43-T43</f>
        <v>-35802.180000000022</v>
      </c>
      <c r="Y43" s="15"/>
      <c r="Z43" s="21">
        <f>IF(T43=0,0,X43/T43)</f>
        <v>-0.7739395404116679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9" t="s">
        <v>4</v>
      </c>
      <c r="C47" s="29"/>
      <c r="D47" s="32">
        <f>+D43-D45</f>
        <v>-400.36999999999989</v>
      </c>
      <c r="E47" s="14"/>
      <c r="F47" s="30">
        <f>IF(D$12=0,0,D47/D$12)</f>
        <v>0</v>
      </c>
      <c r="G47" s="14"/>
      <c r="H47" s="32">
        <f>+H43-H45</f>
        <v>12713.140000000003</v>
      </c>
      <c r="I47" s="14"/>
      <c r="J47" s="30">
        <f>IF(H$12=0,0,H47/H$12)</f>
        <v>0</v>
      </c>
      <c r="K47" s="15"/>
      <c r="L47" s="32">
        <f>D47-H47</f>
        <v>-13113.510000000002</v>
      </c>
      <c r="M47" s="15"/>
      <c r="N47" s="30">
        <f>IF(H47=0,0,L47/H47)</f>
        <v>-1.0314926131545785</v>
      </c>
      <c r="O47" s="28"/>
      <c r="P47" s="32">
        <f>+P43-P45</f>
        <v>10457.479999999981</v>
      </c>
      <c r="Q47" s="14"/>
      <c r="R47" s="30">
        <f>IF(P$12=0,0,P47/P$12)</f>
        <v>0</v>
      </c>
      <c r="S47" s="14"/>
      <c r="T47" s="32">
        <f>+T43-T45</f>
        <v>46259.66</v>
      </c>
      <c r="U47" s="14"/>
      <c r="V47" s="30">
        <f>IF(T$12=0,0,T47/T$12)</f>
        <v>0</v>
      </c>
      <c r="W47" s="15"/>
      <c r="X47" s="32">
        <f>P47-T47</f>
        <v>-35802.180000000022</v>
      </c>
      <c r="Y47" s="15"/>
      <c r="Z47" s="30">
        <f>IF(T47=0,0,X47/T47)</f>
        <v>-0.7739395404116679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5</v>
      </c>
      <c r="C50" s="29"/>
      <c r="D50" s="36">
        <f>SUM(D47:D49)</f>
        <v>-400.36999999999989</v>
      </c>
      <c r="E50" s="14"/>
      <c r="F50" s="31">
        <f>IF(D$12=0,0,D50/D$12)</f>
        <v>0</v>
      </c>
      <c r="G50" s="14"/>
      <c r="H50" s="36">
        <f>SUM(H47:H49)</f>
        <v>12713.140000000003</v>
      </c>
      <c r="I50" s="14"/>
      <c r="J50" s="31">
        <f>IF(H$12=0,0,H50/H$12)</f>
        <v>0</v>
      </c>
      <c r="K50" s="15"/>
      <c r="L50" s="36">
        <f>+D50-H50</f>
        <v>-13113.510000000002</v>
      </c>
      <c r="M50" s="15"/>
      <c r="N50" s="31">
        <f>IF(H50=0,0,L50/H50)</f>
        <v>-1.0314926131545785</v>
      </c>
      <c r="O50" s="28"/>
      <c r="P50" s="36">
        <f>SUM(P47:P49)</f>
        <v>10457.479999999981</v>
      </c>
      <c r="Q50" s="14"/>
      <c r="R50" s="31">
        <f>IF(P$12=0,0,P50/P$12)</f>
        <v>0</v>
      </c>
      <c r="S50" s="14"/>
      <c r="T50" s="36">
        <f>SUM(T47:T49)</f>
        <v>46259.66</v>
      </c>
      <c r="U50" s="14"/>
      <c r="V50" s="31">
        <f>IF(T$12=0,0,T50/T$12)</f>
        <v>0</v>
      </c>
      <c r="W50" s="15"/>
      <c r="X50" s="36">
        <f>+P50-T50</f>
        <v>-35802.180000000022</v>
      </c>
      <c r="Y50" s="15"/>
      <c r="Z50" s="31">
        <f>IF(T50=0,0,X50/T50)</f>
        <v>-0.7739395404116679</v>
      </c>
    </row>
    <row r="51" spans="1:26" ht="15.75" thickTop="1" x14ac:dyDescent="0.25">
      <c r="A51" s="9"/>
      <c r="C51" s="9"/>
      <c r="D51" s="17"/>
      <c r="E51" s="17"/>
      <c r="G51" s="17"/>
      <c r="H51" s="17"/>
      <c r="I51" s="17"/>
      <c r="J51" s="42"/>
      <c r="K51" s="17"/>
      <c r="L51" s="17"/>
      <c r="M51" s="17"/>
      <c r="P51" s="17"/>
      <c r="Q51" s="17"/>
      <c r="R51" s="42"/>
      <c r="S51" s="17"/>
      <c r="T51" s="17"/>
      <c r="U51" s="17"/>
      <c r="V51" s="42"/>
      <c r="W51" s="17"/>
      <c r="X51" s="17"/>
    </row>
    <row r="52" spans="1:26" x14ac:dyDescent="0.25">
      <c r="A52" s="9"/>
      <c r="B52" s="62">
        <v>43847.454145104166</v>
      </c>
      <c r="D52" s="17"/>
      <c r="E52" s="17"/>
      <c r="G52" s="17"/>
      <c r="H52" s="17"/>
      <c r="I52" s="17"/>
      <c r="J52" s="42"/>
      <c r="K52" s="17"/>
      <c r="L52" s="17"/>
      <c r="M52" s="17"/>
      <c r="P52" s="17"/>
      <c r="Q52" s="17"/>
      <c r="R52" s="42"/>
      <c r="S52" s="17"/>
      <c r="T52" s="17"/>
      <c r="U52" s="17"/>
      <c r="V52" s="42"/>
      <c r="W52" s="17"/>
      <c r="X52" s="17"/>
    </row>
    <row r="53" spans="1:26" x14ac:dyDescent="0.25">
      <c r="A53" s="9"/>
      <c r="B53" s="56" t="s">
        <v>313</v>
      </c>
      <c r="D53" s="17"/>
      <c r="E53" s="17"/>
      <c r="G53" s="17"/>
      <c r="H53" s="17"/>
      <c r="I53" s="17"/>
      <c r="J53" s="42"/>
      <c r="K53" s="17"/>
      <c r="L53" s="17"/>
      <c r="M53" s="17"/>
      <c r="P53" s="17"/>
      <c r="Q53" s="17"/>
      <c r="R53" s="42"/>
      <c r="S53" s="17"/>
      <c r="T53" s="17"/>
      <c r="U53" s="17"/>
      <c r="V53" s="42"/>
      <c r="W53" s="17"/>
      <c r="X53" s="17"/>
    </row>
    <row r="54" spans="1:26" x14ac:dyDescent="0.25">
      <c r="A54" s="9"/>
      <c r="B54" s="54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","424", " - ", "Blair Field")</f>
        <v>Department 424 - Blair Field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29308.32</v>
      </c>
      <c r="U12" s="4"/>
      <c r="V12" s="12"/>
      <c r="W12" s="4"/>
      <c r="X12" s="4">
        <f t="shared" ref="X12:X14" si="2">+P12-T12</f>
        <v>-9456.4500000000007</v>
      </c>
      <c r="Y12" s="4"/>
      <c r="Z12" s="12">
        <f t="shared" ref="Z12:Z14" si="3">IF(T12=0,0,X12/T12)</f>
        <v>-0.32265411323474019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--19851.87</f>
        <v>19851.87</v>
      </c>
      <c r="Q13" s="2"/>
      <c r="R13" s="19"/>
      <c r="S13" s="2"/>
      <c r="T13" s="2">
        <f>--17802.24</f>
        <v>17802.240000000002</v>
      </c>
      <c r="U13" s="2"/>
      <c r="V13" s="19"/>
      <c r="W13" s="2"/>
      <c r="X13" s="2">
        <f t="shared" si="2"/>
        <v>2049.6299999999974</v>
      </c>
      <c r="Y13" s="2"/>
      <c r="Z13" s="19">
        <f t="shared" si="3"/>
        <v>0.11513326412855894</v>
      </c>
    </row>
    <row r="14" spans="1:26" s="24" customFormat="1" hidden="1" outlineLevel="1" x14ac:dyDescent="0.2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4834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4834</v>
      </c>
      <c r="M16" s="4"/>
      <c r="N16" s="12">
        <f t="shared" ref="N16:N18" si="9">IF(H16=0,0,L16/H16)</f>
        <v>0</v>
      </c>
      <c r="O16" s="10"/>
      <c r="P16" s="4">
        <f>SUM(OSRRefP16x_0)</f>
        <v>9644.7900000000009</v>
      </c>
      <c r="Q16" s="4"/>
      <c r="R16" s="12">
        <f t="shared" ref="R16:R18" si="10">IF(P$12=0,0,P16/P$12)</f>
        <v>0.48583785809598801</v>
      </c>
      <c r="S16" s="4"/>
      <c r="T16" s="4">
        <f>SUM(OSRRefT16x_0)</f>
        <v>7325.93</v>
      </c>
      <c r="U16" s="4"/>
      <c r="V16" s="12">
        <f t="shared" ref="V16:V18" si="11">IF(T$12=0,0,T16/T$12)</f>
        <v>0.24996076199522868</v>
      </c>
      <c r="W16" s="4"/>
      <c r="X16" s="4">
        <f t="shared" ref="X16:X18" si="12">+P16-T16</f>
        <v>2318.8600000000006</v>
      </c>
      <c r="Y16" s="4"/>
      <c r="Z16" s="12">
        <f t="shared" ref="Z16:Z18" si="13">IF(T16=0,0,X16/T16)</f>
        <v>0.31652773095020026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/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>
        <v>6367.79</v>
      </c>
      <c r="Q17" s="2"/>
      <c r="R17" s="19">
        <f t="shared" si="10"/>
        <v>0.32076524780788912</v>
      </c>
      <c r="S17" s="2"/>
      <c r="T17" s="2">
        <v>3459.93</v>
      </c>
      <c r="U17" s="2"/>
      <c r="V17" s="19">
        <f t="shared" si="11"/>
        <v>0.11805282595522364</v>
      </c>
      <c r="W17" s="2"/>
      <c r="X17" s="2">
        <f t="shared" si="12"/>
        <v>2907.86</v>
      </c>
      <c r="Y17" s="2"/>
      <c r="Z17" s="19">
        <f t="shared" si="13"/>
        <v>0.84043896841843624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4834</v>
      </c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4834</v>
      </c>
      <c r="M18" s="2"/>
      <c r="N18" s="19">
        <f t="shared" si="9"/>
        <v>0</v>
      </c>
      <c r="O18" s="11"/>
      <c r="P18" s="2">
        <v>3277</v>
      </c>
      <c r="Q18" s="2"/>
      <c r="R18" s="19">
        <f t="shared" si="10"/>
        <v>0.1650726102880988</v>
      </c>
      <c r="S18" s="2"/>
      <c r="T18" s="2">
        <v>3866</v>
      </c>
      <c r="U18" s="2"/>
      <c r="V18" s="19">
        <f t="shared" si="11"/>
        <v>0.13190793604000503</v>
      </c>
      <c r="W18" s="2"/>
      <c r="X18" s="2">
        <f t="shared" si="12"/>
        <v>-589</v>
      </c>
      <c r="Y18" s="2"/>
      <c r="Z18" s="19">
        <f t="shared" si="13"/>
        <v>-0.15235385411277808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-4834</v>
      </c>
      <c r="E20" s="14"/>
      <c r="F20" s="21">
        <f>IF(D$12=0,0,D20/D$12)</f>
        <v>0</v>
      </c>
      <c r="G20" s="14"/>
      <c r="H20" s="20">
        <f>H12-H16</f>
        <v>0</v>
      </c>
      <c r="I20" s="14"/>
      <c r="J20" s="21">
        <f>IF(H$12=0,0,H20/H$12)</f>
        <v>0</v>
      </c>
      <c r="K20" s="15"/>
      <c r="L20" s="20">
        <f>+D20-H20</f>
        <v>-4834</v>
      </c>
      <c r="M20" s="15"/>
      <c r="N20" s="21">
        <f>IF(H20=0,0,L20/H20)</f>
        <v>0</v>
      </c>
      <c r="O20" s="28"/>
      <c r="P20" s="20">
        <f>P12-P16</f>
        <v>10207.079999999998</v>
      </c>
      <c r="Q20" s="14"/>
      <c r="R20" s="21">
        <f>IF(P$12=0,0,P20/P$12)</f>
        <v>0.51416214190401199</v>
      </c>
      <c r="S20" s="14"/>
      <c r="T20" s="20">
        <f>T12-T16</f>
        <v>21982.39</v>
      </c>
      <c r="U20" s="14"/>
      <c r="V20" s="21">
        <f>IF(T$12=0,0,T20/T$12)</f>
        <v>0.75003923800477135</v>
      </c>
      <c r="W20" s="15"/>
      <c r="X20" s="20">
        <f>+P20-T20</f>
        <v>-11775.310000000001</v>
      </c>
      <c r="Y20" s="15"/>
      <c r="Z20" s="21">
        <f>IF(T20=0,0,X20/T20)</f>
        <v>-0.53567014323738238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946.06</v>
      </c>
      <c r="E22" s="22"/>
      <c r="F22" s="33">
        <f t="shared" ref="F22:F26" si="14">IF(D$12=0,0,D22/D$12)</f>
        <v>0</v>
      </c>
      <c r="G22" s="22"/>
      <c r="H22" s="22">
        <f>SUM(OSRRefH22x_0)</f>
        <v>247.17</v>
      </c>
      <c r="I22" s="22"/>
      <c r="J22" s="33">
        <f t="shared" ref="J22:J26" si="15">IF(H$12=0,0,H22/H$12)</f>
        <v>0</v>
      </c>
      <c r="K22" s="4"/>
      <c r="L22" s="22">
        <f t="shared" ref="L22:L26" si="16">+D22-H22</f>
        <v>698.89</v>
      </c>
      <c r="M22" s="4"/>
      <c r="N22" s="33">
        <f t="shared" ref="N22:N26" si="17">IF(H22=0,0,L22/H22)</f>
        <v>2.8275680705587249</v>
      </c>
      <c r="O22" s="10"/>
      <c r="P22" s="22">
        <f>SUM(OSRRefP22x_0)</f>
        <v>20640.849999999999</v>
      </c>
      <c r="Q22" s="22"/>
      <c r="R22" s="33">
        <f t="shared" ref="R22:R26" si="18">IF(P$12=0,0,P22/P$12)</f>
        <v>1.0397433591898395</v>
      </c>
      <c r="S22" s="22"/>
      <c r="T22" s="22">
        <f>SUM(OSRRefT22x_0)</f>
        <v>22143.88</v>
      </c>
      <c r="U22" s="22"/>
      <c r="V22" s="33">
        <f t="shared" ref="V22:V26" si="19">IF(T$12=0,0,T22/T$12)</f>
        <v>0.75554927747479217</v>
      </c>
      <c r="W22" s="4"/>
      <c r="X22" s="22">
        <f t="shared" ref="X22:X26" si="20">+P22-T22</f>
        <v>-1503.0300000000025</v>
      </c>
      <c r="Y22" s="4"/>
      <c r="Z22" s="33">
        <f t="shared" ref="Z22:Z26" si="21">IF(T22=0,0,X22/T22)</f>
        <v>-6.7875638776944344E-2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8.16</v>
      </c>
      <c r="I23" s="1"/>
      <c r="J23" s="5">
        <f t="shared" si="15"/>
        <v>0</v>
      </c>
      <c r="K23" s="1"/>
      <c r="L23" s="1">
        <f t="shared" si="16"/>
        <v>-8.16</v>
      </c>
      <c r="M23" s="1"/>
      <c r="N23" s="5">
        <f t="shared" si="17"/>
        <v>-1</v>
      </c>
      <c r="O23" s="13"/>
      <c r="P23" s="1">
        <f>SUM(OSRRefP22_0x_0)</f>
        <v>355.92</v>
      </c>
      <c r="Q23" s="1"/>
      <c r="R23" s="5">
        <f t="shared" si="18"/>
        <v>1.7928789580024453E-2</v>
      </c>
      <c r="S23" s="1"/>
      <c r="T23" s="1">
        <f>SUM(OSRRefT22_0x_0)</f>
        <v>149.95999999999998</v>
      </c>
      <c r="U23" s="1"/>
      <c r="V23" s="5">
        <f t="shared" si="19"/>
        <v>5.1166358221829151E-3</v>
      </c>
      <c r="W23" s="1"/>
      <c r="X23" s="1">
        <f t="shared" si="20"/>
        <v>205.96000000000004</v>
      </c>
      <c r="Y23" s="1"/>
      <c r="Z23" s="5">
        <f t="shared" si="21"/>
        <v>1.3734329154441189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/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>
        <v>366.32</v>
      </c>
      <c r="Q24" s="2"/>
      <c r="R24" s="7">
        <f t="shared" si="18"/>
        <v>1.8452669698119119E-2</v>
      </c>
      <c r="S24" s="2"/>
      <c r="T24" s="6">
        <v>71.17</v>
      </c>
      <c r="U24" s="2"/>
      <c r="V24" s="7">
        <f t="shared" si="19"/>
        <v>2.4283206952837966E-3</v>
      </c>
      <c r="W24" s="2"/>
      <c r="X24" s="6">
        <f t="shared" si="20"/>
        <v>295.14999999999998</v>
      </c>
      <c r="Y24" s="2"/>
      <c r="Z24" s="7">
        <f t="shared" si="21"/>
        <v>4.1471125474216661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7.6</v>
      </c>
      <c r="I25" s="2"/>
      <c r="J25" s="7">
        <f t="shared" si="15"/>
        <v>0</v>
      </c>
      <c r="K25" s="2"/>
      <c r="L25" s="6">
        <f t="shared" si="16"/>
        <v>-7.6</v>
      </c>
      <c r="M25" s="2"/>
      <c r="N25" s="7">
        <f t="shared" si="17"/>
        <v>-1</v>
      </c>
      <c r="O25" s="11"/>
      <c r="P25" s="6">
        <v>-10.4</v>
      </c>
      <c r="Q25" s="2"/>
      <c r="R25" s="7">
        <f t="shared" si="18"/>
        <v>-5.2388011809466816E-4</v>
      </c>
      <c r="S25" s="2"/>
      <c r="T25" s="6">
        <v>73.349999999999994</v>
      </c>
      <c r="U25" s="2"/>
      <c r="V25" s="7">
        <f t="shared" si="19"/>
        <v>2.5027023043286E-3</v>
      </c>
      <c r="W25" s="2"/>
      <c r="X25" s="6">
        <f t="shared" si="20"/>
        <v>-83.75</v>
      </c>
      <c r="Y25" s="2"/>
      <c r="Z25" s="7">
        <f t="shared" si="21"/>
        <v>-1.1417859577368781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0.56000000000000005</v>
      </c>
      <c r="I26" s="2"/>
      <c r="J26" s="7">
        <f t="shared" si="15"/>
        <v>0</v>
      </c>
      <c r="K26" s="2"/>
      <c r="L26" s="6">
        <f t="shared" si="16"/>
        <v>-0.56000000000000005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5.44</v>
      </c>
      <c r="U26" s="2"/>
      <c r="V26" s="7">
        <f t="shared" si="19"/>
        <v>1.8561282257051925E-4</v>
      </c>
      <c r="W26" s="2"/>
      <c r="X26" s="6">
        <f t="shared" si="20"/>
        <v>-5.44</v>
      </c>
      <c r="Y26" s="2"/>
      <c r="Z26" s="7">
        <f t="shared" si="21"/>
        <v>-1</v>
      </c>
    </row>
    <row r="27" spans="1:26" s="27" customFormat="1" outlineLevel="1" collapsed="1" x14ac:dyDescent="0.25">
      <c r="A27" s="25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60.56</v>
      </c>
      <c r="E27" s="1"/>
      <c r="F27" s="5">
        <f t="shared" ref="F27:F32" si="22">IF(D$12=0,0,D27/D$12)</f>
        <v>0</v>
      </c>
      <c r="G27" s="1"/>
      <c r="H27" s="1">
        <f>SUM(OSRRefH22_1x_0)</f>
        <v>22</v>
      </c>
      <c r="I27" s="1"/>
      <c r="J27" s="5">
        <f t="shared" ref="J27:J32" si="23">IF(H$12=0,0,H27/H$12)</f>
        <v>0</v>
      </c>
      <c r="K27" s="1"/>
      <c r="L27" s="1">
        <f t="shared" ref="L27:L32" si="24">+D27-H27</f>
        <v>38.56</v>
      </c>
      <c r="M27" s="1"/>
      <c r="N27" s="5">
        <f t="shared" ref="N27:N32" si="25">IF(H27=0,0,L27/H27)</f>
        <v>1.7527272727272729</v>
      </c>
      <c r="O27" s="13"/>
      <c r="P27" s="1">
        <f>SUM(OSRRefP22_1x_0)</f>
        <v>5587.09</v>
      </c>
      <c r="Q27" s="1"/>
      <c r="R27" s="5">
        <f t="shared" ref="R27:R32" si="26">IF(P$12=0,0,P27/P$12)</f>
        <v>0.28143897778899418</v>
      </c>
      <c r="S27" s="1"/>
      <c r="T27" s="1">
        <f>SUM(OSRRefT22_1x_0)</f>
        <v>2164.14</v>
      </c>
      <c r="U27" s="1"/>
      <c r="V27" s="5">
        <f t="shared" ref="V27:V32" si="27">IF(T$12=0,0,T27/T$12)</f>
        <v>7.3840465779000636E-2</v>
      </c>
      <c r="W27" s="1"/>
      <c r="X27" s="1">
        <f t="shared" ref="X27:X32" si="28">+P27-T27</f>
        <v>3422.9500000000003</v>
      </c>
      <c r="Y27" s="1"/>
      <c r="Z27" s="5">
        <f t="shared" ref="Z27:Z32" si="29">IF(T27=0,0,X27/T27)</f>
        <v>1.5816675446135651</v>
      </c>
    </row>
    <row r="28" spans="1:26" s="24" customFormat="1" hidden="1" outlineLevel="2" x14ac:dyDescent="0.25">
      <c r="A28" s="26"/>
      <c r="B28" s="11" t="str">
        <f>CONCATENATE("          ", "6004", " - ", "STAFF HOURLY")</f>
        <v xml:space="preserve">          6004 - STAFF HOURLY</v>
      </c>
      <c r="C28" s="11"/>
      <c r="D28" s="6">
        <v>60.56</v>
      </c>
      <c r="E28" s="2"/>
      <c r="F28" s="7">
        <f t="shared" si="22"/>
        <v>0</v>
      </c>
      <c r="G28" s="2"/>
      <c r="H28" s="6"/>
      <c r="I28" s="2"/>
      <c r="J28" s="7">
        <f t="shared" si="23"/>
        <v>0</v>
      </c>
      <c r="K28" s="2"/>
      <c r="L28" s="6">
        <f t="shared" si="24"/>
        <v>60.56</v>
      </c>
      <c r="M28" s="2"/>
      <c r="N28" s="7">
        <f t="shared" si="25"/>
        <v>0</v>
      </c>
      <c r="O28" s="11"/>
      <c r="P28" s="6">
        <v>60.56</v>
      </c>
      <c r="Q28" s="2"/>
      <c r="R28" s="7">
        <f t="shared" si="26"/>
        <v>3.0505942261358754E-3</v>
      </c>
      <c r="S28" s="2"/>
      <c r="T28" s="6"/>
      <c r="U28" s="2"/>
      <c r="V28" s="7">
        <f t="shared" si="27"/>
        <v>0</v>
      </c>
      <c r="W28" s="2"/>
      <c r="X28" s="6">
        <f t="shared" si="28"/>
        <v>60.56</v>
      </c>
      <c r="Y28" s="2"/>
      <c r="Z28" s="7">
        <f t="shared" si="29"/>
        <v>0</v>
      </c>
    </row>
    <row r="29" spans="1:26" s="24" customFormat="1" hidden="1" outlineLevel="2" x14ac:dyDescent="0.25">
      <c r="A29" s="26"/>
      <c r="B29" s="11" t="str">
        <f>CONCATENATE("          ", "6005", " - ", "TEMPORARY WAGES-HOURLY")</f>
        <v xml:space="preserve">          6005 - TEMPORARY WAGES-HOURLY</v>
      </c>
      <c r="C29" s="11"/>
      <c r="D29" s="6"/>
      <c r="E29" s="2"/>
      <c r="F29" s="7">
        <f t="shared" si="22"/>
        <v>0</v>
      </c>
      <c r="G29" s="2"/>
      <c r="H29" s="6"/>
      <c r="I29" s="2"/>
      <c r="J29" s="7">
        <f t="shared" si="23"/>
        <v>0</v>
      </c>
      <c r="K29" s="2"/>
      <c r="L29" s="6">
        <f t="shared" si="24"/>
        <v>0</v>
      </c>
      <c r="M29" s="2"/>
      <c r="N29" s="7">
        <f t="shared" si="25"/>
        <v>0</v>
      </c>
      <c r="O29" s="11"/>
      <c r="P29" s="6">
        <v>2489.34</v>
      </c>
      <c r="Q29" s="2"/>
      <c r="R29" s="7">
        <f t="shared" si="26"/>
        <v>0.12539574357478667</v>
      </c>
      <c r="S29" s="2"/>
      <c r="T29" s="6"/>
      <c r="U29" s="2"/>
      <c r="V29" s="7">
        <f t="shared" si="27"/>
        <v>0</v>
      </c>
      <c r="W29" s="2"/>
      <c r="X29" s="6">
        <f t="shared" si="28"/>
        <v>2489.34</v>
      </c>
      <c r="Y29" s="2"/>
      <c r="Z29" s="7">
        <f t="shared" si="29"/>
        <v>0</v>
      </c>
    </row>
    <row r="30" spans="1:26" s="24" customFormat="1" hidden="1" outlineLevel="2" x14ac:dyDescent="0.25">
      <c r="A30" s="26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22"/>
        <v>0</v>
      </c>
      <c r="G30" s="2"/>
      <c r="H30" s="6"/>
      <c r="I30" s="2"/>
      <c r="J30" s="7">
        <f t="shared" si="23"/>
        <v>0</v>
      </c>
      <c r="K30" s="2"/>
      <c r="L30" s="6">
        <f t="shared" si="24"/>
        <v>0</v>
      </c>
      <c r="M30" s="2"/>
      <c r="N30" s="7">
        <f t="shared" si="25"/>
        <v>0</v>
      </c>
      <c r="O30" s="11"/>
      <c r="P30" s="6">
        <v>247.5</v>
      </c>
      <c r="Q30" s="2"/>
      <c r="R30" s="7">
        <f t="shared" si="26"/>
        <v>1.2467339348887536E-2</v>
      </c>
      <c r="S30" s="2"/>
      <c r="T30" s="6"/>
      <c r="U30" s="2"/>
      <c r="V30" s="7">
        <f t="shared" si="27"/>
        <v>0</v>
      </c>
      <c r="W30" s="2"/>
      <c r="X30" s="6">
        <f t="shared" si="28"/>
        <v>247.5</v>
      </c>
      <c r="Y30" s="2"/>
      <c r="Z30" s="7">
        <f t="shared" si="29"/>
        <v>0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22"/>
        <v>0</v>
      </c>
      <c r="G31" s="2"/>
      <c r="H31" s="6">
        <v>22</v>
      </c>
      <c r="I31" s="2"/>
      <c r="J31" s="7">
        <f t="shared" si="23"/>
        <v>0</v>
      </c>
      <c r="K31" s="2"/>
      <c r="L31" s="6">
        <f t="shared" si="24"/>
        <v>-22</v>
      </c>
      <c r="M31" s="2"/>
      <c r="N31" s="7">
        <f t="shared" si="25"/>
        <v>-1</v>
      </c>
      <c r="O31" s="11"/>
      <c r="P31" s="6">
        <v>2156.69</v>
      </c>
      <c r="Q31" s="2"/>
      <c r="R31" s="7">
        <f t="shared" si="26"/>
        <v>0.10863913575899903</v>
      </c>
      <c r="S31" s="2"/>
      <c r="T31" s="6">
        <v>2164.14</v>
      </c>
      <c r="U31" s="2"/>
      <c r="V31" s="7">
        <f t="shared" si="27"/>
        <v>7.3840465779000636E-2</v>
      </c>
      <c r="W31" s="2"/>
      <c r="X31" s="6">
        <f t="shared" si="28"/>
        <v>-7.4499999999998181</v>
      </c>
      <c r="Y31" s="2"/>
      <c r="Z31" s="7">
        <f t="shared" si="29"/>
        <v>-3.4424759950834136E-3</v>
      </c>
    </row>
    <row r="32" spans="1:26" s="24" customFormat="1" hidden="1" outlineLevel="2" x14ac:dyDescent="0.25">
      <c r="A32" s="26"/>
      <c r="B32" s="11" t="str">
        <f>CONCATENATE("          ", "6008", " - ", "STUDENT HOURLY-FICA EXEMPT")</f>
        <v xml:space="preserve">          6008 - STUDENT HOURLY-FICA EXEMPT</v>
      </c>
      <c r="C32" s="11"/>
      <c r="D32" s="6"/>
      <c r="E32" s="2"/>
      <c r="F32" s="7">
        <f t="shared" si="22"/>
        <v>0</v>
      </c>
      <c r="G32" s="2"/>
      <c r="H32" s="6"/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>
        <v>633</v>
      </c>
      <c r="Q32" s="2"/>
      <c r="R32" s="7">
        <f t="shared" si="26"/>
        <v>3.1886164880185093E-2</v>
      </c>
      <c r="S32" s="2"/>
      <c r="T32" s="6"/>
      <c r="U32" s="2"/>
      <c r="V32" s="7">
        <f t="shared" si="27"/>
        <v>0</v>
      </c>
      <c r="W32" s="2"/>
      <c r="X32" s="6">
        <f t="shared" si="28"/>
        <v>633</v>
      </c>
      <c r="Y32" s="2"/>
      <c r="Z32" s="7">
        <f t="shared" si="29"/>
        <v>0</v>
      </c>
    </row>
    <row r="33" spans="1:26" s="27" customFormat="1" outlineLevel="1" collapsed="1" x14ac:dyDescent="0.25">
      <c r="A33" s="25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667.5</v>
      </c>
      <c r="E33" s="1"/>
      <c r="F33" s="5">
        <f t="shared" ref="F33:F45" si="30">IF(D$12=0,0,D33/D$12)</f>
        <v>0</v>
      </c>
      <c r="G33" s="1"/>
      <c r="H33" s="1">
        <f>SUM(OSRRefH22_2x_0)</f>
        <v>0</v>
      </c>
      <c r="I33" s="1"/>
      <c r="J33" s="5">
        <f t="shared" ref="J33:J45" si="31">IF(H$12=0,0,H33/H$12)</f>
        <v>0</v>
      </c>
      <c r="K33" s="1"/>
      <c r="L33" s="1">
        <f t="shared" ref="L33:L45" si="32">+D33-H33</f>
        <v>667.5</v>
      </c>
      <c r="M33" s="1"/>
      <c r="N33" s="5">
        <f t="shared" ref="N33:N45" si="33">IF(H33=0,0,L33/H33)</f>
        <v>0</v>
      </c>
      <c r="O33" s="13"/>
      <c r="P33" s="1">
        <f>SUM(OSRRefP22_2x_0)</f>
        <v>1600.53</v>
      </c>
      <c r="Q33" s="1"/>
      <c r="R33" s="5">
        <f t="shared" ref="R33:R45" si="34">IF(P$12=0,0,P33/P$12)</f>
        <v>8.0623638982121076E-2</v>
      </c>
      <c r="S33" s="1"/>
      <c r="T33" s="1">
        <f>SUM(OSRRefT22_2x_0)</f>
        <v>31.5</v>
      </c>
      <c r="U33" s="1"/>
      <c r="V33" s="5">
        <f t="shared" ref="V33:V45" si="35">IF(T$12=0,0,T33/T$12)</f>
        <v>1.0747801306932639E-3</v>
      </c>
      <c r="W33" s="1"/>
      <c r="X33" s="1">
        <f t="shared" ref="X33:X45" si="36">+P33-T33</f>
        <v>1569.03</v>
      </c>
      <c r="Y33" s="1"/>
      <c r="Z33" s="5">
        <f t="shared" ref="Z33:Z45" si="37">IF(T33=0,0,X33/T33)</f>
        <v>49.810476190476187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>
        <v>667.5</v>
      </c>
      <c r="E34" s="2"/>
      <c r="F34" s="7">
        <f t="shared" si="30"/>
        <v>0</v>
      </c>
      <c r="G34" s="2"/>
      <c r="H34" s="6"/>
      <c r="I34" s="2"/>
      <c r="J34" s="7">
        <f t="shared" si="31"/>
        <v>0</v>
      </c>
      <c r="K34" s="2"/>
      <c r="L34" s="6">
        <f t="shared" si="32"/>
        <v>667.5</v>
      </c>
      <c r="M34" s="2"/>
      <c r="N34" s="7">
        <f t="shared" si="33"/>
        <v>0</v>
      </c>
      <c r="O34" s="11"/>
      <c r="P34" s="6">
        <v>1600.53</v>
      </c>
      <c r="Q34" s="2"/>
      <c r="R34" s="7">
        <f t="shared" si="34"/>
        <v>8.0623638982121076E-2</v>
      </c>
      <c r="S34" s="2"/>
      <c r="T34" s="6">
        <v>31.5</v>
      </c>
      <c r="U34" s="2"/>
      <c r="V34" s="7">
        <f t="shared" si="35"/>
        <v>1.0747801306932639E-3</v>
      </c>
      <c r="W34" s="2"/>
      <c r="X34" s="6">
        <f t="shared" si="36"/>
        <v>1569.03</v>
      </c>
      <c r="Y34" s="2"/>
      <c r="Z34" s="7">
        <f t="shared" si="37"/>
        <v>49.810476190476187</v>
      </c>
    </row>
    <row r="35" spans="1:26" s="27" customFormat="1" outlineLevel="1" collapsed="1" x14ac:dyDescent="0.25">
      <c r="A35" s="25"/>
      <c r="B35" s="13" t="str">
        <f>CONCATENATE("     ","Bad Debts/Over/Short                              ")</f>
        <v xml:space="preserve">     Bad Debts/Over/Short                              </v>
      </c>
      <c r="C35" s="13"/>
      <c r="D35" s="1">
        <f>SUM(OSRRefD22_3x_0)</f>
        <v>0</v>
      </c>
      <c r="E35" s="1"/>
      <c r="F35" s="5">
        <f t="shared" si="30"/>
        <v>0</v>
      </c>
      <c r="G35" s="1"/>
      <c r="H35" s="1">
        <f>SUM(OSRRefH22_3x_0)</f>
        <v>0</v>
      </c>
      <c r="I35" s="1"/>
      <c r="J35" s="5">
        <f t="shared" si="31"/>
        <v>0</v>
      </c>
      <c r="K35" s="1"/>
      <c r="L35" s="1">
        <f t="shared" si="32"/>
        <v>0</v>
      </c>
      <c r="M35" s="1"/>
      <c r="N35" s="5">
        <f t="shared" si="33"/>
        <v>0</v>
      </c>
      <c r="O35" s="13"/>
      <c r="P35" s="1">
        <f>SUM(OSRRefP22_3x_0)</f>
        <v>1.85</v>
      </c>
      <c r="Q35" s="1"/>
      <c r="R35" s="5">
        <f t="shared" si="34"/>
        <v>9.3190213314916939E-5</v>
      </c>
      <c r="S35" s="1"/>
      <c r="T35" s="1">
        <f>SUM(OSRRefT22_3x_0)</f>
        <v>-17.079999999999998</v>
      </c>
      <c r="U35" s="1"/>
      <c r="V35" s="5">
        <f t="shared" si="35"/>
        <v>-5.827696708647919E-4</v>
      </c>
      <c r="W35" s="1"/>
      <c r="X35" s="1">
        <f t="shared" si="36"/>
        <v>18.93</v>
      </c>
      <c r="Y35" s="1"/>
      <c r="Z35" s="5">
        <f t="shared" si="37"/>
        <v>-1.1083138173302109</v>
      </c>
    </row>
    <row r="36" spans="1:26" s="24" customFormat="1" hidden="1" outlineLevel="2" x14ac:dyDescent="0.25">
      <c r="A36" s="26"/>
      <c r="B36" s="11" t="str">
        <f>CONCATENATE("          ", "6272", " - ", "CASH (OVER/SHORT)")</f>
        <v xml:space="preserve">          6272 - CASH (OVER/SHORT)</v>
      </c>
      <c r="C36" s="11"/>
      <c r="D36" s="6"/>
      <c r="E36" s="2"/>
      <c r="F36" s="7">
        <f t="shared" si="30"/>
        <v>0</v>
      </c>
      <c r="G36" s="2"/>
      <c r="H36" s="6"/>
      <c r="I36" s="2"/>
      <c r="J36" s="7">
        <f t="shared" si="31"/>
        <v>0</v>
      </c>
      <c r="K36" s="2"/>
      <c r="L36" s="6">
        <f t="shared" si="32"/>
        <v>0</v>
      </c>
      <c r="M36" s="2"/>
      <c r="N36" s="7">
        <f t="shared" si="33"/>
        <v>0</v>
      </c>
      <c r="O36" s="11"/>
      <c r="P36" s="6">
        <v>1.85</v>
      </c>
      <c r="Q36" s="2"/>
      <c r="R36" s="7">
        <f t="shared" si="34"/>
        <v>9.3190213314916939E-5</v>
      </c>
      <c r="S36" s="2"/>
      <c r="T36" s="6">
        <v>-17.079999999999998</v>
      </c>
      <c r="U36" s="2"/>
      <c r="V36" s="7">
        <f t="shared" si="35"/>
        <v>-5.827696708647919E-4</v>
      </c>
      <c r="W36" s="2"/>
      <c r="X36" s="6">
        <f t="shared" si="36"/>
        <v>18.93</v>
      </c>
      <c r="Y36" s="2"/>
      <c r="Z36" s="7">
        <f t="shared" si="37"/>
        <v>-1.1083138173302109</v>
      </c>
    </row>
    <row r="37" spans="1:26" s="27" customFormat="1" outlineLevel="1" collapsed="1" x14ac:dyDescent="0.25">
      <c r="A37" s="25"/>
      <c r="B37" s="13" t="str">
        <f>CONCATENATE("     ","Bank/card Fees                                    ")</f>
        <v xml:space="preserve">     Bank/card Fees                                    </v>
      </c>
      <c r="C37" s="13"/>
      <c r="D37" s="1">
        <f>SUM(OSRRefD22_4x_0)</f>
        <v>0</v>
      </c>
      <c r="E37" s="1"/>
      <c r="F37" s="5">
        <f t="shared" si="30"/>
        <v>0</v>
      </c>
      <c r="G37" s="1"/>
      <c r="H37" s="1">
        <f>SUM(OSRRefH22_4x_0)</f>
        <v>0</v>
      </c>
      <c r="I37" s="1"/>
      <c r="J37" s="5">
        <f t="shared" si="31"/>
        <v>0</v>
      </c>
      <c r="K37" s="1"/>
      <c r="L37" s="1">
        <f t="shared" si="32"/>
        <v>0</v>
      </c>
      <c r="M37" s="1"/>
      <c r="N37" s="5">
        <f t="shared" si="33"/>
        <v>0</v>
      </c>
      <c r="O37" s="13"/>
      <c r="P37" s="1">
        <f>SUM(OSRRefP22_4x_0)</f>
        <v>348.55</v>
      </c>
      <c r="Q37" s="1"/>
      <c r="R37" s="5">
        <f t="shared" si="34"/>
        <v>1.7557539919413136E-2</v>
      </c>
      <c r="S37" s="1"/>
      <c r="T37" s="1">
        <f>SUM(OSRRefT22_4x_0)</f>
        <v>546</v>
      </c>
      <c r="U37" s="1"/>
      <c r="V37" s="5">
        <f t="shared" si="35"/>
        <v>1.8629522265349908E-2</v>
      </c>
      <c r="W37" s="1"/>
      <c r="X37" s="1">
        <f t="shared" si="36"/>
        <v>-197.45</v>
      </c>
      <c r="Y37" s="1"/>
      <c r="Z37" s="5">
        <f t="shared" si="37"/>
        <v>-0.36163003663003662</v>
      </c>
    </row>
    <row r="38" spans="1:26" s="24" customFormat="1" hidden="1" outlineLevel="2" x14ac:dyDescent="0.25">
      <c r="A38" s="26"/>
      <c r="B38" s="11" t="str">
        <f>CONCATENATE("          ", "6381", " - ", "BANK/CREDIT CARD FEES")</f>
        <v xml:space="preserve">          6381 - BANK/CREDIT CARD FEES</v>
      </c>
      <c r="C38" s="11"/>
      <c r="D38" s="6"/>
      <c r="E38" s="2"/>
      <c r="F38" s="7">
        <f t="shared" si="30"/>
        <v>0</v>
      </c>
      <c r="G38" s="2"/>
      <c r="H38" s="6"/>
      <c r="I38" s="2"/>
      <c r="J38" s="7">
        <f t="shared" si="31"/>
        <v>0</v>
      </c>
      <c r="K38" s="2"/>
      <c r="L38" s="6">
        <f t="shared" si="32"/>
        <v>0</v>
      </c>
      <c r="M38" s="2"/>
      <c r="N38" s="7">
        <f t="shared" si="33"/>
        <v>0</v>
      </c>
      <c r="O38" s="11"/>
      <c r="P38" s="6">
        <v>348.55</v>
      </c>
      <c r="Q38" s="2"/>
      <c r="R38" s="7">
        <f t="shared" si="34"/>
        <v>1.7557539919413136E-2</v>
      </c>
      <c r="S38" s="2"/>
      <c r="T38" s="6">
        <v>546</v>
      </c>
      <c r="U38" s="2"/>
      <c r="V38" s="7">
        <f t="shared" si="35"/>
        <v>1.8629522265349908E-2</v>
      </c>
      <c r="W38" s="2"/>
      <c r="X38" s="6">
        <f t="shared" si="36"/>
        <v>-197.45</v>
      </c>
      <c r="Y38" s="2"/>
      <c r="Z38" s="7">
        <f t="shared" si="37"/>
        <v>-0.36163003663003662</v>
      </c>
    </row>
    <row r="39" spans="1:26" s="27" customFormat="1" outlineLevel="1" collapsed="1" x14ac:dyDescent="0.25">
      <c r="A39" s="25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SUM(OSRRefD22_5x_0)</f>
        <v>0</v>
      </c>
      <c r="E39" s="1"/>
      <c r="F39" s="5">
        <f t="shared" si="30"/>
        <v>0</v>
      </c>
      <c r="G39" s="1"/>
      <c r="H39" s="1">
        <f>SUM(OSRRefH22_5x_0)</f>
        <v>0</v>
      </c>
      <c r="I39" s="1"/>
      <c r="J39" s="5">
        <f t="shared" si="31"/>
        <v>0</v>
      </c>
      <c r="K39" s="1"/>
      <c r="L39" s="1">
        <f t="shared" si="32"/>
        <v>0</v>
      </c>
      <c r="M39" s="1"/>
      <c r="N39" s="5">
        <f t="shared" si="33"/>
        <v>0</v>
      </c>
      <c r="O39" s="13"/>
      <c r="P39" s="1">
        <f>SUM(OSRRefP22_5x_0)</f>
        <v>114.64</v>
      </c>
      <c r="Q39" s="1"/>
      <c r="R39" s="5">
        <f t="shared" si="34"/>
        <v>5.7747708402281503E-3</v>
      </c>
      <c r="S39" s="1"/>
      <c r="T39" s="1">
        <f>SUM(OSRRefT22_5x_0)</f>
        <v>0</v>
      </c>
      <c r="U39" s="1"/>
      <c r="V39" s="5">
        <f t="shared" si="35"/>
        <v>0</v>
      </c>
      <c r="W39" s="1"/>
      <c r="X39" s="1">
        <f t="shared" si="36"/>
        <v>114.64</v>
      </c>
      <c r="Y39" s="1"/>
      <c r="Z39" s="5">
        <f t="shared" si="37"/>
        <v>0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30"/>
        <v>0</v>
      </c>
      <c r="G40" s="2"/>
      <c r="H40" s="6"/>
      <c r="I40" s="2"/>
      <c r="J40" s="7">
        <f t="shared" si="31"/>
        <v>0</v>
      </c>
      <c r="K40" s="2"/>
      <c r="L40" s="6">
        <f t="shared" si="32"/>
        <v>0</v>
      </c>
      <c r="M40" s="2"/>
      <c r="N40" s="7">
        <f t="shared" si="33"/>
        <v>0</v>
      </c>
      <c r="O40" s="11"/>
      <c r="P40" s="6">
        <v>114.64</v>
      </c>
      <c r="Q40" s="2"/>
      <c r="R40" s="7">
        <f t="shared" si="34"/>
        <v>5.7747708402281503E-3</v>
      </c>
      <c r="S40" s="2"/>
      <c r="T40" s="6"/>
      <c r="U40" s="2"/>
      <c r="V40" s="7">
        <f t="shared" si="35"/>
        <v>0</v>
      </c>
      <c r="W40" s="2"/>
      <c r="X40" s="6">
        <f t="shared" si="36"/>
        <v>114.64</v>
      </c>
      <c r="Y40" s="2"/>
      <c r="Z40" s="7">
        <f t="shared" si="37"/>
        <v>0</v>
      </c>
    </row>
    <row r="41" spans="1:26" s="27" customFormat="1" outlineLevel="1" collapsed="1" x14ac:dyDescent="0.25">
      <c r="A41" s="25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SUM(OSRRefD22_6x_0)</f>
        <v>4</v>
      </c>
      <c r="E41" s="1"/>
      <c r="F41" s="5">
        <f t="shared" si="30"/>
        <v>0</v>
      </c>
      <c r="G41" s="1"/>
      <c r="H41" s="1">
        <f>SUM(OSRRefH22_6x_0)</f>
        <v>4</v>
      </c>
      <c r="I41" s="1"/>
      <c r="J41" s="5">
        <f t="shared" si="31"/>
        <v>0</v>
      </c>
      <c r="K41" s="1"/>
      <c r="L41" s="1">
        <f t="shared" si="32"/>
        <v>0</v>
      </c>
      <c r="M41" s="1"/>
      <c r="N41" s="5">
        <f t="shared" si="33"/>
        <v>0</v>
      </c>
      <c r="O41" s="13"/>
      <c r="P41" s="1">
        <f>SUM(OSRRefP22_6x_0)</f>
        <v>3271.75</v>
      </c>
      <c r="Q41" s="1"/>
      <c r="R41" s="5">
        <f t="shared" si="34"/>
        <v>0.16480815157463757</v>
      </c>
      <c r="S41" s="1"/>
      <c r="T41" s="1">
        <f>SUM(OSRRefT22_6x_0)</f>
        <v>1800.23</v>
      </c>
      <c r="U41" s="1"/>
      <c r="V41" s="5">
        <f t="shared" si="35"/>
        <v>6.1423855069140776E-2</v>
      </c>
      <c r="W41" s="1"/>
      <c r="X41" s="1">
        <f t="shared" si="36"/>
        <v>1471.52</v>
      </c>
      <c r="Y41" s="1"/>
      <c r="Z41" s="5">
        <f t="shared" si="37"/>
        <v>0.81740666470395451</v>
      </c>
    </row>
    <row r="42" spans="1:26" s="24" customFormat="1" hidden="1" outlineLevel="2" x14ac:dyDescent="0.25">
      <c r="A42" s="26"/>
      <c r="B42" s="11" t="str">
        <f>CONCATENATE("          ", "6279", " - ", "GENERAL EXPENSE")</f>
        <v xml:space="preserve">          6279 - GENERAL EXPENSE</v>
      </c>
      <c r="C42" s="11"/>
      <c r="D42" s="6">
        <v>4</v>
      </c>
      <c r="E42" s="2"/>
      <c r="F42" s="7">
        <f t="shared" si="30"/>
        <v>0</v>
      </c>
      <c r="G42" s="2"/>
      <c r="H42" s="6">
        <v>4</v>
      </c>
      <c r="I42" s="2"/>
      <c r="J42" s="7">
        <f t="shared" si="31"/>
        <v>0</v>
      </c>
      <c r="K42" s="2"/>
      <c r="L42" s="6">
        <f t="shared" si="32"/>
        <v>0</v>
      </c>
      <c r="M42" s="2"/>
      <c r="N42" s="7">
        <f t="shared" si="33"/>
        <v>0</v>
      </c>
      <c r="O42" s="11"/>
      <c r="P42" s="6">
        <v>3271.75</v>
      </c>
      <c r="Q42" s="2"/>
      <c r="R42" s="7">
        <f t="shared" si="34"/>
        <v>0.16480815157463757</v>
      </c>
      <c r="S42" s="2"/>
      <c r="T42" s="6">
        <v>1800.23</v>
      </c>
      <c r="U42" s="2"/>
      <c r="V42" s="7">
        <f t="shared" si="35"/>
        <v>6.1423855069140776E-2</v>
      </c>
      <c r="W42" s="2"/>
      <c r="X42" s="6">
        <f t="shared" si="36"/>
        <v>1471.52</v>
      </c>
      <c r="Y42" s="2"/>
      <c r="Z42" s="7">
        <f t="shared" si="37"/>
        <v>0.81740666470395451</v>
      </c>
    </row>
    <row r="43" spans="1:26" s="27" customFormat="1" outlineLevel="1" collapsed="1" x14ac:dyDescent="0.25">
      <c r="A43" s="25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SUM(OSRRefD22_7x_0)</f>
        <v>0</v>
      </c>
      <c r="E43" s="1"/>
      <c r="F43" s="5">
        <f t="shared" si="30"/>
        <v>0</v>
      </c>
      <c r="G43" s="1"/>
      <c r="H43" s="1">
        <f>SUM(OSRRefH22_7x_0)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3"/>
      <c r="P43" s="1">
        <f>SUM(OSRRefP22_7x_0)</f>
        <v>434.72</v>
      </c>
      <c r="Q43" s="1"/>
      <c r="R43" s="5">
        <f t="shared" si="34"/>
        <v>2.1898188936357133E-2</v>
      </c>
      <c r="S43" s="1"/>
      <c r="T43" s="1">
        <f>SUM(OSRRefT22_7x_0)</f>
        <v>1879.98</v>
      </c>
      <c r="U43" s="1"/>
      <c r="V43" s="5">
        <f t="shared" si="35"/>
        <v>6.4144925400022923E-2</v>
      </c>
      <c r="W43" s="1"/>
      <c r="X43" s="1">
        <f t="shared" si="36"/>
        <v>-1445.26</v>
      </c>
      <c r="Y43" s="1"/>
      <c r="Z43" s="5">
        <f t="shared" si="37"/>
        <v>-0.76876349748401573</v>
      </c>
    </row>
    <row r="44" spans="1:26" s="24" customFormat="1" hidden="1" outlineLevel="2" x14ac:dyDescent="0.25">
      <c r="A44" s="26"/>
      <c r="B44" s="11" t="str">
        <f>CONCATENATE("          ", "6373", " - ", "MAINTENANCE CONTRACTS")</f>
        <v xml:space="preserve">          6373 - MAINTENANCE CONTRACTS</v>
      </c>
      <c r="C44" s="11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296.64</v>
      </c>
      <c r="Q44" s="2"/>
      <c r="R44" s="7">
        <f t="shared" si="34"/>
        <v>1.4942672906884842E-2</v>
      </c>
      <c r="S44" s="2"/>
      <c r="T44" s="6">
        <v>283.5</v>
      </c>
      <c r="U44" s="2"/>
      <c r="V44" s="7">
        <f t="shared" si="35"/>
        <v>9.6730211762393759E-3</v>
      </c>
      <c r="W44" s="2"/>
      <c r="X44" s="6">
        <f t="shared" si="36"/>
        <v>13.139999999999986</v>
      </c>
      <c r="Y44" s="2"/>
      <c r="Z44" s="7">
        <f t="shared" si="37"/>
        <v>4.63492063492063E-2</v>
      </c>
    </row>
    <row r="45" spans="1:26" s="24" customFormat="1" hidden="1" outlineLevel="2" x14ac:dyDescent="0.25">
      <c r="A45" s="26"/>
      <c r="B45" s="11" t="str">
        <f>CONCATENATE("          ", "6375", " - ", "OUTSIDE REPAIRS &amp; MAINTENANCE")</f>
        <v xml:space="preserve">          6375 - OUTSIDE REPAIRS &amp; MAINTENANCE</v>
      </c>
      <c r="C45" s="11"/>
      <c r="D45" s="6"/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>
        <v>138.08000000000001</v>
      </c>
      <c r="Q45" s="2"/>
      <c r="R45" s="7">
        <f t="shared" si="34"/>
        <v>6.9555160294722876E-3</v>
      </c>
      <c r="S45" s="2"/>
      <c r="T45" s="6">
        <v>1596.48</v>
      </c>
      <c r="U45" s="2"/>
      <c r="V45" s="7">
        <f t="shared" si="35"/>
        <v>5.4471904223783556E-2</v>
      </c>
      <c r="W45" s="2"/>
      <c r="X45" s="6">
        <f t="shared" si="36"/>
        <v>-1458.4</v>
      </c>
      <c r="Y45" s="2"/>
      <c r="Z45" s="7">
        <f t="shared" si="37"/>
        <v>-0.91350972138705155</v>
      </c>
    </row>
    <row r="46" spans="1:26" s="27" customFormat="1" outlineLevel="1" collapsed="1" x14ac:dyDescent="0.25">
      <c r="A46" s="25"/>
      <c r="B46" s="13" t="str">
        <f>CONCATENATE("     ","Royalty &amp; Commissions                             ")</f>
        <v xml:space="preserve">     Royalty &amp; Commissions                             </v>
      </c>
      <c r="C46" s="13"/>
      <c r="D46" s="1">
        <f>SUM(OSRRefD22_8x_0)</f>
        <v>0</v>
      </c>
      <c r="E46" s="1"/>
      <c r="F46" s="5">
        <f t="shared" ref="F46:F55" si="38">IF(D$12=0,0,D46/D$12)</f>
        <v>0</v>
      </c>
      <c r="G46" s="1"/>
      <c r="H46" s="1">
        <f>SUM(OSRRefH22_8x_0)</f>
        <v>0</v>
      </c>
      <c r="I46" s="1"/>
      <c r="J46" s="5">
        <f t="shared" ref="J46:J55" si="39">IF(H$12=0,0,H46/H$12)</f>
        <v>0</v>
      </c>
      <c r="K46" s="1"/>
      <c r="L46" s="1">
        <f t="shared" ref="L46:L55" si="40">+D46-H46</f>
        <v>0</v>
      </c>
      <c r="M46" s="1"/>
      <c r="N46" s="5">
        <f t="shared" ref="N46:N55" si="41">IF(H46=0,0,L46/H46)</f>
        <v>0</v>
      </c>
      <c r="O46" s="13"/>
      <c r="P46" s="1">
        <f>SUM(OSRRefP22_8x_0)</f>
        <v>6595.88</v>
      </c>
      <c r="Q46" s="1"/>
      <c r="R46" s="5">
        <f t="shared" ref="R46:R55" si="42">IF(P$12=0,0,P46/P$12)</f>
        <v>0.33225484551329426</v>
      </c>
      <c r="S46" s="1"/>
      <c r="T46" s="1">
        <f>SUM(OSRRefT22_8x_0)</f>
        <v>12443.41</v>
      </c>
      <c r="U46" s="1"/>
      <c r="V46" s="5">
        <f t="shared" ref="V46:V55" si="43">IF(T$12=0,0,T46/T$12)</f>
        <v>0.42456920082761485</v>
      </c>
      <c r="W46" s="1"/>
      <c r="X46" s="1">
        <f t="shared" ref="X46:X55" si="44">+P46-T46</f>
        <v>-5847.53</v>
      </c>
      <c r="Y46" s="1"/>
      <c r="Z46" s="5">
        <f t="shared" ref="Z46:Z55" si="45">IF(T46=0,0,X46/T46)</f>
        <v>-0.46992986649158069</v>
      </c>
    </row>
    <row r="47" spans="1:26" s="24" customFormat="1" hidden="1" outlineLevel="2" x14ac:dyDescent="0.25">
      <c r="A47" s="26"/>
      <c r="B47" s="11" t="str">
        <f>CONCATENATE("          ", "6254", " - ", "ROYALTY &amp; COMMISSIONS")</f>
        <v xml:space="preserve">          6254 - ROYALTY &amp; COMMISSIONS</v>
      </c>
      <c r="C47" s="11"/>
      <c r="D47" s="6"/>
      <c r="E47" s="2"/>
      <c r="F47" s="7">
        <f t="shared" si="38"/>
        <v>0</v>
      </c>
      <c r="G47" s="2"/>
      <c r="H47" s="6"/>
      <c r="I47" s="2"/>
      <c r="J47" s="7">
        <f t="shared" si="39"/>
        <v>0</v>
      </c>
      <c r="K47" s="2"/>
      <c r="L47" s="6">
        <f t="shared" si="40"/>
        <v>0</v>
      </c>
      <c r="M47" s="2"/>
      <c r="N47" s="7">
        <f t="shared" si="41"/>
        <v>0</v>
      </c>
      <c r="O47" s="11"/>
      <c r="P47" s="6">
        <v>6595.88</v>
      </c>
      <c r="Q47" s="2"/>
      <c r="R47" s="7">
        <f t="shared" si="42"/>
        <v>0.33225484551329426</v>
      </c>
      <c r="S47" s="2"/>
      <c r="T47" s="6">
        <v>12443.41</v>
      </c>
      <c r="U47" s="2"/>
      <c r="V47" s="7">
        <f t="shared" si="43"/>
        <v>0.42456920082761485</v>
      </c>
      <c r="W47" s="2"/>
      <c r="X47" s="6">
        <f t="shared" si="44"/>
        <v>-5847.53</v>
      </c>
      <c r="Y47" s="2"/>
      <c r="Z47" s="7">
        <f t="shared" si="45"/>
        <v>-0.46992986649158069</v>
      </c>
    </row>
    <row r="48" spans="1:26" s="27" customFormat="1" outlineLevel="1" collapsed="1" x14ac:dyDescent="0.25">
      <c r="A48" s="25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SUM(OSRRefD22_9x_0)</f>
        <v>0</v>
      </c>
      <c r="E48" s="1"/>
      <c r="F48" s="5">
        <f t="shared" si="38"/>
        <v>0</v>
      </c>
      <c r="G48" s="1"/>
      <c r="H48" s="1">
        <f>SUM(OSRRefH22_9x_0)</f>
        <v>0</v>
      </c>
      <c r="I48" s="1"/>
      <c r="J48" s="5">
        <f t="shared" si="39"/>
        <v>0</v>
      </c>
      <c r="K48" s="1"/>
      <c r="L48" s="1">
        <f t="shared" si="40"/>
        <v>0</v>
      </c>
      <c r="M48" s="1"/>
      <c r="N48" s="5">
        <f t="shared" si="41"/>
        <v>0</v>
      </c>
      <c r="O48" s="13"/>
      <c r="P48" s="1">
        <f>SUM(OSRRefP22_9x_0)</f>
        <v>32.5</v>
      </c>
      <c r="Q48" s="1"/>
      <c r="R48" s="5">
        <f t="shared" si="42"/>
        <v>1.6371253690458381E-3</v>
      </c>
      <c r="S48" s="1"/>
      <c r="T48" s="1">
        <f>SUM(OSRRefT22_9x_0)</f>
        <v>0</v>
      </c>
      <c r="U48" s="1"/>
      <c r="V48" s="5">
        <f t="shared" si="43"/>
        <v>0</v>
      </c>
      <c r="W48" s="1"/>
      <c r="X48" s="1">
        <f t="shared" si="44"/>
        <v>32.5</v>
      </c>
      <c r="Y48" s="1"/>
      <c r="Z48" s="5">
        <f t="shared" si="45"/>
        <v>0</v>
      </c>
    </row>
    <row r="49" spans="1:26" s="24" customFormat="1" hidden="1" outlineLevel="2" x14ac:dyDescent="0.25">
      <c r="A49" s="26"/>
      <c r="B49" s="11" t="str">
        <f>CONCATENATE("          ", "6286", " - ", "LAUNDRY EXPENSE")</f>
        <v xml:space="preserve">          6286 - LAUNDRY EXPENSE</v>
      </c>
      <c r="C49" s="11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1"/>
      <c r="P49" s="6">
        <v>32.5</v>
      </c>
      <c r="Q49" s="2"/>
      <c r="R49" s="7">
        <f t="shared" si="42"/>
        <v>1.6371253690458381E-3</v>
      </c>
      <c r="S49" s="2"/>
      <c r="T49" s="6"/>
      <c r="U49" s="2"/>
      <c r="V49" s="7">
        <f t="shared" si="43"/>
        <v>0</v>
      </c>
      <c r="W49" s="2"/>
      <c r="X49" s="6">
        <f t="shared" si="44"/>
        <v>32.5</v>
      </c>
      <c r="Y49" s="2"/>
      <c r="Z49" s="7">
        <f t="shared" si="45"/>
        <v>0</v>
      </c>
    </row>
    <row r="50" spans="1:26" s="27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SUM(OSRRefD22_10x_0)</f>
        <v>0</v>
      </c>
      <c r="E50" s="1"/>
      <c r="F50" s="5">
        <f t="shared" si="38"/>
        <v>0</v>
      </c>
      <c r="G50" s="1"/>
      <c r="H50" s="1">
        <f>SUM(OSRRefH22_10x_0)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3"/>
      <c r="P50" s="1">
        <f>SUM(OSRRefP22_10x_0)</f>
        <v>1013.37</v>
      </c>
      <c r="Q50" s="1"/>
      <c r="R50" s="5">
        <f t="shared" si="42"/>
        <v>5.1046576468614796E-2</v>
      </c>
      <c r="S50" s="1"/>
      <c r="T50" s="1">
        <f>SUM(OSRRefT22_10x_0)</f>
        <v>1570.6800000000003</v>
      </c>
      <c r="U50" s="1"/>
      <c r="V50" s="5">
        <f t="shared" si="43"/>
        <v>5.3591608116739554E-2</v>
      </c>
      <c r="W50" s="1"/>
      <c r="X50" s="1">
        <f t="shared" si="44"/>
        <v>-557.31000000000029</v>
      </c>
      <c r="Y50" s="1"/>
      <c r="Z50" s="5">
        <f t="shared" si="45"/>
        <v>-0.35482084192833691</v>
      </c>
    </row>
    <row r="51" spans="1:26" s="24" customFormat="1" hidden="1" outlineLevel="2" x14ac:dyDescent="0.25">
      <c r="A51" s="26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106.94</v>
      </c>
      <c r="U51" s="2"/>
      <c r="V51" s="7">
        <f t="shared" si="43"/>
        <v>3.6487932436932583E-3</v>
      </c>
      <c r="W51" s="2"/>
      <c r="X51" s="6">
        <f t="shared" si="44"/>
        <v>-106.94</v>
      </c>
      <c r="Y51" s="2"/>
      <c r="Z51" s="7">
        <f t="shared" si="45"/>
        <v>-1</v>
      </c>
    </row>
    <row r="52" spans="1:26" s="24" customFormat="1" hidden="1" outlineLevel="2" x14ac:dyDescent="0.25">
      <c r="A52" s="26"/>
      <c r="B52" s="11" t="str">
        <f>CONCATENATE("          ", "6237", " - ", "JANITORIAL SUPPLIES")</f>
        <v xml:space="preserve">          6237 - JANITORIAL SUPPLIES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/>
      <c r="Q52" s="2"/>
      <c r="R52" s="7">
        <f t="shared" si="42"/>
        <v>0</v>
      </c>
      <c r="S52" s="2"/>
      <c r="T52" s="6">
        <v>505.41</v>
      </c>
      <c r="U52" s="2"/>
      <c r="V52" s="7">
        <f t="shared" si="43"/>
        <v>1.7244591296942304E-2</v>
      </c>
      <c r="W52" s="2"/>
      <c r="X52" s="6">
        <f t="shared" si="44"/>
        <v>-505.41</v>
      </c>
      <c r="Y52" s="2"/>
      <c r="Z52" s="7">
        <f t="shared" si="45"/>
        <v>-1</v>
      </c>
    </row>
    <row r="53" spans="1:26" s="24" customFormat="1" hidden="1" outlineLevel="2" x14ac:dyDescent="0.25">
      <c r="A53" s="26"/>
      <c r="B53" s="11" t="str">
        <f>CONCATENATE("          ", "6239", " - ", "KITCHEN SUPPLIES")</f>
        <v xml:space="preserve">          6239 - KITCHEN SUPPLIES</v>
      </c>
      <c r="C53" s="11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1"/>
      <c r="P53" s="6">
        <v>875.42</v>
      </c>
      <c r="Q53" s="2"/>
      <c r="R53" s="7">
        <f t="shared" si="42"/>
        <v>4.4097608940618691E-2</v>
      </c>
      <c r="S53" s="2"/>
      <c r="T53" s="6">
        <v>892.2</v>
      </c>
      <c r="U53" s="2"/>
      <c r="V53" s="7">
        <f t="shared" si="43"/>
        <v>3.0441867701731115E-2</v>
      </c>
      <c r="W53" s="2"/>
      <c r="X53" s="6">
        <f t="shared" si="44"/>
        <v>-16.780000000000086</v>
      </c>
      <c r="Y53" s="2"/>
      <c r="Z53" s="7">
        <f t="shared" si="45"/>
        <v>-1.8807442277516347E-2</v>
      </c>
    </row>
    <row r="54" spans="1:26" s="24" customFormat="1" hidden="1" outlineLevel="2" x14ac:dyDescent="0.25">
      <c r="A54" s="26"/>
      <c r="B54" s="11" t="str">
        <f>CONCATENATE("          ", "6241", " - ", "OFFICE EXPENSE")</f>
        <v xml:space="preserve">          6241 - OFFICE EXPENSE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33.06</v>
      </c>
      <c r="Q54" s="2"/>
      <c r="R54" s="7">
        <f t="shared" si="42"/>
        <v>1.6653342984817049E-3</v>
      </c>
      <c r="S54" s="2"/>
      <c r="T54" s="6">
        <v>66.13</v>
      </c>
      <c r="U54" s="2"/>
      <c r="V54" s="7">
        <f t="shared" si="43"/>
        <v>2.2563558743728743E-3</v>
      </c>
      <c r="W54" s="2"/>
      <c r="X54" s="6">
        <f t="shared" si="44"/>
        <v>-33.069999999999993</v>
      </c>
      <c r="Y54" s="2"/>
      <c r="Z54" s="7">
        <f t="shared" si="45"/>
        <v>-0.50007560864962941</v>
      </c>
    </row>
    <row r="55" spans="1:26" s="24" customFormat="1" hidden="1" outlineLevel="2" x14ac:dyDescent="0.25">
      <c r="A55" s="26"/>
      <c r="B55" s="11" t="str">
        <f>CONCATENATE("          ", "6247", " - ", "STORE SUPPLIES")</f>
        <v xml:space="preserve">          6247 - STORE SUPPLIES</v>
      </c>
      <c r="C55" s="11"/>
      <c r="D55" s="6"/>
      <c r="E55" s="2"/>
      <c r="F55" s="7">
        <f t="shared" si="38"/>
        <v>0</v>
      </c>
      <c r="G55" s="2"/>
      <c r="H55" s="6"/>
      <c r="I55" s="2"/>
      <c r="J55" s="7">
        <f t="shared" si="39"/>
        <v>0</v>
      </c>
      <c r="K55" s="2"/>
      <c r="L55" s="6">
        <f t="shared" si="40"/>
        <v>0</v>
      </c>
      <c r="M55" s="2"/>
      <c r="N55" s="7">
        <f t="shared" si="41"/>
        <v>0</v>
      </c>
      <c r="O55" s="11"/>
      <c r="P55" s="6">
        <v>104.89</v>
      </c>
      <c r="Q55" s="2"/>
      <c r="R55" s="7">
        <f t="shared" si="42"/>
        <v>5.2836332295143991E-3</v>
      </c>
      <c r="S55" s="2"/>
      <c r="T55" s="6"/>
      <c r="U55" s="2"/>
      <c r="V55" s="7">
        <f t="shared" si="43"/>
        <v>0</v>
      </c>
      <c r="W55" s="2"/>
      <c r="X55" s="6">
        <f t="shared" si="44"/>
        <v>104.89</v>
      </c>
      <c r="Y55" s="2"/>
      <c r="Z55" s="7">
        <f t="shared" si="45"/>
        <v>0</v>
      </c>
    </row>
    <row r="56" spans="1:26" s="27" customFormat="1" outlineLevel="1" collapsed="1" x14ac:dyDescent="0.25">
      <c r="A56" s="25"/>
      <c r="B56" s="13" t="str">
        <f>CONCATENATE("     ","Telephone/Data Lines                              ")</f>
        <v xml:space="preserve">     Telephone/Data Lines                              </v>
      </c>
      <c r="C56" s="13"/>
      <c r="D56" s="1">
        <f>SUM(OSRRefD22_11x_0)</f>
        <v>214</v>
      </c>
      <c r="E56" s="1"/>
      <c r="F56" s="5">
        <f t="shared" ref="F56:F57" si="46">IF(D$12=0,0,D56/D$12)</f>
        <v>0</v>
      </c>
      <c r="G56" s="1"/>
      <c r="H56" s="1">
        <f>SUM(OSRRefH22_11x_0)</f>
        <v>213.01</v>
      </c>
      <c r="I56" s="1"/>
      <c r="J56" s="5">
        <f t="shared" ref="J56:J57" si="47">IF(H$12=0,0,H56/H$12)</f>
        <v>0</v>
      </c>
      <c r="K56" s="1"/>
      <c r="L56" s="1">
        <f t="shared" ref="L56:L57" si="48">+D56-H56</f>
        <v>0.99000000000000909</v>
      </c>
      <c r="M56" s="1"/>
      <c r="N56" s="5">
        <f t="shared" ref="N56:N57" si="49">IF(H56=0,0,L56/H56)</f>
        <v>4.6476691235153708E-3</v>
      </c>
      <c r="O56" s="13"/>
      <c r="P56" s="1">
        <f>SUM(OSRRefP22_11x_0)</f>
        <v>1284.05</v>
      </c>
      <c r="Q56" s="1"/>
      <c r="R56" s="5">
        <f t="shared" ref="R56:R57" si="50">IF(P$12=0,0,P56/P$12)</f>
        <v>6.4681564003794101E-2</v>
      </c>
      <c r="S56" s="1"/>
      <c r="T56" s="1">
        <f>SUM(OSRRefT22_11x_0)</f>
        <v>1575.06</v>
      </c>
      <c r="U56" s="1"/>
      <c r="V56" s="5">
        <f t="shared" ref="V56:V57" si="51">IF(T$12=0,0,T56/T$12)</f>
        <v>5.3741053734912135E-2</v>
      </c>
      <c r="W56" s="1"/>
      <c r="X56" s="1">
        <f t="shared" ref="X56:X57" si="52">+P56-T56</f>
        <v>-291.01</v>
      </c>
      <c r="Y56" s="1"/>
      <c r="Z56" s="5">
        <f t="shared" ref="Z56:Z57" si="53">IF(T56=0,0,X56/T56)</f>
        <v>-0.1847612154457608</v>
      </c>
    </row>
    <row r="57" spans="1:26" s="24" customFormat="1" hidden="1" outlineLevel="2" x14ac:dyDescent="0.25">
      <c r="A57" s="26"/>
      <c r="B57" s="11" t="str">
        <f>CONCATENATE("          ", "6309", " - ", "TELEPHONE")</f>
        <v xml:space="preserve">          6309 - TELEPHONE</v>
      </c>
      <c r="C57" s="11"/>
      <c r="D57" s="6">
        <v>214</v>
      </c>
      <c r="E57" s="2"/>
      <c r="F57" s="7">
        <f t="shared" si="46"/>
        <v>0</v>
      </c>
      <c r="G57" s="2"/>
      <c r="H57" s="6">
        <v>213.01</v>
      </c>
      <c r="I57" s="2"/>
      <c r="J57" s="7">
        <f t="shared" si="47"/>
        <v>0</v>
      </c>
      <c r="K57" s="2"/>
      <c r="L57" s="6">
        <f t="shared" si="48"/>
        <v>0.99000000000000909</v>
      </c>
      <c r="M57" s="2"/>
      <c r="N57" s="7">
        <f t="shared" si="49"/>
        <v>4.6476691235153708E-3</v>
      </c>
      <c r="O57" s="11"/>
      <c r="P57" s="6">
        <v>1284.05</v>
      </c>
      <c r="Q57" s="2"/>
      <c r="R57" s="7">
        <f t="shared" si="50"/>
        <v>6.4681564003794101E-2</v>
      </c>
      <c r="S57" s="2"/>
      <c r="T57" s="6">
        <v>1575.06</v>
      </c>
      <c r="U57" s="2"/>
      <c r="V57" s="7">
        <f t="shared" si="51"/>
        <v>5.3741053734912135E-2</v>
      </c>
      <c r="W57" s="2"/>
      <c r="X57" s="6">
        <f t="shared" si="52"/>
        <v>-291.01</v>
      </c>
      <c r="Y57" s="2"/>
      <c r="Z57" s="7">
        <f t="shared" si="53"/>
        <v>-0.1847612154457608</v>
      </c>
    </row>
    <row r="58" spans="1:26" s="61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25">
      <c r="A59" s="10"/>
      <c r="B59" s="28" t="s">
        <v>0</v>
      </c>
      <c r="C59" s="10"/>
      <c r="D59" s="4">
        <f>SUM(OSRRefD25x_0)</f>
        <v>0</v>
      </c>
      <c r="E59" s="4"/>
      <c r="F59" s="12">
        <f t="shared" ref="F59:F60" si="54">IF(D$12=0,0,D59/D$12)</f>
        <v>0</v>
      </c>
      <c r="G59" s="4"/>
      <c r="H59" s="4">
        <f>SUM(OSRRefH25x_0)</f>
        <v>0</v>
      </c>
      <c r="I59" s="4"/>
      <c r="J59" s="12">
        <f t="shared" ref="J59:J60" si="55">IF(H$12=0,0,H59/H$12)</f>
        <v>0</v>
      </c>
      <c r="K59" s="4"/>
      <c r="L59" s="4">
        <f t="shared" ref="L59:L60" si="56">+D59-H59</f>
        <v>0</v>
      </c>
      <c r="M59" s="4"/>
      <c r="N59" s="12">
        <f t="shared" ref="N59:N60" si="57">IF(H59=0,0,L59/H59)</f>
        <v>0</v>
      </c>
      <c r="O59" s="10"/>
      <c r="P59" s="4">
        <f>SUM(OSRRefP25x_0)</f>
        <v>5494.64</v>
      </c>
      <c r="Q59" s="4"/>
      <c r="R59" s="12">
        <f t="shared" ref="R59:R60" si="58">IF(P$12=0,0,P59/P$12)</f>
        <v>0.27678198577766228</v>
      </c>
      <c r="S59" s="4"/>
      <c r="T59" s="4">
        <f>SUM(OSRRefT25x_0)</f>
        <v>0</v>
      </c>
      <c r="U59" s="4"/>
      <c r="V59" s="12">
        <f t="shared" ref="V59:V60" si="59">IF(T$12=0,0,T59/T$12)</f>
        <v>0</v>
      </c>
      <c r="W59" s="4"/>
      <c r="X59" s="4">
        <f t="shared" ref="X59:X60" si="60">+P59-T59</f>
        <v>5494.64</v>
      </c>
      <c r="Y59" s="4"/>
      <c r="Z59" s="12">
        <f t="shared" ref="Z59:Z60" si="61">IF(T59=0,0,X59/T59)</f>
        <v>0</v>
      </c>
    </row>
    <row r="60" spans="1:26" s="24" customFormat="1" hidden="1" outlineLevel="1" x14ac:dyDescent="0.25">
      <c r="A60" s="44"/>
      <c r="B60" s="11" t="str">
        <f>CONCATENATE("          ", "9150", " - ", "MISC. INCOME")</f>
        <v xml:space="preserve">          9150 - MISC. INCOME</v>
      </c>
      <c r="C60" s="11"/>
      <c r="D60" s="2">
        <f>0</f>
        <v>0</v>
      </c>
      <c r="E60" s="2"/>
      <c r="F60" s="19">
        <f t="shared" si="54"/>
        <v>0</v>
      </c>
      <c r="G60" s="2"/>
      <c r="H60" s="2">
        <f>0</f>
        <v>0</v>
      </c>
      <c r="I60" s="2"/>
      <c r="J60" s="19">
        <f t="shared" si="55"/>
        <v>0</v>
      </c>
      <c r="K60" s="2"/>
      <c r="L60" s="2">
        <f t="shared" si="56"/>
        <v>0</v>
      </c>
      <c r="M60" s="2"/>
      <c r="N60" s="19">
        <f t="shared" si="57"/>
        <v>0</v>
      </c>
      <c r="O60" s="11"/>
      <c r="P60" s="2">
        <f>--5494.64</f>
        <v>5494.64</v>
      </c>
      <c r="Q60" s="2"/>
      <c r="R60" s="19">
        <f t="shared" si="58"/>
        <v>0.27678198577766228</v>
      </c>
      <c r="S60" s="2"/>
      <c r="T60" s="2">
        <f>0</f>
        <v>0</v>
      </c>
      <c r="U60" s="2"/>
      <c r="V60" s="19">
        <f t="shared" si="59"/>
        <v>0</v>
      </c>
      <c r="W60" s="2"/>
      <c r="X60" s="2">
        <f t="shared" si="60"/>
        <v>5494.64</v>
      </c>
      <c r="Y60" s="2"/>
      <c r="Z60" s="19">
        <f t="shared" si="61"/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0">
        <f>+D20-D22+D59</f>
        <v>-5780.0599999999995</v>
      </c>
      <c r="E62" s="14"/>
      <c r="F62" s="21">
        <f>IF(D$12=0,0,D62/D$12)</f>
        <v>0</v>
      </c>
      <c r="G62" s="14"/>
      <c r="H62" s="20">
        <f>+H20-H22+H59</f>
        <v>-247.17</v>
      </c>
      <c r="I62" s="14"/>
      <c r="J62" s="21">
        <f>IF(H$12=0,0,H62/H$12)</f>
        <v>0</v>
      </c>
      <c r="K62" s="15"/>
      <c r="L62" s="20">
        <f>+D62-H62</f>
        <v>-5532.8899999999994</v>
      </c>
      <c r="M62" s="15"/>
      <c r="N62" s="21">
        <f>IF(H62=0,0,L62/H62)</f>
        <v>22.38495772140632</v>
      </c>
      <c r="O62" s="28"/>
      <c r="P62" s="20">
        <f>+P20-P22+P59</f>
        <v>-4939.13</v>
      </c>
      <c r="Q62" s="14"/>
      <c r="R62" s="21">
        <f>IF(P$12=0,0,P62/P$12)</f>
        <v>-0.24879923150816524</v>
      </c>
      <c r="S62" s="14"/>
      <c r="T62" s="20">
        <f>+T20-T22+T59</f>
        <v>-161.4900000000016</v>
      </c>
      <c r="U62" s="14"/>
      <c r="V62" s="21">
        <f>IF(T$12=0,0,T62/T$12)</f>
        <v>-5.5100394700208543E-3</v>
      </c>
      <c r="W62" s="15"/>
      <c r="X62" s="20">
        <f>+P62-T62</f>
        <v>-4777.6399999999985</v>
      </c>
      <c r="Y62" s="15"/>
      <c r="Z62" s="21">
        <f>IF(T62=0,0,X62/T62)</f>
        <v>29.584742089293151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>
        <v>41.97</v>
      </c>
      <c r="E64" s="4"/>
      <c r="F64" s="12">
        <f>IF(D$12=0,0,D64/D$12)</f>
        <v>0</v>
      </c>
      <c r="G64" s="4"/>
      <c r="H64" s="4">
        <v>78.92</v>
      </c>
      <c r="I64" s="4"/>
      <c r="J64" s="12">
        <f>IF(H$12=0,0,H64/H$12)</f>
        <v>0</v>
      </c>
      <c r="K64" s="4"/>
      <c r="L64" s="4">
        <f>+D64-H64</f>
        <v>-36.950000000000003</v>
      </c>
      <c r="M64" s="4"/>
      <c r="N64" s="12">
        <f>IF(H64=0,0,L64/H64)</f>
        <v>-0.46819564115560064</v>
      </c>
      <c r="O64" s="10"/>
      <c r="P64" s="4">
        <v>2144.15</v>
      </c>
      <c r="Q64" s="4"/>
      <c r="R64" s="12">
        <f>IF(P$12=0,0,P64/P$12)</f>
        <v>0.10800745723198873</v>
      </c>
      <c r="S64" s="4"/>
      <c r="T64" s="4">
        <v>3162.81</v>
      </c>
      <c r="U64" s="4"/>
      <c r="V64" s="12">
        <f>IF(T$12=0,0,T64/T$12)</f>
        <v>0.10791509032247498</v>
      </c>
      <c r="W64" s="4"/>
      <c r="X64" s="4">
        <f>+P64-T64</f>
        <v>-1018.6599999999999</v>
      </c>
      <c r="Y64" s="4"/>
      <c r="Z64" s="12">
        <f>IF(T64=0,0,X64/T64)</f>
        <v>-0.32207435792855083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2">
        <f>+D62-D64</f>
        <v>-5822.03</v>
      </c>
      <c r="E66" s="14"/>
      <c r="F66" s="30">
        <f>IF(D$12=0,0,D66/D$12)</f>
        <v>0</v>
      </c>
      <c r="G66" s="14"/>
      <c r="H66" s="32">
        <f>+H62-H64</f>
        <v>-326.08999999999997</v>
      </c>
      <c r="I66" s="14"/>
      <c r="J66" s="30">
        <f>IF(H$12=0,0,H66/H$12)</f>
        <v>0</v>
      </c>
      <c r="K66" s="15"/>
      <c r="L66" s="32">
        <f>D66-H66</f>
        <v>-5495.94</v>
      </c>
      <c r="M66" s="15"/>
      <c r="N66" s="30">
        <f>IF(H66=0,0,L66/H66)</f>
        <v>16.854058695452174</v>
      </c>
      <c r="O66" s="28"/>
      <c r="P66" s="32">
        <f>+P62-P64</f>
        <v>-7083.2800000000007</v>
      </c>
      <c r="Q66" s="14"/>
      <c r="R66" s="30">
        <f>IF(P$12=0,0,P66/P$12)</f>
        <v>-0.35680668874015398</v>
      </c>
      <c r="S66" s="14"/>
      <c r="T66" s="32">
        <f>+T62-T64</f>
        <v>-3324.3000000000015</v>
      </c>
      <c r="U66" s="14"/>
      <c r="V66" s="30">
        <f>IF(T$12=0,0,T66/T$12)</f>
        <v>-0.11342512979249583</v>
      </c>
      <c r="W66" s="15"/>
      <c r="X66" s="32">
        <f>P66-T66</f>
        <v>-3758.9799999999991</v>
      </c>
      <c r="Y66" s="15"/>
      <c r="Z66" s="30">
        <f>IF(T66=0,0,X66/T66)</f>
        <v>1.1307583551424352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6">
        <f>SUM(D66:D68)</f>
        <v>-5822.03</v>
      </c>
      <c r="E69" s="14"/>
      <c r="F69" s="31">
        <f>IF(D$12=0,0,D69/D$12)</f>
        <v>0</v>
      </c>
      <c r="G69" s="14"/>
      <c r="H69" s="36">
        <f>SUM(H66:H68)</f>
        <v>-326.08999999999997</v>
      </c>
      <c r="I69" s="14"/>
      <c r="J69" s="31">
        <f>IF(H$12=0,0,H69/H$12)</f>
        <v>0</v>
      </c>
      <c r="K69" s="15"/>
      <c r="L69" s="36">
        <f>+D69-H69</f>
        <v>-5495.94</v>
      </c>
      <c r="M69" s="15"/>
      <c r="N69" s="31">
        <f>IF(H69=0,0,L69/H69)</f>
        <v>16.854058695452174</v>
      </c>
      <c r="O69" s="28"/>
      <c r="P69" s="36">
        <f>SUM(P66:P68)</f>
        <v>-7083.2800000000007</v>
      </c>
      <c r="Q69" s="14"/>
      <c r="R69" s="31">
        <f>IF(P$12=0,0,P69/P$12)</f>
        <v>-0.35680668874015398</v>
      </c>
      <c r="S69" s="14"/>
      <c r="T69" s="36">
        <f>SUM(T66:T68)</f>
        <v>-3324.3000000000015</v>
      </c>
      <c r="U69" s="14"/>
      <c r="V69" s="31">
        <f>IF(T$12=0,0,T69/T$12)</f>
        <v>-0.11342512979249583</v>
      </c>
      <c r="W69" s="15"/>
      <c r="X69" s="36">
        <f>+P69-T69</f>
        <v>-3758.9799999999991</v>
      </c>
      <c r="Y69" s="15"/>
      <c r="Z69" s="31">
        <f>IF(T69=0,0,X69/T69)</f>
        <v>1.1307583551424352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62">
        <v>43847.454160613423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6" t="s">
        <v>313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54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","425", " - ", "Events Center")</f>
        <v>Department 425 - Events Center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36222.629999999997</v>
      </c>
      <c r="E12" s="4"/>
      <c r="F12" s="12"/>
      <c r="G12" s="4"/>
      <c r="H12" s="4">
        <f>SUM(OSRRefH13x_0)</f>
        <v>82554.61</v>
      </c>
      <c r="I12" s="4"/>
      <c r="J12" s="12"/>
      <c r="K12" s="4"/>
      <c r="L12" s="4">
        <f t="shared" ref="L12:L17" si="0">+D12-H12</f>
        <v>-46331.98</v>
      </c>
      <c r="M12" s="4"/>
      <c r="N12" s="12">
        <f t="shared" ref="N12:N17" si="1">IF(H12=0,0,L12/H12)</f>
        <v>-0.56122825848247604</v>
      </c>
      <c r="O12" s="10"/>
      <c r="P12" s="4">
        <f>SUM(OSRRefP13x_0)</f>
        <v>202410.17</v>
      </c>
      <c r="Q12" s="4"/>
      <c r="R12" s="12"/>
      <c r="S12" s="4"/>
      <c r="T12" s="4">
        <f>SUM(OSRRefT13x_0)</f>
        <v>248530.83</v>
      </c>
      <c r="U12" s="4"/>
      <c r="V12" s="12"/>
      <c r="W12" s="4"/>
      <c r="X12" s="4">
        <f t="shared" ref="X12:X17" si="2">+P12-T12</f>
        <v>-46120.659999999974</v>
      </c>
      <c r="Y12" s="4"/>
      <c r="Z12" s="12">
        <f t="shared" ref="Z12:Z17" si="3">IF(T12=0,0,X12/T12)</f>
        <v>-0.18557319427935753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--704.37</f>
        <v>704.37</v>
      </c>
      <c r="U13" s="2"/>
      <c r="V13" s="19"/>
      <c r="W13" s="2"/>
      <c r="X13" s="2">
        <f t="shared" si="2"/>
        <v>-704.37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--20306.05</f>
        <v>20306.05</v>
      </c>
      <c r="E14" s="2"/>
      <c r="F14" s="19"/>
      <c r="G14" s="2"/>
      <c r="H14" s="2">
        <f>--57344.6</f>
        <v>57344.6</v>
      </c>
      <c r="I14" s="2"/>
      <c r="J14" s="19"/>
      <c r="K14" s="2"/>
      <c r="L14" s="2">
        <f t="shared" si="0"/>
        <v>-37038.550000000003</v>
      </c>
      <c r="M14" s="2"/>
      <c r="N14" s="19">
        <f t="shared" si="1"/>
        <v>-0.64589429519082886</v>
      </c>
      <c r="O14" s="11"/>
      <c r="P14" s="2">
        <f>--135830.17</f>
        <v>135830.17000000001</v>
      </c>
      <c r="Q14" s="2"/>
      <c r="R14" s="19"/>
      <c r="S14" s="2"/>
      <c r="T14" s="2">
        <f>--183048.07</f>
        <v>183048.07</v>
      </c>
      <c r="U14" s="2"/>
      <c r="V14" s="19"/>
      <c r="W14" s="2"/>
      <c r="X14" s="2">
        <f t="shared" si="2"/>
        <v>-47217.899999999994</v>
      </c>
      <c r="Y14" s="2"/>
      <c r="Z14" s="19">
        <f t="shared" si="3"/>
        <v>-0.25795355285636168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--15916.58</f>
        <v>15916.58</v>
      </c>
      <c r="E15" s="2"/>
      <c r="F15" s="19"/>
      <c r="G15" s="2"/>
      <c r="H15" s="2">
        <f>--25210.01</f>
        <v>25210.01</v>
      </c>
      <c r="I15" s="2"/>
      <c r="J15" s="19"/>
      <c r="K15" s="2"/>
      <c r="L15" s="2">
        <f t="shared" si="0"/>
        <v>-9293.4299999999985</v>
      </c>
      <c r="M15" s="2"/>
      <c r="N15" s="19">
        <f t="shared" si="1"/>
        <v>-0.36864047257418775</v>
      </c>
      <c r="O15" s="11"/>
      <c r="P15" s="2">
        <f>--66580</f>
        <v>66580</v>
      </c>
      <c r="Q15" s="2"/>
      <c r="R15" s="19"/>
      <c r="S15" s="2"/>
      <c r="T15" s="2">
        <f>--64248.72</f>
        <v>64248.72</v>
      </c>
      <c r="U15" s="2"/>
      <c r="V15" s="19"/>
      <c r="W15" s="2"/>
      <c r="X15" s="2">
        <f t="shared" si="2"/>
        <v>2331.2799999999988</v>
      </c>
      <c r="Y15" s="2"/>
      <c r="Z15" s="19">
        <f t="shared" si="3"/>
        <v>3.6285236499653206E-2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ref="D16:D17" si="4">0</f>
        <v>0</v>
      </c>
      <c r="E16" s="2"/>
      <c r="F16" s="19"/>
      <c r="G16" s="2"/>
      <c r="H16" s="2">
        <f t="shared" ref="H16:H17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ref="P16:P17" si="6">0</f>
        <v>0</v>
      </c>
      <c r="Q16" s="2"/>
      <c r="R16" s="19"/>
      <c r="S16" s="2"/>
      <c r="T16" s="2">
        <f>--396.83</f>
        <v>396.83</v>
      </c>
      <c r="U16" s="2"/>
      <c r="V16" s="19"/>
      <c r="W16" s="2"/>
      <c r="X16" s="2">
        <f t="shared" si="2"/>
        <v>-396.83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"4152", " - ", "NON-TAXABLE SALES-FOOD")</f>
        <v xml:space="preserve">          4152 - NON-TAXABLE SALES-FOOD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6"/>
        <v>0</v>
      </c>
      <c r="Q17" s="2"/>
      <c r="R17" s="19"/>
      <c r="S17" s="2"/>
      <c r="T17" s="2">
        <f>--132.84</f>
        <v>132.84</v>
      </c>
      <c r="U17" s="2"/>
      <c r="V17" s="19"/>
      <c r="W17" s="2"/>
      <c r="X17" s="2">
        <f t="shared" si="2"/>
        <v>-132.84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9242.85</v>
      </c>
      <c r="E19" s="4"/>
      <c r="F19" s="12">
        <f t="shared" ref="F19:F21" si="7">IF(D$12=0,0,D19/D$12)</f>
        <v>0.25516783292654344</v>
      </c>
      <c r="G19" s="4"/>
      <c r="H19" s="4">
        <f>SUM(OSRRefH16x_0)</f>
        <v>20391.18</v>
      </c>
      <c r="I19" s="4"/>
      <c r="J19" s="12">
        <f t="shared" ref="J19:J21" si="8">IF(H$12=0,0,H19/H$12)</f>
        <v>0.24700231761739291</v>
      </c>
      <c r="K19" s="4"/>
      <c r="L19" s="4">
        <f t="shared" ref="L19:L21" si="9">+D19-H19</f>
        <v>-11148.33</v>
      </c>
      <c r="M19" s="4"/>
      <c r="N19" s="12">
        <f t="shared" ref="N19:N21" si="10">IF(H19=0,0,L19/H19)</f>
        <v>-0.54672314206436312</v>
      </c>
      <c r="O19" s="10"/>
      <c r="P19" s="4">
        <f>SUM(OSRRefP16x_0)</f>
        <v>48236.17</v>
      </c>
      <c r="Q19" s="4"/>
      <c r="R19" s="12">
        <f t="shared" ref="R19:R21" si="11">IF(P$12=0,0,P19/P$12)</f>
        <v>0.23830902370172405</v>
      </c>
      <c r="S19" s="4"/>
      <c r="T19" s="4">
        <f>SUM(OSRRefT16x_0)</f>
        <v>52384.97</v>
      </c>
      <c r="U19" s="4"/>
      <c r="V19" s="12">
        <f t="shared" ref="V19:V21" si="12">IF(T$12=0,0,T19/T$12)</f>
        <v>0.21077855813703275</v>
      </c>
      <c r="W19" s="4"/>
      <c r="X19" s="4">
        <f t="shared" ref="X19:X21" si="13">+P19-T19</f>
        <v>-4148.8000000000029</v>
      </c>
      <c r="Y19" s="4"/>
      <c r="Z19" s="12">
        <f t="shared" ref="Z19:Z21" si="14">IF(T19=0,0,X19/T19)</f>
        <v>-7.9198289127587598E-2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12905.85</v>
      </c>
      <c r="E20" s="2"/>
      <c r="F20" s="19">
        <f t="shared" si="7"/>
        <v>0.35629246137014353</v>
      </c>
      <c r="G20" s="2"/>
      <c r="H20" s="2">
        <v>11623.78</v>
      </c>
      <c r="I20" s="2"/>
      <c r="J20" s="19">
        <f t="shared" si="8"/>
        <v>0.14080110123468575</v>
      </c>
      <c r="K20" s="2"/>
      <c r="L20" s="2">
        <f t="shared" si="9"/>
        <v>1282.0699999999997</v>
      </c>
      <c r="M20" s="2"/>
      <c r="N20" s="19">
        <f t="shared" si="10"/>
        <v>0.11029716667039463</v>
      </c>
      <c r="O20" s="11"/>
      <c r="P20" s="2">
        <v>64448.17</v>
      </c>
      <c r="Q20" s="2"/>
      <c r="R20" s="19">
        <f t="shared" si="11"/>
        <v>0.31840381340522561</v>
      </c>
      <c r="S20" s="2"/>
      <c r="T20" s="2">
        <v>55407.67</v>
      </c>
      <c r="U20" s="2"/>
      <c r="V20" s="19">
        <f t="shared" si="12"/>
        <v>0.22294083192817568</v>
      </c>
      <c r="W20" s="2"/>
      <c r="X20" s="2">
        <f t="shared" si="13"/>
        <v>9040.5</v>
      </c>
      <c r="Y20" s="2"/>
      <c r="Z20" s="19">
        <f t="shared" si="14"/>
        <v>0.163163330997315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-3663</v>
      </c>
      <c r="E21" s="2"/>
      <c r="F21" s="19">
        <f t="shared" si="7"/>
        <v>-0.10112462844360004</v>
      </c>
      <c r="G21" s="2"/>
      <c r="H21" s="2">
        <v>8767.4</v>
      </c>
      <c r="I21" s="2"/>
      <c r="J21" s="19">
        <f t="shared" si="8"/>
        <v>0.10620121638270714</v>
      </c>
      <c r="K21" s="2"/>
      <c r="L21" s="2">
        <f t="shared" si="9"/>
        <v>-12430.4</v>
      </c>
      <c r="M21" s="2"/>
      <c r="N21" s="19">
        <f t="shared" si="10"/>
        <v>-1.4177977507584918</v>
      </c>
      <c r="O21" s="11"/>
      <c r="P21" s="2">
        <v>-16212</v>
      </c>
      <c r="Q21" s="2"/>
      <c r="R21" s="19">
        <f t="shared" si="11"/>
        <v>-8.0094789703501548E-2</v>
      </c>
      <c r="S21" s="2"/>
      <c r="T21" s="2">
        <v>-3022.7</v>
      </c>
      <c r="U21" s="2"/>
      <c r="V21" s="19">
        <f t="shared" si="12"/>
        <v>-1.2162273791142934E-2</v>
      </c>
      <c r="W21" s="2"/>
      <c r="X21" s="2">
        <f t="shared" si="13"/>
        <v>-13189.3</v>
      </c>
      <c r="Y21" s="2"/>
      <c r="Z21" s="19">
        <f t="shared" si="14"/>
        <v>4.3634168127832735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D12-D19</f>
        <v>26979.78</v>
      </c>
      <c r="E23" s="14"/>
      <c r="F23" s="21">
        <f>IF(D$12=0,0,D23/D$12)</f>
        <v>0.74483216707345656</v>
      </c>
      <c r="G23" s="14"/>
      <c r="H23" s="20">
        <f>H12-H19</f>
        <v>62163.43</v>
      </c>
      <c r="I23" s="14"/>
      <c r="J23" s="21">
        <f>IF(H$12=0,0,H23/H$12)</f>
        <v>0.75299768238260711</v>
      </c>
      <c r="K23" s="15"/>
      <c r="L23" s="20">
        <f>+D23-H23</f>
        <v>-35183.65</v>
      </c>
      <c r="M23" s="15"/>
      <c r="N23" s="21">
        <f>IF(H23=0,0,L23/H23)</f>
        <v>-0.56598630416629203</v>
      </c>
      <c r="O23" s="28"/>
      <c r="P23" s="20">
        <f>P12-P19</f>
        <v>154174</v>
      </c>
      <c r="Q23" s="14"/>
      <c r="R23" s="21">
        <f>IF(P$12=0,0,P23/P$12)</f>
        <v>0.76169097629827587</v>
      </c>
      <c r="S23" s="14"/>
      <c r="T23" s="20">
        <f>T12-T19</f>
        <v>196145.86</v>
      </c>
      <c r="U23" s="14"/>
      <c r="V23" s="21">
        <f>IF(T$12=0,0,T23/T$12)</f>
        <v>0.78922144186296728</v>
      </c>
      <c r="W23" s="15"/>
      <c r="X23" s="20">
        <f>+P23-T23</f>
        <v>-41971.859999999986</v>
      </c>
      <c r="Y23" s="15"/>
      <c r="Z23" s="21">
        <f>IF(T23=0,0,X23/T23)</f>
        <v>-0.2139829002763555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26093.100000000002</v>
      </c>
      <c r="E25" s="22"/>
      <c r="F25" s="33">
        <f t="shared" ref="F25:F34" si="15">IF(D$12=0,0,D25/D$12)</f>
        <v>0.72035354694013121</v>
      </c>
      <c r="G25" s="22"/>
      <c r="H25" s="22">
        <f>SUM(OSRRefH22x_0)</f>
        <v>36149.99</v>
      </c>
      <c r="I25" s="22"/>
      <c r="J25" s="33">
        <f t="shared" ref="J25:J34" si="16">IF(H$12=0,0,H25/H$12)</f>
        <v>0.43789183911110474</v>
      </c>
      <c r="K25" s="4"/>
      <c r="L25" s="22">
        <f t="shared" ref="L25:L34" si="17">+D25-H25</f>
        <v>-10056.889999999996</v>
      </c>
      <c r="M25" s="4"/>
      <c r="N25" s="33">
        <f t="shared" ref="N25:N34" si="18">IF(H25=0,0,L25/H25)</f>
        <v>-0.27819897045614661</v>
      </c>
      <c r="O25" s="10"/>
      <c r="P25" s="22">
        <f>SUM(OSRRefP22x_0)</f>
        <v>172452.36000000002</v>
      </c>
      <c r="Q25" s="22"/>
      <c r="R25" s="33">
        <f t="shared" ref="R25:R34" si="19">IF(P$12=0,0,P25/P$12)</f>
        <v>0.85199454157861731</v>
      </c>
      <c r="S25" s="22"/>
      <c r="T25" s="22">
        <f>SUM(OSRRefT22x_0)</f>
        <v>157481.24</v>
      </c>
      <c r="U25" s="22"/>
      <c r="V25" s="33">
        <f t="shared" ref="V25:V34" si="20">IF(T$12=0,0,T25/T$12)</f>
        <v>0.63364871070522721</v>
      </c>
      <c r="W25" s="4"/>
      <c r="X25" s="22">
        <f t="shared" ref="X25:X34" si="21">+P25-T25</f>
        <v>14971.120000000024</v>
      </c>
      <c r="Y25" s="4"/>
      <c r="Z25" s="33">
        <f t="shared" ref="Z25:Z34" si="22">IF(T25=0,0,X25/T25)</f>
        <v>9.5066053582001417E-2</v>
      </c>
    </row>
    <row r="26" spans="1:26" s="27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2803.34</v>
      </c>
      <c r="E26" s="1"/>
      <c r="F26" s="5">
        <f t="shared" si="15"/>
        <v>7.7391950832946158E-2</v>
      </c>
      <c r="G26" s="1"/>
      <c r="H26" s="1">
        <f>SUM(OSRRefH22_0x_0)</f>
        <v>2590.35</v>
      </c>
      <c r="I26" s="1"/>
      <c r="J26" s="5">
        <f t="shared" si="16"/>
        <v>3.1377411873183096E-2</v>
      </c>
      <c r="K26" s="1"/>
      <c r="L26" s="1">
        <f t="shared" si="17"/>
        <v>212.99000000000024</v>
      </c>
      <c r="M26" s="1"/>
      <c r="N26" s="5">
        <f t="shared" si="18"/>
        <v>8.2224409828787703E-2</v>
      </c>
      <c r="O26" s="13"/>
      <c r="P26" s="1">
        <f>SUM(OSRRefP22_0x_0)</f>
        <v>16586.54</v>
      </c>
      <c r="Q26" s="1"/>
      <c r="R26" s="5">
        <f t="shared" si="19"/>
        <v>8.194519079747821E-2</v>
      </c>
      <c r="S26" s="1"/>
      <c r="T26" s="1">
        <f>SUM(OSRRefT22_0x_0)</f>
        <v>13687.080000000002</v>
      </c>
      <c r="U26" s="1"/>
      <c r="V26" s="5">
        <f t="shared" si="20"/>
        <v>5.5071960287582843E-2</v>
      </c>
      <c r="W26" s="1"/>
      <c r="X26" s="1">
        <f t="shared" si="21"/>
        <v>2899.4599999999991</v>
      </c>
      <c r="Y26" s="1"/>
      <c r="Z26" s="5">
        <f t="shared" si="22"/>
        <v>0.21183919433509549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521.66999999999996</v>
      </c>
      <c r="E27" s="2"/>
      <c r="F27" s="7">
        <f t="shared" si="15"/>
        <v>1.4401770384977568E-2</v>
      </c>
      <c r="G27" s="2"/>
      <c r="H27" s="6">
        <v>542.83000000000004</v>
      </c>
      <c r="I27" s="2"/>
      <c r="J27" s="7">
        <f t="shared" si="16"/>
        <v>6.5754050561198226E-3</v>
      </c>
      <c r="K27" s="2"/>
      <c r="L27" s="6">
        <f t="shared" si="17"/>
        <v>-21.160000000000082</v>
      </c>
      <c r="M27" s="2"/>
      <c r="N27" s="7">
        <f t="shared" si="18"/>
        <v>-3.8980896413241865E-2</v>
      </c>
      <c r="O27" s="11"/>
      <c r="P27" s="6">
        <v>4155.18</v>
      </c>
      <c r="Q27" s="2"/>
      <c r="R27" s="7">
        <f t="shared" si="19"/>
        <v>2.0528513957574365E-2</v>
      </c>
      <c r="S27" s="2"/>
      <c r="T27" s="6">
        <v>4239.2700000000004</v>
      </c>
      <c r="U27" s="2"/>
      <c r="V27" s="7">
        <f t="shared" si="20"/>
        <v>1.7057320413728955E-2</v>
      </c>
      <c r="W27" s="2"/>
      <c r="X27" s="6">
        <f t="shared" si="21"/>
        <v>-84.090000000000146</v>
      </c>
      <c r="Y27" s="2"/>
      <c r="Z27" s="7">
        <f t="shared" si="22"/>
        <v>-1.9835962323701991E-2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654.73</v>
      </c>
      <c r="E28" s="2"/>
      <c r="F28" s="7">
        <f t="shared" si="15"/>
        <v>1.8075164613944379E-2</v>
      </c>
      <c r="G28" s="2"/>
      <c r="H28" s="6">
        <v>620.42999999999995</v>
      </c>
      <c r="I28" s="2"/>
      <c r="J28" s="7">
        <f t="shared" si="16"/>
        <v>7.5153889043870466E-3</v>
      </c>
      <c r="K28" s="2"/>
      <c r="L28" s="6">
        <f t="shared" si="17"/>
        <v>34.300000000000068</v>
      </c>
      <c r="M28" s="2"/>
      <c r="N28" s="7">
        <f t="shared" si="18"/>
        <v>5.5284238350821316E-2</v>
      </c>
      <c r="O28" s="11"/>
      <c r="P28" s="6">
        <v>2446.29</v>
      </c>
      <c r="Q28" s="2"/>
      <c r="R28" s="7">
        <f t="shared" si="19"/>
        <v>1.2085805767565927E-2</v>
      </c>
      <c r="S28" s="2"/>
      <c r="T28" s="6">
        <v>2719.29</v>
      </c>
      <c r="U28" s="2"/>
      <c r="V28" s="7">
        <f t="shared" si="20"/>
        <v>1.0941459455955626E-2</v>
      </c>
      <c r="W28" s="2"/>
      <c r="X28" s="6">
        <f t="shared" si="21"/>
        <v>-273</v>
      </c>
      <c r="Y28" s="2"/>
      <c r="Z28" s="7">
        <f t="shared" si="22"/>
        <v>-0.10039385280716658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698.2</v>
      </c>
      <c r="E29" s="2"/>
      <c r="F29" s="7">
        <f t="shared" si="15"/>
        <v>1.9275243128397911E-2</v>
      </c>
      <c r="G29" s="2"/>
      <c r="H29" s="6">
        <v>698.2</v>
      </c>
      <c r="I29" s="2"/>
      <c r="J29" s="7">
        <f t="shared" si="16"/>
        <v>8.4574319956208389E-3</v>
      </c>
      <c r="K29" s="2"/>
      <c r="L29" s="6">
        <f t="shared" si="17"/>
        <v>0</v>
      </c>
      <c r="M29" s="2"/>
      <c r="N29" s="7">
        <f t="shared" si="18"/>
        <v>0</v>
      </c>
      <c r="O29" s="11"/>
      <c r="P29" s="6">
        <v>4189.2</v>
      </c>
      <c r="Q29" s="2"/>
      <c r="R29" s="7">
        <f t="shared" si="19"/>
        <v>2.0696588516278602E-2</v>
      </c>
      <c r="S29" s="2"/>
      <c r="T29" s="6">
        <v>6892.35</v>
      </c>
      <c r="U29" s="2"/>
      <c r="V29" s="7">
        <f t="shared" si="20"/>
        <v>2.7732374289338675E-2</v>
      </c>
      <c r="W29" s="2"/>
      <c r="X29" s="6">
        <f t="shared" si="21"/>
        <v>-2703.1500000000005</v>
      </c>
      <c r="Y29" s="2"/>
      <c r="Z29" s="7">
        <f t="shared" si="22"/>
        <v>-0.39219569522731729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43.87</v>
      </c>
      <c r="E30" s="2"/>
      <c r="F30" s="7">
        <f t="shared" si="15"/>
        <v>1.2111213349223953E-3</v>
      </c>
      <c r="G30" s="2"/>
      <c r="H30" s="6">
        <v>46.09</v>
      </c>
      <c r="I30" s="2"/>
      <c r="J30" s="7">
        <f t="shared" si="16"/>
        <v>5.582971078174799E-4</v>
      </c>
      <c r="K30" s="2"/>
      <c r="L30" s="6">
        <f t="shared" si="17"/>
        <v>-2.220000000000006</v>
      </c>
      <c r="M30" s="2"/>
      <c r="N30" s="7">
        <f t="shared" si="18"/>
        <v>-4.8166630505532777E-2</v>
      </c>
      <c r="O30" s="11"/>
      <c r="P30" s="6">
        <v>237.38</v>
      </c>
      <c r="Q30" s="2"/>
      <c r="R30" s="7">
        <f t="shared" si="19"/>
        <v>1.1727671588833703E-3</v>
      </c>
      <c r="S30" s="2"/>
      <c r="T30" s="6">
        <v>202</v>
      </c>
      <c r="U30" s="2"/>
      <c r="V30" s="7">
        <f t="shared" si="20"/>
        <v>8.1277642697286296E-4</v>
      </c>
      <c r="W30" s="2"/>
      <c r="X30" s="6">
        <f t="shared" si="21"/>
        <v>35.379999999999995</v>
      </c>
      <c r="Y30" s="2"/>
      <c r="Z30" s="7">
        <f t="shared" si="22"/>
        <v>0.17514851485148514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320.99</v>
      </c>
      <c r="E31" s="2"/>
      <c r="F31" s="7">
        <f t="shared" si="15"/>
        <v>8.8615873557497081E-3</v>
      </c>
      <c r="G31" s="2"/>
      <c r="H31" s="6">
        <v>305.26</v>
      </c>
      <c r="I31" s="2"/>
      <c r="J31" s="7">
        <f t="shared" si="16"/>
        <v>3.69767357631512E-3</v>
      </c>
      <c r="K31" s="2"/>
      <c r="L31" s="6">
        <f t="shared" si="17"/>
        <v>15.730000000000018</v>
      </c>
      <c r="M31" s="2"/>
      <c r="N31" s="7">
        <f t="shared" si="18"/>
        <v>5.1529843412173287E-2</v>
      </c>
      <c r="O31" s="11"/>
      <c r="P31" s="6">
        <v>1925.94</v>
      </c>
      <c r="Q31" s="2"/>
      <c r="R31" s="7">
        <f t="shared" si="19"/>
        <v>9.5150357316532066E-3</v>
      </c>
      <c r="S31" s="2"/>
      <c r="T31" s="6">
        <v>2306.09</v>
      </c>
      <c r="U31" s="2"/>
      <c r="V31" s="7">
        <f t="shared" si="20"/>
        <v>9.2788890617715326E-3</v>
      </c>
      <c r="W31" s="2"/>
      <c r="X31" s="6">
        <f t="shared" si="21"/>
        <v>-380.15000000000009</v>
      </c>
      <c r="Y31" s="2"/>
      <c r="Z31" s="7">
        <f t="shared" si="22"/>
        <v>-0.16484612482600422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176.92</v>
      </c>
      <c r="E32" s="2"/>
      <c r="F32" s="7">
        <f t="shared" si="15"/>
        <v>4.8842394933774824E-3</v>
      </c>
      <c r="G32" s="2"/>
      <c r="H32" s="6">
        <v>171.76</v>
      </c>
      <c r="I32" s="2"/>
      <c r="J32" s="7">
        <f t="shared" si="16"/>
        <v>2.080562187865705E-3</v>
      </c>
      <c r="K32" s="2"/>
      <c r="L32" s="6">
        <f t="shared" si="17"/>
        <v>5.1599999999999966</v>
      </c>
      <c r="M32" s="2"/>
      <c r="N32" s="7">
        <f t="shared" si="18"/>
        <v>3.0041918956683726E-2</v>
      </c>
      <c r="O32" s="11"/>
      <c r="P32" s="6">
        <v>1176.28</v>
      </c>
      <c r="Q32" s="2"/>
      <c r="R32" s="7">
        <f t="shared" si="19"/>
        <v>5.8113680750329884E-3</v>
      </c>
      <c r="S32" s="2"/>
      <c r="T32" s="6">
        <v>1741.11</v>
      </c>
      <c r="U32" s="2"/>
      <c r="V32" s="7">
        <f t="shared" si="20"/>
        <v>7.0056097265679268E-3</v>
      </c>
      <c r="W32" s="2"/>
      <c r="X32" s="6">
        <f t="shared" si="21"/>
        <v>-564.82999999999993</v>
      </c>
      <c r="Y32" s="2"/>
      <c r="Z32" s="7">
        <f t="shared" si="22"/>
        <v>-0.32440799260242026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211.96</v>
      </c>
      <c r="E33" s="2"/>
      <c r="F33" s="7">
        <f t="shared" si="15"/>
        <v>5.8515905664497589E-3</v>
      </c>
      <c r="G33" s="2"/>
      <c r="H33" s="6">
        <v>205.78</v>
      </c>
      <c r="I33" s="2"/>
      <c r="J33" s="7">
        <f t="shared" si="16"/>
        <v>2.492653045057084E-3</v>
      </c>
      <c r="K33" s="2"/>
      <c r="L33" s="6">
        <f t="shared" si="17"/>
        <v>6.1800000000000068</v>
      </c>
      <c r="M33" s="2"/>
      <c r="N33" s="7">
        <f t="shared" si="18"/>
        <v>3.0032073087763664E-2</v>
      </c>
      <c r="O33" s="11"/>
      <c r="P33" s="6">
        <v>1471.58</v>
      </c>
      <c r="Q33" s="2"/>
      <c r="R33" s="7">
        <f t="shared" si="19"/>
        <v>7.270286863550383E-3</v>
      </c>
      <c r="S33" s="2"/>
      <c r="T33" s="6">
        <v>-5123.3</v>
      </c>
      <c r="U33" s="2"/>
      <c r="V33" s="7">
        <f t="shared" si="20"/>
        <v>-2.0614343902525093E-2</v>
      </c>
      <c r="W33" s="2"/>
      <c r="X33" s="6">
        <f t="shared" si="21"/>
        <v>6594.88</v>
      </c>
      <c r="Y33" s="2"/>
      <c r="Z33" s="7">
        <f t="shared" si="22"/>
        <v>-1.2872328382097475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175</v>
      </c>
      <c r="E34" s="2"/>
      <c r="F34" s="7">
        <f t="shared" si="15"/>
        <v>4.831233955126947E-3</v>
      </c>
      <c r="G34" s="2"/>
      <c r="H34" s="6"/>
      <c r="I34" s="2"/>
      <c r="J34" s="7">
        <f t="shared" si="16"/>
        <v>0</v>
      </c>
      <c r="K34" s="2"/>
      <c r="L34" s="6">
        <f t="shared" si="17"/>
        <v>175</v>
      </c>
      <c r="M34" s="2"/>
      <c r="N34" s="7">
        <f t="shared" si="18"/>
        <v>0</v>
      </c>
      <c r="O34" s="11"/>
      <c r="P34" s="6">
        <v>984.69</v>
      </c>
      <c r="Q34" s="2"/>
      <c r="R34" s="7">
        <f t="shared" si="19"/>
        <v>4.8648247269393631E-3</v>
      </c>
      <c r="S34" s="2"/>
      <c r="T34" s="6">
        <v>710.27</v>
      </c>
      <c r="U34" s="2"/>
      <c r="V34" s="7">
        <f t="shared" si="20"/>
        <v>2.8578748157723531E-3</v>
      </c>
      <c r="W34" s="2"/>
      <c r="X34" s="6">
        <f t="shared" si="21"/>
        <v>274.42000000000007</v>
      </c>
      <c r="Y34" s="2"/>
      <c r="Z34" s="7">
        <f t="shared" si="22"/>
        <v>0.38636011657538694</v>
      </c>
    </row>
    <row r="35" spans="1:26" s="27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10391.1</v>
      </c>
      <c r="E35" s="1"/>
      <c r="F35" s="5">
        <f t="shared" ref="F35:F40" si="23">IF(D$12=0,0,D35/D$12)</f>
        <v>0.2868676294349693</v>
      </c>
      <c r="G35" s="1"/>
      <c r="H35" s="1">
        <f>SUM(OSRRefH22_1x_0)</f>
        <v>12966.07</v>
      </c>
      <c r="I35" s="1"/>
      <c r="J35" s="5">
        <f t="shared" ref="J35:J40" si="24">IF(H$12=0,0,H35/H$12)</f>
        <v>0.15706052030286377</v>
      </c>
      <c r="K35" s="1"/>
      <c r="L35" s="1">
        <f t="shared" ref="L35:L40" si="25">+D35-H35</f>
        <v>-2574.9699999999993</v>
      </c>
      <c r="M35" s="1"/>
      <c r="N35" s="5">
        <f t="shared" ref="N35:N40" si="26">IF(H35=0,0,L35/H35)</f>
        <v>-0.19859294296575597</v>
      </c>
      <c r="O35" s="13"/>
      <c r="P35" s="1">
        <f>SUM(OSRRefP22_1x_0)</f>
        <v>68647.41</v>
      </c>
      <c r="Q35" s="1"/>
      <c r="R35" s="5">
        <f t="shared" ref="R35:R40" si="27">IF(P$12=0,0,P35/P$12)</f>
        <v>0.33915000417222119</v>
      </c>
      <c r="S35" s="1"/>
      <c r="T35" s="1">
        <f>SUM(OSRRefT22_1x_0)</f>
        <v>69668.350000000006</v>
      </c>
      <c r="U35" s="1"/>
      <c r="V35" s="5">
        <f t="shared" ref="V35:V40" si="28">IF(T$12=0,0,T35/T$12)</f>
        <v>0.2803207553767072</v>
      </c>
      <c r="W35" s="1"/>
      <c r="X35" s="1">
        <f t="shared" ref="X35:X40" si="29">+P35-T35</f>
        <v>-1020.9400000000023</v>
      </c>
      <c r="Y35" s="1"/>
      <c r="Z35" s="5">
        <f t="shared" ref="Z35:Z40" si="30">IF(T35=0,0,X35/T35)</f>
        <v>-1.4654287061484909E-2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>
        <v>4595.38</v>
      </c>
      <c r="E36" s="2"/>
      <c r="F36" s="7">
        <f t="shared" si="23"/>
        <v>0.12686489081549299</v>
      </c>
      <c r="G36" s="2"/>
      <c r="H36" s="6">
        <v>4461.54</v>
      </c>
      <c r="I36" s="2"/>
      <c r="J36" s="7">
        <f t="shared" si="24"/>
        <v>5.4043499206161832E-2</v>
      </c>
      <c r="K36" s="2"/>
      <c r="L36" s="6">
        <f t="shared" si="25"/>
        <v>133.84000000000015</v>
      </c>
      <c r="M36" s="2"/>
      <c r="N36" s="7">
        <f t="shared" si="26"/>
        <v>2.9998610345306809E-2</v>
      </c>
      <c r="O36" s="11"/>
      <c r="P36" s="6">
        <v>29180.66</v>
      </c>
      <c r="Q36" s="2"/>
      <c r="R36" s="7">
        <f t="shared" si="27"/>
        <v>0.14416597743087711</v>
      </c>
      <c r="S36" s="2"/>
      <c r="T36" s="6">
        <v>30338.929999999997</v>
      </c>
      <c r="U36" s="2"/>
      <c r="V36" s="7">
        <f t="shared" si="28"/>
        <v>0.12207310457217721</v>
      </c>
      <c r="W36" s="2"/>
      <c r="X36" s="6">
        <f t="shared" si="29"/>
        <v>-1158.2699999999968</v>
      </c>
      <c r="Y36" s="2"/>
      <c r="Z36" s="7">
        <f t="shared" si="30"/>
        <v>-3.8177681282761021E-2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2261.16</v>
      </c>
      <c r="E37" s="2"/>
      <c r="F37" s="7">
        <f t="shared" si="23"/>
        <v>6.2423959828427696E-2</v>
      </c>
      <c r="G37" s="2"/>
      <c r="H37" s="6">
        <v>2685.78</v>
      </c>
      <c r="I37" s="2"/>
      <c r="J37" s="7">
        <f t="shared" si="24"/>
        <v>3.2533373969061211E-2</v>
      </c>
      <c r="K37" s="2"/>
      <c r="L37" s="6">
        <f t="shared" si="25"/>
        <v>-424.62000000000035</v>
      </c>
      <c r="M37" s="2"/>
      <c r="N37" s="7">
        <f t="shared" si="26"/>
        <v>-0.15809932310166891</v>
      </c>
      <c r="O37" s="11"/>
      <c r="P37" s="6">
        <v>15460.87</v>
      </c>
      <c r="Q37" s="2"/>
      <c r="R37" s="7">
        <f t="shared" si="27"/>
        <v>7.6383859565949674E-2</v>
      </c>
      <c r="S37" s="2"/>
      <c r="T37" s="6">
        <v>16410.04</v>
      </c>
      <c r="U37" s="2"/>
      <c r="V37" s="7">
        <f t="shared" si="28"/>
        <v>6.6028186523177032E-2</v>
      </c>
      <c r="W37" s="2"/>
      <c r="X37" s="6">
        <f t="shared" si="29"/>
        <v>-949.17000000000007</v>
      </c>
      <c r="Y37" s="2"/>
      <c r="Z37" s="7">
        <f t="shared" si="30"/>
        <v>-5.7840809650677269E-2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1"/>
      <c r="P38" s="6">
        <v>303.38</v>
      </c>
      <c r="Q38" s="2"/>
      <c r="R38" s="7">
        <f t="shared" si="27"/>
        <v>1.4988377313254564E-3</v>
      </c>
      <c r="S38" s="2"/>
      <c r="T38" s="6"/>
      <c r="U38" s="2"/>
      <c r="V38" s="7">
        <f t="shared" si="28"/>
        <v>0</v>
      </c>
      <c r="W38" s="2"/>
      <c r="X38" s="6">
        <f t="shared" si="29"/>
        <v>303.38</v>
      </c>
      <c r="Y38" s="2"/>
      <c r="Z38" s="7">
        <f t="shared" si="30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2904.56</v>
      </c>
      <c r="E39" s="2"/>
      <c r="F39" s="7">
        <f t="shared" si="23"/>
        <v>8.0186336552591581E-2</v>
      </c>
      <c r="G39" s="2"/>
      <c r="H39" s="6">
        <v>5818.75</v>
      </c>
      <c r="I39" s="2"/>
      <c r="J39" s="7">
        <f t="shared" si="24"/>
        <v>7.0483647127640728E-2</v>
      </c>
      <c r="K39" s="2"/>
      <c r="L39" s="6">
        <f t="shared" si="25"/>
        <v>-2914.19</v>
      </c>
      <c r="M39" s="2"/>
      <c r="N39" s="7">
        <f t="shared" si="26"/>
        <v>-0.50082749731471532</v>
      </c>
      <c r="O39" s="11"/>
      <c r="P39" s="6">
        <v>20507.5</v>
      </c>
      <c r="Q39" s="2"/>
      <c r="R39" s="7">
        <f t="shared" si="27"/>
        <v>0.10131654945994066</v>
      </c>
      <c r="S39" s="2"/>
      <c r="T39" s="6">
        <v>22835.38</v>
      </c>
      <c r="U39" s="2"/>
      <c r="V39" s="7">
        <f t="shared" si="28"/>
        <v>9.1881478044393936E-2</v>
      </c>
      <c r="W39" s="2"/>
      <c r="X39" s="6">
        <f t="shared" si="29"/>
        <v>-2327.880000000001</v>
      </c>
      <c r="Y39" s="2"/>
      <c r="Z39" s="7">
        <f t="shared" si="30"/>
        <v>-0.10194181134712893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630</v>
      </c>
      <c r="E40" s="2"/>
      <c r="F40" s="7">
        <f t="shared" si="23"/>
        <v>1.7392442238457009E-2</v>
      </c>
      <c r="G40" s="2"/>
      <c r="H40" s="6"/>
      <c r="I40" s="2"/>
      <c r="J40" s="7">
        <f t="shared" si="24"/>
        <v>0</v>
      </c>
      <c r="K40" s="2"/>
      <c r="L40" s="6">
        <f t="shared" si="25"/>
        <v>630</v>
      </c>
      <c r="M40" s="2"/>
      <c r="N40" s="7">
        <f t="shared" si="26"/>
        <v>0</v>
      </c>
      <c r="O40" s="11"/>
      <c r="P40" s="6">
        <v>3195</v>
      </c>
      <c r="Q40" s="2"/>
      <c r="R40" s="7">
        <f t="shared" si="27"/>
        <v>1.5784779984128267E-2</v>
      </c>
      <c r="S40" s="2"/>
      <c r="T40" s="6">
        <v>84</v>
      </c>
      <c r="U40" s="2"/>
      <c r="V40" s="7">
        <f t="shared" si="28"/>
        <v>3.3798623695901228E-4</v>
      </c>
      <c r="W40" s="2"/>
      <c r="X40" s="6">
        <f t="shared" si="29"/>
        <v>3111</v>
      </c>
      <c r="Y40" s="2"/>
      <c r="Z40" s="7">
        <f t="shared" si="30"/>
        <v>37.035714285714285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3.24</v>
      </c>
      <c r="E41" s="1"/>
      <c r="F41" s="5">
        <f t="shared" ref="F41:F58" si="31">IF(D$12=0,0,D41/D$12)</f>
        <v>8.9446845797778912E-5</v>
      </c>
      <c r="G41" s="1"/>
      <c r="H41" s="1">
        <f>SUM(OSRRefH22_2x_0)</f>
        <v>23.59</v>
      </c>
      <c r="I41" s="1"/>
      <c r="J41" s="5">
        <f t="shared" ref="J41:J58" si="32">IF(H$12=0,0,H41/H$12)</f>
        <v>2.8575024459566824E-4</v>
      </c>
      <c r="K41" s="1"/>
      <c r="L41" s="1">
        <f t="shared" ref="L41:L58" si="33">+D41-H41</f>
        <v>-20.350000000000001</v>
      </c>
      <c r="M41" s="1"/>
      <c r="N41" s="5">
        <f t="shared" ref="N41:N58" si="34">IF(H41=0,0,L41/H41)</f>
        <v>-0.86265366680796951</v>
      </c>
      <c r="O41" s="13"/>
      <c r="P41" s="1">
        <f>SUM(OSRRefP22_2x_0)</f>
        <v>1776.48</v>
      </c>
      <c r="Q41" s="1"/>
      <c r="R41" s="5">
        <f t="shared" ref="R41:R58" si="35">IF(P$12=0,0,P41/P$12)</f>
        <v>8.7766340989684465E-3</v>
      </c>
      <c r="S41" s="1"/>
      <c r="T41" s="1">
        <f>SUM(OSRRefT22_2x_0)</f>
        <v>816.77</v>
      </c>
      <c r="U41" s="1"/>
      <c r="V41" s="5">
        <f t="shared" ref="V41:V58" si="36">IF(T$12=0,0,T41/T$12)</f>
        <v>3.2863930804882435E-3</v>
      </c>
      <c r="W41" s="1"/>
      <c r="X41" s="1">
        <f t="shared" ref="X41:X58" si="37">+P41-T41</f>
        <v>959.71</v>
      </c>
      <c r="Y41" s="1"/>
      <c r="Z41" s="5">
        <f t="shared" ref="Z41:Z58" si="38">IF(T41=0,0,X41/T41)</f>
        <v>1.1750064277581205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>
        <v>3.24</v>
      </c>
      <c r="E42" s="2"/>
      <c r="F42" s="7">
        <f t="shared" si="31"/>
        <v>8.9446845797778912E-5</v>
      </c>
      <c r="G42" s="2"/>
      <c r="H42" s="6">
        <v>23.59</v>
      </c>
      <c r="I42" s="2"/>
      <c r="J42" s="7">
        <f t="shared" si="32"/>
        <v>2.8575024459566824E-4</v>
      </c>
      <c r="K42" s="2"/>
      <c r="L42" s="6">
        <f t="shared" si="33"/>
        <v>-20.350000000000001</v>
      </c>
      <c r="M42" s="2"/>
      <c r="N42" s="7">
        <f t="shared" si="34"/>
        <v>-0.86265366680796951</v>
      </c>
      <c r="O42" s="11"/>
      <c r="P42" s="6">
        <v>1776.48</v>
      </c>
      <c r="Q42" s="2"/>
      <c r="R42" s="7">
        <f t="shared" si="35"/>
        <v>8.7766340989684465E-3</v>
      </c>
      <c r="S42" s="2"/>
      <c r="T42" s="6">
        <v>816.77</v>
      </c>
      <c r="U42" s="2"/>
      <c r="V42" s="7">
        <f t="shared" si="36"/>
        <v>3.2863930804882435E-3</v>
      </c>
      <c r="W42" s="2"/>
      <c r="X42" s="6">
        <f t="shared" si="37"/>
        <v>959.71</v>
      </c>
      <c r="Y42" s="2"/>
      <c r="Z42" s="7">
        <f t="shared" si="38"/>
        <v>1.1750064277581205</v>
      </c>
    </row>
    <row r="43" spans="1:26" s="27" customFormat="1" outlineLevel="1" collapsed="1" x14ac:dyDescent="0.25">
      <c r="A43" s="25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-2.13</v>
      </c>
      <c r="E43" s="1"/>
      <c r="F43" s="5">
        <f t="shared" si="31"/>
        <v>-5.8803018996687984E-5</v>
      </c>
      <c r="G43" s="1"/>
      <c r="H43" s="1">
        <f>SUM(OSRRefH22_3x_0)</f>
        <v>-74.680000000000007</v>
      </c>
      <c r="I43" s="1"/>
      <c r="J43" s="5">
        <f t="shared" si="32"/>
        <v>-9.0461332201799524E-4</v>
      </c>
      <c r="K43" s="1"/>
      <c r="L43" s="1">
        <f t="shared" si="33"/>
        <v>72.550000000000011</v>
      </c>
      <c r="M43" s="1"/>
      <c r="N43" s="5">
        <f t="shared" si="34"/>
        <v>-0.97147830744509911</v>
      </c>
      <c r="O43" s="13"/>
      <c r="P43" s="1">
        <f>SUM(OSRRefP22_3x_0)</f>
        <v>-7.0000000000000007E-2</v>
      </c>
      <c r="Q43" s="1"/>
      <c r="R43" s="5">
        <f t="shared" si="35"/>
        <v>-3.4583242531736427E-7</v>
      </c>
      <c r="S43" s="1"/>
      <c r="T43" s="1">
        <f>SUM(OSRRefT22_3x_0)</f>
        <v>-652.41999999999996</v>
      </c>
      <c r="U43" s="1"/>
      <c r="V43" s="5">
        <f t="shared" si="36"/>
        <v>-2.6251069132952236E-3</v>
      </c>
      <c r="W43" s="1"/>
      <c r="X43" s="1">
        <f t="shared" si="37"/>
        <v>652.34999999999991</v>
      </c>
      <c r="Y43" s="1"/>
      <c r="Z43" s="5">
        <f t="shared" si="38"/>
        <v>-0.99989270715183465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>
        <v>-2.13</v>
      </c>
      <c r="E44" s="2"/>
      <c r="F44" s="7">
        <f t="shared" si="31"/>
        <v>-5.8803018996687984E-5</v>
      </c>
      <c r="G44" s="2"/>
      <c r="H44" s="6">
        <v>-74.680000000000007</v>
      </c>
      <c r="I44" s="2"/>
      <c r="J44" s="7">
        <f t="shared" si="32"/>
        <v>-9.0461332201799524E-4</v>
      </c>
      <c r="K44" s="2"/>
      <c r="L44" s="6">
        <f t="shared" si="33"/>
        <v>72.550000000000011</v>
      </c>
      <c r="M44" s="2"/>
      <c r="N44" s="7">
        <f t="shared" si="34"/>
        <v>-0.97147830744509911</v>
      </c>
      <c r="O44" s="11"/>
      <c r="P44" s="6">
        <v>-7.0000000000000007E-2</v>
      </c>
      <c r="Q44" s="2"/>
      <c r="R44" s="7">
        <f t="shared" si="35"/>
        <v>-3.4583242531736427E-7</v>
      </c>
      <c r="S44" s="2"/>
      <c r="T44" s="6">
        <v>-652.41999999999996</v>
      </c>
      <c r="U44" s="2"/>
      <c r="V44" s="7">
        <f t="shared" si="36"/>
        <v>-2.6251069132952236E-3</v>
      </c>
      <c r="W44" s="2"/>
      <c r="X44" s="6">
        <f t="shared" si="37"/>
        <v>652.34999999999991</v>
      </c>
      <c r="Y44" s="2"/>
      <c r="Z44" s="7">
        <f t="shared" si="38"/>
        <v>-0.99989270715183465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778.67</v>
      </c>
      <c r="E45" s="1"/>
      <c r="F45" s="5">
        <f t="shared" si="31"/>
        <v>2.1496782536221143E-2</v>
      </c>
      <c r="G45" s="1"/>
      <c r="H45" s="1">
        <f>SUM(OSRRefH22_4x_0)</f>
        <v>1529.06</v>
      </c>
      <c r="I45" s="1"/>
      <c r="J45" s="5">
        <f t="shared" si="32"/>
        <v>1.8521800296797477E-2</v>
      </c>
      <c r="K45" s="1"/>
      <c r="L45" s="1">
        <f t="shared" si="33"/>
        <v>-750.39</v>
      </c>
      <c r="M45" s="1"/>
      <c r="N45" s="5">
        <f t="shared" si="34"/>
        <v>-0.49075248845696051</v>
      </c>
      <c r="O45" s="13"/>
      <c r="P45" s="1">
        <f>SUM(OSRRefP22_4x_0)</f>
        <v>4790.83</v>
      </c>
      <c r="Q45" s="1"/>
      <c r="R45" s="5">
        <f t="shared" si="35"/>
        <v>2.3668919402616971E-2</v>
      </c>
      <c r="S45" s="1"/>
      <c r="T45" s="1">
        <f>SUM(OSRRefT22_4x_0)</f>
        <v>5230.16</v>
      </c>
      <c r="U45" s="1"/>
      <c r="V45" s="5">
        <f t="shared" si="36"/>
        <v>2.1044310679685093E-2</v>
      </c>
      <c r="W45" s="1"/>
      <c r="X45" s="1">
        <f t="shared" si="37"/>
        <v>-439.32999999999993</v>
      </c>
      <c r="Y45" s="1"/>
      <c r="Z45" s="5">
        <f t="shared" si="38"/>
        <v>-8.3999342276335709E-2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778.67</v>
      </c>
      <c r="E46" s="2"/>
      <c r="F46" s="7">
        <f t="shared" si="31"/>
        <v>2.1496782536221143E-2</v>
      </c>
      <c r="G46" s="2"/>
      <c r="H46" s="6">
        <v>1529.06</v>
      </c>
      <c r="I46" s="2"/>
      <c r="J46" s="7">
        <f t="shared" si="32"/>
        <v>1.8521800296797477E-2</v>
      </c>
      <c r="K46" s="2"/>
      <c r="L46" s="6">
        <f t="shared" si="33"/>
        <v>-750.39</v>
      </c>
      <c r="M46" s="2"/>
      <c r="N46" s="7">
        <f t="shared" si="34"/>
        <v>-0.49075248845696051</v>
      </c>
      <c r="O46" s="11"/>
      <c r="P46" s="6">
        <v>4790.83</v>
      </c>
      <c r="Q46" s="2"/>
      <c r="R46" s="7">
        <f t="shared" si="35"/>
        <v>2.3668919402616971E-2</v>
      </c>
      <c r="S46" s="2"/>
      <c r="T46" s="6">
        <v>5230.16</v>
      </c>
      <c r="U46" s="2"/>
      <c r="V46" s="7">
        <f t="shared" si="36"/>
        <v>2.1044310679685093E-2</v>
      </c>
      <c r="W46" s="2"/>
      <c r="X46" s="6">
        <f t="shared" si="37"/>
        <v>-439.32999999999993</v>
      </c>
      <c r="Y46" s="2"/>
      <c r="Z46" s="7">
        <f t="shared" si="38"/>
        <v>-8.3999342276335709E-2</v>
      </c>
    </row>
    <row r="47" spans="1:26" s="27" customFormat="1" outlineLevel="1" collapsed="1" x14ac:dyDescent="0.25">
      <c r="A47" s="25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255.35</v>
      </c>
      <c r="E47" s="1"/>
      <c r="F47" s="5">
        <f t="shared" si="31"/>
        <v>7.0494605168095201E-3</v>
      </c>
      <c r="G47" s="1"/>
      <c r="H47" s="1">
        <f>SUM(OSRRefH22_5x_0)</f>
        <v>0</v>
      </c>
      <c r="I47" s="1"/>
      <c r="J47" s="5">
        <f t="shared" si="32"/>
        <v>0</v>
      </c>
      <c r="K47" s="1"/>
      <c r="L47" s="1">
        <f t="shared" si="33"/>
        <v>255.35</v>
      </c>
      <c r="M47" s="1"/>
      <c r="N47" s="5">
        <f t="shared" si="34"/>
        <v>0</v>
      </c>
      <c r="O47" s="13"/>
      <c r="P47" s="1">
        <f>SUM(OSRRefP22_5x_0)</f>
        <v>1532.1</v>
      </c>
      <c r="Q47" s="1"/>
      <c r="R47" s="5">
        <f t="shared" si="35"/>
        <v>7.5692836975533384E-3</v>
      </c>
      <c r="S47" s="1"/>
      <c r="T47" s="1">
        <f>SUM(OSRRefT22_5x_0)</f>
        <v>0</v>
      </c>
      <c r="U47" s="1"/>
      <c r="V47" s="5">
        <f t="shared" si="36"/>
        <v>0</v>
      </c>
      <c r="W47" s="1"/>
      <c r="X47" s="1">
        <f t="shared" si="37"/>
        <v>1532.1</v>
      </c>
      <c r="Y47" s="1"/>
      <c r="Z47" s="5">
        <f t="shared" si="38"/>
        <v>0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255.35</v>
      </c>
      <c r="E48" s="2"/>
      <c r="F48" s="7">
        <f t="shared" si="31"/>
        <v>7.0494605168095201E-3</v>
      </c>
      <c r="G48" s="2"/>
      <c r="H48" s="6"/>
      <c r="I48" s="2"/>
      <c r="J48" s="7">
        <f t="shared" si="32"/>
        <v>0</v>
      </c>
      <c r="K48" s="2"/>
      <c r="L48" s="6">
        <f t="shared" si="33"/>
        <v>255.35</v>
      </c>
      <c r="M48" s="2"/>
      <c r="N48" s="7">
        <f t="shared" si="34"/>
        <v>0</v>
      </c>
      <c r="O48" s="11"/>
      <c r="P48" s="6">
        <v>1532.1</v>
      </c>
      <c r="Q48" s="2"/>
      <c r="R48" s="7">
        <f t="shared" si="35"/>
        <v>7.5692836975533384E-3</v>
      </c>
      <c r="S48" s="2"/>
      <c r="T48" s="6"/>
      <c r="U48" s="2"/>
      <c r="V48" s="7">
        <f t="shared" si="36"/>
        <v>0</v>
      </c>
      <c r="W48" s="2"/>
      <c r="X48" s="6">
        <f t="shared" si="37"/>
        <v>1532.1</v>
      </c>
      <c r="Y48" s="2"/>
      <c r="Z48" s="7">
        <f t="shared" si="38"/>
        <v>0</v>
      </c>
    </row>
    <row r="49" spans="1:26" s="27" customFormat="1" outlineLevel="1" collapsed="1" x14ac:dyDescent="0.25">
      <c r="A49" s="25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30</v>
      </c>
      <c r="E49" s="1"/>
      <c r="F49" s="5">
        <f t="shared" si="31"/>
        <v>8.2821153516461957E-4</v>
      </c>
      <c r="G49" s="1"/>
      <c r="H49" s="1">
        <f>SUM(OSRRefH22_6x_0)</f>
        <v>0</v>
      </c>
      <c r="I49" s="1"/>
      <c r="J49" s="5">
        <f t="shared" si="32"/>
        <v>0</v>
      </c>
      <c r="K49" s="1"/>
      <c r="L49" s="1">
        <f t="shared" si="33"/>
        <v>30</v>
      </c>
      <c r="M49" s="1"/>
      <c r="N49" s="5">
        <f t="shared" si="34"/>
        <v>0</v>
      </c>
      <c r="O49" s="13"/>
      <c r="P49" s="1">
        <f>SUM(OSRRefP22_6x_0)</f>
        <v>118.6</v>
      </c>
      <c r="Q49" s="1"/>
      <c r="R49" s="5">
        <f t="shared" si="35"/>
        <v>5.8593893775199133E-4</v>
      </c>
      <c r="S49" s="1"/>
      <c r="T49" s="1">
        <f>SUM(OSRRefT22_6x_0)</f>
        <v>0</v>
      </c>
      <c r="U49" s="1"/>
      <c r="V49" s="5">
        <f t="shared" si="36"/>
        <v>0</v>
      </c>
      <c r="W49" s="1"/>
      <c r="X49" s="1">
        <f t="shared" si="37"/>
        <v>118.6</v>
      </c>
      <c r="Y49" s="1"/>
      <c r="Z49" s="5">
        <f t="shared" si="38"/>
        <v>0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>
        <v>30</v>
      </c>
      <c r="E50" s="2"/>
      <c r="F50" s="7">
        <f t="shared" si="31"/>
        <v>8.2821153516461957E-4</v>
      </c>
      <c r="G50" s="2"/>
      <c r="H50" s="6"/>
      <c r="I50" s="2"/>
      <c r="J50" s="7">
        <f t="shared" si="32"/>
        <v>0</v>
      </c>
      <c r="K50" s="2"/>
      <c r="L50" s="6">
        <f t="shared" si="33"/>
        <v>30</v>
      </c>
      <c r="M50" s="2"/>
      <c r="N50" s="7">
        <f t="shared" si="34"/>
        <v>0</v>
      </c>
      <c r="O50" s="11"/>
      <c r="P50" s="6">
        <v>118.6</v>
      </c>
      <c r="Q50" s="2"/>
      <c r="R50" s="7">
        <f t="shared" si="35"/>
        <v>5.8593893775199133E-4</v>
      </c>
      <c r="S50" s="2"/>
      <c r="T50" s="6"/>
      <c r="U50" s="2"/>
      <c r="V50" s="7">
        <f t="shared" si="36"/>
        <v>0</v>
      </c>
      <c r="W50" s="2"/>
      <c r="X50" s="6">
        <f t="shared" si="37"/>
        <v>118.6</v>
      </c>
      <c r="Y50" s="2"/>
      <c r="Z50" s="7">
        <f t="shared" si="38"/>
        <v>0</v>
      </c>
    </row>
    <row r="51" spans="1:26" s="27" customFormat="1" outlineLevel="1" collapsed="1" x14ac:dyDescent="0.25">
      <c r="A51" s="25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0</v>
      </c>
      <c r="E51" s="1"/>
      <c r="F51" s="5">
        <f t="shared" si="31"/>
        <v>0</v>
      </c>
      <c r="G51" s="1"/>
      <c r="H51" s="1">
        <f>SUM(OSRRefH22_7x_0)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3"/>
      <c r="P51" s="1">
        <f>SUM(OSRRefP22_7x_0)</f>
        <v>350</v>
      </c>
      <c r="Q51" s="1"/>
      <c r="R51" s="5">
        <f t="shared" si="35"/>
        <v>1.7291621265868211E-3</v>
      </c>
      <c r="S51" s="1"/>
      <c r="T51" s="1">
        <f>SUM(OSRRefT22_7x_0)</f>
        <v>0</v>
      </c>
      <c r="U51" s="1"/>
      <c r="V51" s="5">
        <f t="shared" si="36"/>
        <v>0</v>
      </c>
      <c r="W51" s="1"/>
      <c r="X51" s="1">
        <f t="shared" si="37"/>
        <v>350</v>
      </c>
      <c r="Y51" s="1"/>
      <c r="Z51" s="5">
        <f t="shared" si="38"/>
        <v>0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1"/>
      <c r="P52" s="6">
        <v>350</v>
      </c>
      <c r="Q52" s="2"/>
      <c r="R52" s="7">
        <f t="shared" si="35"/>
        <v>1.7291621265868211E-3</v>
      </c>
      <c r="S52" s="2"/>
      <c r="T52" s="6"/>
      <c r="U52" s="2"/>
      <c r="V52" s="7">
        <f t="shared" si="36"/>
        <v>0</v>
      </c>
      <c r="W52" s="2"/>
      <c r="X52" s="6">
        <f t="shared" si="37"/>
        <v>350</v>
      </c>
      <c r="Y52" s="2"/>
      <c r="Z52" s="7">
        <f t="shared" si="38"/>
        <v>0</v>
      </c>
    </row>
    <row r="53" spans="1:26" s="27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972.59</v>
      </c>
      <c r="E53" s="1"/>
      <c r="F53" s="5">
        <f t="shared" si="31"/>
        <v>2.6850341899525246E-2</v>
      </c>
      <c r="G53" s="1"/>
      <c r="H53" s="1">
        <f>SUM(OSRRefH22_8x_0)</f>
        <v>210</v>
      </c>
      <c r="I53" s="1"/>
      <c r="J53" s="5">
        <f t="shared" si="32"/>
        <v>2.5437707234035748E-3</v>
      </c>
      <c r="K53" s="1"/>
      <c r="L53" s="1">
        <f t="shared" si="33"/>
        <v>762.59</v>
      </c>
      <c r="M53" s="1"/>
      <c r="N53" s="5">
        <f t="shared" si="34"/>
        <v>3.6313809523809524</v>
      </c>
      <c r="O53" s="13"/>
      <c r="P53" s="1">
        <f>SUM(OSRRefP22_8x_0)</f>
        <v>12513.44</v>
      </c>
      <c r="Q53" s="1"/>
      <c r="R53" s="5">
        <f t="shared" si="35"/>
        <v>6.1822190060904544E-2</v>
      </c>
      <c r="S53" s="1"/>
      <c r="T53" s="1">
        <f>SUM(OSRRefT22_8x_0)</f>
        <v>3328.98</v>
      </c>
      <c r="U53" s="1"/>
      <c r="V53" s="5">
        <f t="shared" si="36"/>
        <v>1.3394635989426343E-2</v>
      </c>
      <c r="W53" s="1"/>
      <c r="X53" s="1">
        <f t="shared" si="37"/>
        <v>9184.4600000000009</v>
      </c>
      <c r="Y53" s="1"/>
      <c r="Z53" s="5">
        <f t="shared" si="38"/>
        <v>2.7589411771773937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>
        <v>972.59</v>
      </c>
      <c r="E54" s="2"/>
      <c r="F54" s="7">
        <f t="shared" si="31"/>
        <v>2.6850341899525246E-2</v>
      </c>
      <c r="G54" s="2"/>
      <c r="H54" s="6">
        <v>210</v>
      </c>
      <c r="I54" s="2"/>
      <c r="J54" s="7">
        <f t="shared" si="32"/>
        <v>2.5437707234035748E-3</v>
      </c>
      <c r="K54" s="2"/>
      <c r="L54" s="6">
        <f t="shared" si="33"/>
        <v>762.59</v>
      </c>
      <c r="M54" s="2"/>
      <c r="N54" s="7">
        <f t="shared" si="34"/>
        <v>3.6313809523809524</v>
      </c>
      <c r="O54" s="11"/>
      <c r="P54" s="6">
        <v>12513.44</v>
      </c>
      <c r="Q54" s="2"/>
      <c r="R54" s="7">
        <f t="shared" si="35"/>
        <v>6.1822190060904544E-2</v>
      </c>
      <c r="S54" s="2"/>
      <c r="T54" s="6">
        <v>3328.98</v>
      </c>
      <c r="U54" s="2"/>
      <c r="V54" s="7">
        <f t="shared" si="36"/>
        <v>1.3394635989426343E-2</v>
      </c>
      <c r="W54" s="2"/>
      <c r="X54" s="6">
        <f t="shared" si="37"/>
        <v>9184.4600000000009</v>
      </c>
      <c r="Y54" s="2"/>
      <c r="Z54" s="7">
        <f t="shared" si="38"/>
        <v>2.7589411771773937</v>
      </c>
    </row>
    <row r="55" spans="1:26" s="27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573</v>
      </c>
      <c r="E55" s="1"/>
      <c r="F55" s="5">
        <f t="shared" si="31"/>
        <v>1.5818840321644233E-2</v>
      </c>
      <c r="G55" s="1"/>
      <c r="H55" s="1">
        <f>SUM(OSRRefH22_9x_0)</f>
        <v>0</v>
      </c>
      <c r="I55" s="1"/>
      <c r="J55" s="5">
        <f t="shared" si="32"/>
        <v>0</v>
      </c>
      <c r="K55" s="1"/>
      <c r="L55" s="1">
        <f t="shared" si="33"/>
        <v>573</v>
      </c>
      <c r="M55" s="1"/>
      <c r="N55" s="5">
        <f t="shared" si="34"/>
        <v>0</v>
      </c>
      <c r="O55" s="13"/>
      <c r="P55" s="1">
        <f>SUM(OSRRefP22_9x_0)</f>
        <v>5381.05</v>
      </c>
      <c r="Q55" s="1"/>
      <c r="R55" s="5">
        <f t="shared" si="35"/>
        <v>2.6584879603628611E-2</v>
      </c>
      <c r="S55" s="1"/>
      <c r="T55" s="1">
        <f>SUM(OSRRefT22_9x_0)</f>
        <v>2681.76</v>
      </c>
      <c r="U55" s="1"/>
      <c r="V55" s="5">
        <f t="shared" si="36"/>
        <v>1.0790452033657154E-2</v>
      </c>
      <c r="W55" s="1"/>
      <c r="X55" s="1">
        <f t="shared" si="37"/>
        <v>2699.29</v>
      </c>
      <c r="Y55" s="1"/>
      <c r="Z55" s="5">
        <f t="shared" si="38"/>
        <v>1.0065367519837718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1"/>
      <c r="P56" s="6">
        <v>2623.84</v>
      </c>
      <c r="Q56" s="2"/>
      <c r="R56" s="7">
        <f t="shared" si="35"/>
        <v>1.2962985012067328E-2</v>
      </c>
      <c r="S56" s="2"/>
      <c r="T56" s="6"/>
      <c r="U56" s="2"/>
      <c r="V56" s="7">
        <f t="shared" si="36"/>
        <v>0</v>
      </c>
      <c r="W56" s="2"/>
      <c r="X56" s="6">
        <f t="shared" si="37"/>
        <v>2623.84</v>
      </c>
      <c r="Y56" s="2"/>
      <c r="Z56" s="7">
        <f t="shared" si="38"/>
        <v>0</v>
      </c>
    </row>
    <row r="57" spans="1:26" s="24" customFormat="1" hidden="1" outlineLevel="2" x14ac:dyDescent="0.25">
      <c r="A57" s="26"/>
      <c r="B57" s="11" t="str">
        <f>CONCATENATE("          ", "6373", " - ", "MAINTENANCE CONTRACTS")</f>
        <v xml:space="preserve">          6373 - MAINTENANCE CONTRACTS</v>
      </c>
      <c r="C57" s="11"/>
      <c r="D57" s="6">
        <v>573</v>
      </c>
      <c r="E57" s="2"/>
      <c r="F57" s="7">
        <f t="shared" si="31"/>
        <v>1.5818840321644233E-2</v>
      </c>
      <c r="G57" s="2"/>
      <c r="H57" s="6"/>
      <c r="I57" s="2"/>
      <c r="J57" s="7">
        <f t="shared" si="32"/>
        <v>0</v>
      </c>
      <c r="K57" s="2"/>
      <c r="L57" s="6">
        <f t="shared" si="33"/>
        <v>573</v>
      </c>
      <c r="M57" s="2"/>
      <c r="N57" s="7">
        <f t="shared" si="34"/>
        <v>0</v>
      </c>
      <c r="O57" s="11"/>
      <c r="P57" s="6">
        <v>573</v>
      </c>
      <c r="Q57" s="2"/>
      <c r="R57" s="7">
        <f t="shared" si="35"/>
        <v>2.8308854243835669E-3</v>
      </c>
      <c r="S57" s="2"/>
      <c r="T57" s="6">
        <v>62.5</v>
      </c>
      <c r="U57" s="2"/>
      <c r="V57" s="7">
        <f t="shared" si="36"/>
        <v>2.5147785488021751E-4</v>
      </c>
      <c r="W57" s="2"/>
      <c r="X57" s="6">
        <f t="shared" si="37"/>
        <v>510.5</v>
      </c>
      <c r="Y57" s="2"/>
      <c r="Z57" s="7">
        <f t="shared" si="38"/>
        <v>8.1679999999999993</v>
      </c>
    </row>
    <row r="58" spans="1:26" s="24" customFormat="1" hidden="1" outlineLevel="2" x14ac:dyDescent="0.25">
      <c r="A58" s="26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31"/>
        <v>0</v>
      </c>
      <c r="G58" s="2"/>
      <c r="H58" s="6"/>
      <c r="I58" s="2"/>
      <c r="J58" s="7">
        <f t="shared" si="32"/>
        <v>0</v>
      </c>
      <c r="K58" s="2"/>
      <c r="L58" s="6">
        <f t="shared" si="33"/>
        <v>0</v>
      </c>
      <c r="M58" s="2"/>
      <c r="N58" s="7">
        <f t="shared" si="34"/>
        <v>0</v>
      </c>
      <c r="O58" s="11"/>
      <c r="P58" s="6">
        <v>2184.21</v>
      </c>
      <c r="Q58" s="2"/>
      <c r="R58" s="7">
        <f t="shared" si="35"/>
        <v>1.0791009167177715E-2</v>
      </c>
      <c r="S58" s="2"/>
      <c r="T58" s="6">
        <v>2619.2600000000002</v>
      </c>
      <c r="U58" s="2"/>
      <c r="V58" s="7">
        <f t="shared" si="36"/>
        <v>1.0538974178776936E-2</v>
      </c>
      <c r="W58" s="2"/>
      <c r="X58" s="6">
        <f t="shared" si="37"/>
        <v>-435.05000000000018</v>
      </c>
      <c r="Y58" s="2"/>
      <c r="Z58" s="7">
        <f t="shared" si="38"/>
        <v>-0.16609653108129782</v>
      </c>
    </row>
    <row r="59" spans="1:26" s="27" customFormat="1" outlineLevel="1" collapsed="1" x14ac:dyDescent="0.25">
      <c r="A59" s="25"/>
      <c r="B59" s="13" t="str">
        <f>CONCATENATE("     ","Royalty &amp; Commissions                             ")</f>
        <v xml:space="preserve">     Royalty &amp; Commissions                             </v>
      </c>
      <c r="C59" s="13"/>
      <c r="D59" s="1">
        <f>SUM(OSRRefD22_10x_0)</f>
        <v>8040.34</v>
      </c>
      <c r="E59" s="1"/>
      <c r="F59" s="5">
        <f t="shared" ref="F59:F63" si="39">IF(D$12=0,0,D59/D$12)</f>
        <v>0.22197007782151656</v>
      </c>
      <c r="G59" s="1"/>
      <c r="H59" s="1">
        <f>SUM(OSRRefH22_10x_0)</f>
        <v>17771.419999999998</v>
      </c>
      <c r="I59" s="1"/>
      <c r="J59" s="5">
        <f t="shared" ref="J59:J63" si="40">IF(H$12=0,0,H59/H$12)</f>
        <v>0.21526865671099407</v>
      </c>
      <c r="K59" s="1"/>
      <c r="L59" s="1">
        <f t="shared" ref="L59:L63" si="41">+D59-H59</f>
        <v>-9731.0799999999981</v>
      </c>
      <c r="M59" s="1"/>
      <c r="N59" s="5">
        <f t="shared" ref="N59:N63" si="42">IF(H59=0,0,L59/H59)</f>
        <v>-0.54756907439022873</v>
      </c>
      <c r="O59" s="13"/>
      <c r="P59" s="1">
        <f>SUM(OSRRefP22_10x_0)</f>
        <v>44037.87</v>
      </c>
      <c r="Q59" s="1"/>
      <c r="R59" s="5">
        <f t="shared" ref="R59:R63" si="43">IF(P$12=0,0,P59/P$12)</f>
        <v>0.21756747697015422</v>
      </c>
      <c r="S59" s="1"/>
      <c r="T59" s="1">
        <f>SUM(OSRRefT22_10x_0)</f>
        <v>52671.76</v>
      </c>
      <c r="U59" s="1"/>
      <c r="V59" s="5">
        <f t="shared" ref="V59:V63" si="44">IF(T$12=0,0,T59/T$12)</f>
        <v>0.21193249948105031</v>
      </c>
      <c r="W59" s="1"/>
      <c r="X59" s="1">
        <f t="shared" ref="X59:X63" si="45">+P59-T59</f>
        <v>-8633.89</v>
      </c>
      <c r="Y59" s="1"/>
      <c r="Z59" s="5">
        <f t="shared" ref="Z59:Z63" si="46">IF(T59=0,0,X59/T59)</f>
        <v>-0.16391876785586809</v>
      </c>
    </row>
    <row r="60" spans="1:26" s="24" customFormat="1" hidden="1" outlineLevel="2" x14ac:dyDescent="0.25">
      <c r="A60" s="26"/>
      <c r="B60" s="11" t="str">
        <f>CONCATENATE("          ", "6254", " - ", "ROYALTY &amp; COMMISSIONS")</f>
        <v xml:space="preserve">          6254 - ROYALTY &amp; COMMISSIONS</v>
      </c>
      <c r="C60" s="11"/>
      <c r="D60" s="6">
        <v>8040.34</v>
      </c>
      <c r="E60" s="2"/>
      <c r="F60" s="7">
        <f t="shared" si="39"/>
        <v>0.22197007782151656</v>
      </c>
      <c r="G60" s="2"/>
      <c r="H60" s="6">
        <v>17771.419999999998</v>
      </c>
      <c r="I60" s="2"/>
      <c r="J60" s="7">
        <f t="shared" si="40"/>
        <v>0.21526865671099407</v>
      </c>
      <c r="K60" s="2"/>
      <c r="L60" s="6">
        <f t="shared" si="41"/>
        <v>-9731.0799999999981</v>
      </c>
      <c r="M60" s="2"/>
      <c r="N60" s="7">
        <f t="shared" si="42"/>
        <v>-0.54756907439022873</v>
      </c>
      <c r="O60" s="11"/>
      <c r="P60" s="6">
        <v>44037.87</v>
      </c>
      <c r="Q60" s="2"/>
      <c r="R60" s="7">
        <f t="shared" si="43"/>
        <v>0.21756747697015422</v>
      </c>
      <c r="S60" s="2"/>
      <c r="T60" s="6">
        <v>52671.76</v>
      </c>
      <c r="U60" s="2"/>
      <c r="V60" s="7">
        <f t="shared" si="44"/>
        <v>0.21193249948105031</v>
      </c>
      <c r="W60" s="2"/>
      <c r="X60" s="6">
        <f t="shared" si="45"/>
        <v>-8633.89</v>
      </c>
      <c r="Y60" s="2"/>
      <c r="Z60" s="7">
        <f t="shared" si="46"/>
        <v>-0.16391876785586809</v>
      </c>
    </row>
    <row r="61" spans="1:26" s="27" customFormat="1" outlineLevel="1" collapsed="1" x14ac:dyDescent="0.25">
      <c r="A61" s="25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SUM(OSRRefD22_11x_0)</f>
        <v>500.37</v>
      </c>
      <c r="E61" s="1"/>
      <c r="F61" s="5">
        <f t="shared" si="39"/>
        <v>1.381374019501069E-2</v>
      </c>
      <c r="G61" s="1"/>
      <c r="H61" s="1">
        <f>SUM(OSRRefH22_11x_0)</f>
        <v>19.5</v>
      </c>
      <c r="I61" s="1"/>
      <c r="J61" s="5">
        <f t="shared" si="40"/>
        <v>2.3620728145890338E-4</v>
      </c>
      <c r="K61" s="1"/>
      <c r="L61" s="1">
        <f t="shared" si="41"/>
        <v>480.87</v>
      </c>
      <c r="M61" s="1"/>
      <c r="N61" s="5">
        <f t="shared" si="42"/>
        <v>24.66</v>
      </c>
      <c r="O61" s="13"/>
      <c r="P61" s="1">
        <f>SUM(OSRRefP22_11x_0)</f>
        <v>1881.2800000000002</v>
      </c>
      <c r="Q61" s="1"/>
      <c r="R61" s="5">
        <f t="shared" si="43"/>
        <v>9.2943946443007283E-3</v>
      </c>
      <c r="S61" s="1"/>
      <c r="T61" s="1">
        <f>SUM(OSRRefT22_11x_0)</f>
        <v>1250.9299999999998</v>
      </c>
      <c r="U61" s="1"/>
      <c r="V61" s="5">
        <f t="shared" si="44"/>
        <v>5.033299088084967E-3</v>
      </c>
      <c r="W61" s="1"/>
      <c r="X61" s="1">
        <f t="shared" si="45"/>
        <v>630.35000000000036</v>
      </c>
      <c r="Y61" s="1"/>
      <c r="Z61" s="5">
        <f t="shared" si="46"/>
        <v>0.50390509460961086</v>
      </c>
    </row>
    <row r="62" spans="1:26" s="24" customFormat="1" hidden="1" outlineLevel="2" x14ac:dyDescent="0.25">
      <c r="A62" s="26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451.62</v>
      </c>
      <c r="E62" s="2"/>
      <c r="F62" s="7">
        <f t="shared" si="39"/>
        <v>1.2467896450368183E-2</v>
      </c>
      <c r="G62" s="2"/>
      <c r="H62" s="6"/>
      <c r="I62" s="2"/>
      <c r="J62" s="7">
        <f t="shared" si="40"/>
        <v>0</v>
      </c>
      <c r="K62" s="2"/>
      <c r="L62" s="6">
        <f t="shared" si="41"/>
        <v>451.62</v>
      </c>
      <c r="M62" s="2"/>
      <c r="N62" s="7">
        <f t="shared" si="42"/>
        <v>0</v>
      </c>
      <c r="O62" s="11"/>
      <c r="P62" s="6">
        <v>1580.67</v>
      </c>
      <c r="Q62" s="2"/>
      <c r="R62" s="7">
        <f t="shared" si="43"/>
        <v>7.8092419960914018E-3</v>
      </c>
      <c r="S62" s="2"/>
      <c r="T62" s="6">
        <v>1129.05</v>
      </c>
      <c r="U62" s="2"/>
      <c r="V62" s="7">
        <f t="shared" si="44"/>
        <v>4.5428971528401526E-3</v>
      </c>
      <c r="W62" s="2"/>
      <c r="X62" s="6">
        <f t="shared" si="45"/>
        <v>451.62000000000012</v>
      </c>
      <c r="Y62" s="2"/>
      <c r="Z62" s="7">
        <f t="shared" si="46"/>
        <v>0.40000000000000013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6">
        <v>48.75</v>
      </c>
      <c r="E63" s="2"/>
      <c r="F63" s="7">
        <f t="shared" si="39"/>
        <v>1.3458437446425067E-3</v>
      </c>
      <c r="G63" s="2"/>
      <c r="H63" s="6">
        <v>19.5</v>
      </c>
      <c r="I63" s="2"/>
      <c r="J63" s="7">
        <f t="shared" si="40"/>
        <v>2.3620728145890338E-4</v>
      </c>
      <c r="K63" s="2"/>
      <c r="L63" s="6">
        <f t="shared" si="41"/>
        <v>29.25</v>
      </c>
      <c r="M63" s="2"/>
      <c r="N63" s="7">
        <f t="shared" si="42"/>
        <v>1.5</v>
      </c>
      <c r="O63" s="11"/>
      <c r="P63" s="6">
        <v>300.61</v>
      </c>
      <c r="Q63" s="2"/>
      <c r="R63" s="7">
        <f t="shared" si="43"/>
        <v>1.4851526482093267E-3</v>
      </c>
      <c r="S63" s="2"/>
      <c r="T63" s="6">
        <v>121.88</v>
      </c>
      <c r="U63" s="2"/>
      <c r="V63" s="7">
        <f t="shared" si="44"/>
        <v>4.9040193524481455E-4</v>
      </c>
      <c r="W63" s="2"/>
      <c r="X63" s="6">
        <f t="shared" si="45"/>
        <v>178.73000000000002</v>
      </c>
      <c r="Y63" s="2"/>
      <c r="Z63" s="7">
        <f t="shared" si="46"/>
        <v>1.4664424023629803</v>
      </c>
    </row>
    <row r="64" spans="1:26" s="27" customFormat="1" outlineLevel="1" collapsed="1" x14ac:dyDescent="0.25">
      <c r="A64" s="25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1433.92</v>
      </c>
      <c r="E64" s="1"/>
      <c r="F64" s="5">
        <f t="shared" ref="F64:F71" si="47">IF(D$12=0,0,D64/D$12)</f>
        <v>3.958630281677504E-2</v>
      </c>
      <c r="G64" s="1"/>
      <c r="H64" s="1">
        <f>SUM(OSRRefH22_12x_0)</f>
        <v>801.26</v>
      </c>
      <c r="I64" s="1"/>
      <c r="J64" s="5">
        <f t="shared" ref="J64:J71" si="48">IF(H$12=0,0,H64/H$12)</f>
        <v>9.7058177611159448E-3</v>
      </c>
      <c r="K64" s="1"/>
      <c r="L64" s="1">
        <f t="shared" ref="L64:L71" si="49">+D64-H64</f>
        <v>632.66000000000008</v>
      </c>
      <c r="M64" s="1"/>
      <c r="N64" s="5">
        <f t="shared" ref="N64:N71" si="50">IF(H64=0,0,L64/H64)</f>
        <v>0.78958140928038356</v>
      </c>
      <c r="O64" s="13"/>
      <c r="P64" s="1">
        <f>SUM(OSRRefP22_12x_0)</f>
        <v>12736.15</v>
      </c>
      <c r="Q64" s="1"/>
      <c r="R64" s="5">
        <f t="shared" ref="R64:R71" si="51">IF(P$12=0,0,P64/P$12)</f>
        <v>6.2922480624367824E-2</v>
      </c>
      <c r="S64" s="1"/>
      <c r="T64" s="1">
        <f>SUM(OSRRefT22_12x_0)</f>
        <v>5321.8899999999994</v>
      </c>
      <c r="U64" s="1"/>
      <c r="V64" s="5">
        <f t="shared" ref="V64:V71" si="52">IF(T$12=0,0,T64/T$12)</f>
        <v>2.1413399697735688E-2</v>
      </c>
      <c r="W64" s="1"/>
      <c r="X64" s="1">
        <f t="shared" ref="X64:X71" si="53">+P64-T64</f>
        <v>7414.26</v>
      </c>
      <c r="Y64" s="1"/>
      <c r="Z64" s="5">
        <f t="shared" ref="Z64:Z71" si="54">IF(T64=0,0,X64/T64)</f>
        <v>1.3931629552658926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47"/>
        <v>0</v>
      </c>
      <c r="G65" s="2"/>
      <c r="H65" s="6"/>
      <c r="I65" s="2"/>
      <c r="J65" s="7">
        <f t="shared" si="48"/>
        <v>0</v>
      </c>
      <c r="K65" s="2"/>
      <c r="L65" s="6">
        <f t="shared" si="49"/>
        <v>0</v>
      </c>
      <c r="M65" s="2"/>
      <c r="N65" s="7">
        <f t="shared" si="50"/>
        <v>0</v>
      </c>
      <c r="O65" s="11"/>
      <c r="P65" s="6">
        <v>3756.46</v>
      </c>
      <c r="Q65" s="2"/>
      <c r="R65" s="7">
        <f t="shared" si="51"/>
        <v>1.8558652462966656E-2</v>
      </c>
      <c r="S65" s="2"/>
      <c r="T65" s="6"/>
      <c r="U65" s="2"/>
      <c r="V65" s="7">
        <f t="shared" si="52"/>
        <v>0</v>
      </c>
      <c r="W65" s="2"/>
      <c r="X65" s="6">
        <f t="shared" si="53"/>
        <v>3756.46</v>
      </c>
      <c r="Y65" s="2"/>
      <c r="Z65" s="7">
        <f t="shared" si="54"/>
        <v>0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6">
        <v>390.24</v>
      </c>
      <c r="E66" s="2"/>
      <c r="F66" s="7">
        <f t="shared" si="47"/>
        <v>1.0773375649421371E-2</v>
      </c>
      <c r="G66" s="2"/>
      <c r="H66" s="6"/>
      <c r="I66" s="2"/>
      <c r="J66" s="7">
        <f t="shared" si="48"/>
        <v>0</v>
      </c>
      <c r="K66" s="2"/>
      <c r="L66" s="6">
        <f t="shared" si="49"/>
        <v>390.24</v>
      </c>
      <c r="M66" s="2"/>
      <c r="N66" s="7">
        <f t="shared" si="50"/>
        <v>0</v>
      </c>
      <c r="O66" s="11"/>
      <c r="P66" s="6">
        <v>732.18</v>
      </c>
      <c r="Q66" s="2"/>
      <c r="R66" s="7">
        <f t="shared" si="51"/>
        <v>3.6173083595552533E-3</v>
      </c>
      <c r="S66" s="2"/>
      <c r="T66" s="6">
        <v>24.08</v>
      </c>
      <c r="U66" s="2"/>
      <c r="V66" s="7">
        <f t="shared" si="52"/>
        <v>9.6889387928250192E-5</v>
      </c>
      <c r="W66" s="2"/>
      <c r="X66" s="6">
        <f t="shared" si="53"/>
        <v>708.09999999999991</v>
      </c>
      <c r="Y66" s="2"/>
      <c r="Z66" s="7">
        <f t="shared" si="54"/>
        <v>29.406146179401993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6">
        <v>928.91</v>
      </c>
      <c r="E67" s="2"/>
      <c r="F67" s="7">
        <f t="shared" si="47"/>
        <v>2.5644465904325557E-2</v>
      </c>
      <c r="G67" s="2"/>
      <c r="H67" s="6">
        <v>869.17</v>
      </c>
      <c r="I67" s="2"/>
      <c r="J67" s="7">
        <f t="shared" si="48"/>
        <v>1.0528424760288977E-2</v>
      </c>
      <c r="K67" s="2"/>
      <c r="L67" s="6">
        <f t="shared" si="49"/>
        <v>59.740000000000009</v>
      </c>
      <c r="M67" s="2"/>
      <c r="N67" s="7">
        <f t="shared" si="50"/>
        <v>6.8732238802535761E-2</v>
      </c>
      <c r="O67" s="11"/>
      <c r="P67" s="6">
        <v>5462.19</v>
      </c>
      <c r="Q67" s="2"/>
      <c r="R67" s="7">
        <f t="shared" si="51"/>
        <v>2.6985748789203623E-2</v>
      </c>
      <c r="S67" s="2"/>
      <c r="T67" s="6">
        <v>2947.54</v>
      </c>
      <c r="U67" s="2"/>
      <c r="V67" s="7">
        <f t="shared" si="52"/>
        <v>1.1859856581978179E-2</v>
      </c>
      <c r="W67" s="2"/>
      <c r="X67" s="6">
        <f t="shared" si="53"/>
        <v>2514.6499999999996</v>
      </c>
      <c r="Y67" s="2"/>
      <c r="Z67" s="7">
        <f t="shared" si="54"/>
        <v>0.85313515677480189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47"/>
        <v>0</v>
      </c>
      <c r="G68" s="2"/>
      <c r="H68" s="6"/>
      <c r="I68" s="2"/>
      <c r="J68" s="7">
        <f t="shared" si="48"/>
        <v>0</v>
      </c>
      <c r="K68" s="2"/>
      <c r="L68" s="6">
        <f t="shared" si="49"/>
        <v>0</v>
      </c>
      <c r="M68" s="2"/>
      <c r="N68" s="7">
        <f t="shared" si="50"/>
        <v>0</v>
      </c>
      <c r="O68" s="11"/>
      <c r="P68" s="6">
        <v>599.88</v>
      </c>
      <c r="Q68" s="2"/>
      <c r="R68" s="7">
        <f t="shared" si="51"/>
        <v>2.9636850757054347E-3</v>
      </c>
      <c r="S68" s="2"/>
      <c r="T68" s="6">
        <v>1013.92</v>
      </c>
      <c r="U68" s="2"/>
      <c r="V68" s="7">
        <f t="shared" si="52"/>
        <v>4.0796548259224019E-3</v>
      </c>
      <c r="W68" s="2"/>
      <c r="X68" s="6">
        <f t="shared" si="53"/>
        <v>-414.03999999999996</v>
      </c>
      <c r="Y68" s="2"/>
      <c r="Z68" s="7">
        <f t="shared" si="54"/>
        <v>-0.40835568881174056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>
        <v>114.77</v>
      </c>
      <c r="E69" s="2"/>
      <c r="F69" s="7">
        <f t="shared" si="47"/>
        <v>3.1684612630281128E-3</v>
      </c>
      <c r="G69" s="2"/>
      <c r="H69" s="6">
        <v>-220.88</v>
      </c>
      <c r="I69" s="2"/>
      <c r="J69" s="7">
        <f t="shared" si="48"/>
        <v>-2.6755622732637218E-3</v>
      </c>
      <c r="K69" s="2"/>
      <c r="L69" s="6">
        <f t="shared" si="49"/>
        <v>335.65</v>
      </c>
      <c r="M69" s="2"/>
      <c r="N69" s="7">
        <f t="shared" si="50"/>
        <v>-1.5196034045635638</v>
      </c>
      <c r="O69" s="11"/>
      <c r="P69" s="6">
        <v>1685.8</v>
      </c>
      <c r="Q69" s="2"/>
      <c r="R69" s="7">
        <f t="shared" si="51"/>
        <v>8.3286328942858943E-3</v>
      </c>
      <c r="S69" s="2"/>
      <c r="T69" s="6">
        <v>311.64999999999998</v>
      </c>
      <c r="U69" s="2"/>
      <c r="V69" s="7">
        <f t="shared" si="52"/>
        <v>1.2539691755747164E-3</v>
      </c>
      <c r="W69" s="2"/>
      <c r="X69" s="6">
        <f t="shared" si="53"/>
        <v>1374.15</v>
      </c>
      <c r="Y69" s="2"/>
      <c r="Z69" s="7">
        <f t="shared" si="54"/>
        <v>4.4092732231670153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47"/>
        <v>0</v>
      </c>
      <c r="G70" s="2"/>
      <c r="H70" s="6"/>
      <c r="I70" s="2"/>
      <c r="J70" s="7">
        <f t="shared" si="48"/>
        <v>0</v>
      </c>
      <c r="K70" s="2"/>
      <c r="L70" s="6">
        <f t="shared" si="49"/>
        <v>0</v>
      </c>
      <c r="M70" s="2"/>
      <c r="N70" s="7">
        <f t="shared" si="50"/>
        <v>0</v>
      </c>
      <c r="O70" s="11"/>
      <c r="P70" s="6">
        <v>45.2</v>
      </c>
      <c r="Q70" s="2"/>
      <c r="R70" s="7">
        <f t="shared" si="51"/>
        <v>2.2330893749064091E-4</v>
      </c>
      <c r="S70" s="2"/>
      <c r="T70" s="6">
        <v>154.22</v>
      </c>
      <c r="U70" s="2"/>
      <c r="V70" s="7">
        <f t="shared" si="52"/>
        <v>6.2052663647403422E-4</v>
      </c>
      <c r="W70" s="2"/>
      <c r="X70" s="6">
        <f t="shared" si="53"/>
        <v>-109.02</v>
      </c>
      <c r="Y70" s="2"/>
      <c r="Z70" s="7">
        <f t="shared" si="54"/>
        <v>-0.70691220334586946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47"/>
        <v>0</v>
      </c>
      <c r="G71" s="2"/>
      <c r="H71" s="6">
        <v>152.97</v>
      </c>
      <c r="I71" s="2"/>
      <c r="J71" s="7">
        <f t="shared" si="48"/>
        <v>1.8529552740906897E-3</v>
      </c>
      <c r="K71" s="2"/>
      <c r="L71" s="6">
        <f t="shared" si="49"/>
        <v>-152.97</v>
      </c>
      <c r="M71" s="2"/>
      <c r="N71" s="7">
        <f t="shared" si="50"/>
        <v>-1</v>
      </c>
      <c r="O71" s="11"/>
      <c r="P71" s="6">
        <v>454.44</v>
      </c>
      <c r="Q71" s="2"/>
      <c r="R71" s="7">
        <f t="shared" si="51"/>
        <v>2.2451441051603285E-3</v>
      </c>
      <c r="S71" s="2"/>
      <c r="T71" s="6">
        <v>870.48</v>
      </c>
      <c r="U71" s="2"/>
      <c r="V71" s="7">
        <f t="shared" si="52"/>
        <v>3.5025030898581076E-3</v>
      </c>
      <c r="W71" s="2"/>
      <c r="X71" s="6">
        <f t="shared" si="53"/>
        <v>-416.04</v>
      </c>
      <c r="Y71" s="2"/>
      <c r="Z71" s="7">
        <f t="shared" si="54"/>
        <v>-0.47794320374965538</v>
      </c>
    </row>
    <row r="72" spans="1:26" s="27" customFormat="1" outlineLevel="1" collapsed="1" x14ac:dyDescent="0.25">
      <c r="A72" s="25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SUM(OSRRefD22_13x_0)</f>
        <v>313.31</v>
      </c>
      <c r="E72" s="1"/>
      <c r="F72" s="5">
        <f t="shared" ref="F72:F77" si="55">IF(D$12=0,0,D72/D$12)</f>
        <v>8.6495652027475649E-3</v>
      </c>
      <c r="G72" s="1"/>
      <c r="H72" s="1">
        <f>SUM(OSRRefH22_13x_0)</f>
        <v>300.92</v>
      </c>
      <c r="I72" s="1"/>
      <c r="J72" s="5">
        <f t="shared" ref="J72:J77" si="56">IF(H$12=0,0,H72/H$12)</f>
        <v>3.6451023146981134E-3</v>
      </c>
      <c r="K72" s="1"/>
      <c r="L72" s="1">
        <f t="shared" ref="L72:L77" si="57">+D72-H72</f>
        <v>12.389999999999986</v>
      </c>
      <c r="M72" s="1"/>
      <c r="N72" s="5">
        <f t="shared" ref="N72:N77" si="58">IF(H72=0,0,L72/H72)</f>
        <v>4.1173733882759488E-2</v>
      </c>
      <c r="O72" s="13"/>
      <c r="P72" s="1">
        <f>SUM(OSRRefP22_13x_0)</f>
        <v>1862.73</v>
      </c>
      <c r="Q72" s="1"/>
      <c r="R72" s="5">
        <f t="shared" ref="R72:R77" si="59">IF(P$12=0,0,P72/P$12)</f>
        <v>9.2027490515916265E-3</v>
      </c>
      <c r="S72" s="1"/>
      <c r="T72" s="1">
        <f>SUM(OSRRefT22_13x_0)</f>
        <v>2045.75</v>
      </c>
      <c r="U72" s="1"/>
      <c r="V72" s="5">
        <f t="shared" ref="V72:V77" si="60">IF(T$12=0,0,T72/T$12)</f>
        <v>8.2313731459392782E-3</v>
      </c>
      <c r="W72" s="1"/>
      <c r="X72" s="1">
        <f t="shared" ref="X72:X77" si="61">+P72-T72</f>
        <v>-183.01999999999998</v>
      </c>
      <c r="Y72" s="1"/>
      <c r="Z72" s="5">
        <f t="shared" ref="Z72:Z77" si="62">IF(T72=0,0,X72/T72)</f>
        <v>-8.946352193572038E-2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6">
        <v>313.31</v>
      </c>
      <c r="E73" s="2"/>
      <c r="F73" s="7">
        <f t="shared" si="55"/>
        <v>8.6495652027475649E-3</v>
      </c>
      <c r="G73" s="2"/>
      <c r="H73" s="6">
        <v>300.92</v>
      </c>
      <c r="I73" s="2"/>
      <c r="J73" s="7">
        <f t="shared" si="56"/>
        <v>3.6451023146981134E-3</v>
      </c>
      <c r="K73" s="2"/>
      <c r="L73" s="6">
        <f t="shared" si="57"/>
        <v>12.389999999999986</v>
      </c>
      <c r="M73" s="2"/>
      <c r="N73" s="7">
        <f t="shared" si="58"/>
        <v>4.1173733882759488E-2</v>
      </c>
      <c r="O73" s="11"/>
      <c r="P73" s="6">
        <v>1862.73</v>
      </c>
      <c r="Q73" s="2"/>
      <c r="R73" s="7">
        <f t="shared" si="59"/>
        <v>9.2027490515916265E-3</v>
      </c>
      <c r="S73" s="2"/>
      <c r="T73" s="6">
        <v>2045.75</v>
      </c>
      <c r="U73" s="2"/>
      <c r="V73" s="7">
        <f t="shared" si="60"/>
        <v>8.2313731459392782E-3</v>
      </c>
      <c r="W73" s="2"/>
      <c r="X73" s="6">
        <f t="shared" si="61"/>
        <v>-183.01999999999998</v>
      </c>
      <c r="Y73" s="2"/>
      <c r="Z73" s="7">
        <f t="shared" si="62"/>
        <v>-8.946352193572038E-2</v>
      </c>
    </row>
    <row r="74" spans="1:26" s="27" customFormat="1" outlineLevel="1" collapsed="1" x14ac:dyDescent="0.25">
      <c r="A74" s="25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SUM(OSRRefD22_14x_0)</f>
        <v>0</v>
      </c>
      <c r="E74" s="1"/>
      <c r="F74" s="5">
        <f t="shared" si="55"/>
        <v>0</v>
      </c>
      <c r="G74" s="1"/>
      <c r="H74" s="1">
        <f>SUM(OSRRefH22_14x_0)</f>
        <v>12.5</v>
      </c>
      <c r="I74" s="1"/>
      <c r="J74" s="5">
        <f t="shared" si="56"/>
        <v>1.5141492401211755E-4</v>
      </c>
      <c r="K74" s="1"/>
      <c r="L74" s="1">
        <f t="shared" si="57"/>
        <v>-12.5</v>
      </c>
      <c r="M74" s="1"/>
      <c r="N74" s="5">
        <f t="shared" si="58"/>
        <v>-1</v>
      </c>
      <c r="O74" s="13"/>
      <c r="P74" s="1">
        <f>SUM(OSRRefP22_14x_0)</f>
        <v>237.95</v>
      </c>
      <c r="Q74" s="1"/>
      <c r="R74" s="5">
        <f t="shared" si="59"/>
        <v>1.1755832229180974E-3</v>
      </c>
      <c r="S74" s="1"/>
      <c r="T74" s="1">
        <f>SUM(OSRRefT22_14x_0)</f>
        <v>171.33</v>
      </c>
      <c r="U74" s="1"/>
      <c r="V74" s="5">
        <f t="shared" si="60"/>
        <v>6.8937121402604269E-4</v>
      </c>
      <c r="W74" s="1"/>
      <c r="X74" s="1">
        <f t="shared" si="61"/>
        <v>66.619999999999976</v>
      </c>
      <c r="Y74" s="1"/>
      <c r="Z74" s="5">
        <f t="shared" si="62"/>
        <v>0.3888402498103074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55"/>
        <v>0</v>
      </c>
      <c r="G75" s="2"/>
      <c r="H75" s="6">
        <v>12.5</v>
      </c>
      <c r="I75" s="2"/>
      <c r="J75" s="7">
        <f t="shared" si="56"/>
        <v>1.5141492401211755E-4</v>
      </c>
      <c r="K75" s="2"/>
      <c r="L75" s="6">
        <f t="shared" si="57"/>
        <v>-12.5</v>
      </c>
      <c r="M75" s="2"/>
      <c r="N75" s="7">
        <f t="shared" si="58"/>
        <v>-1</v>
      </c>
      <c r="O75" s="11"/>
      <c r="P75" s="6">
        <v>237.95</v>
      </c>
      <c r="Q75" s="2"/>
      <c r="R75" s="7">
        <f t="shared" si="59"/>
        <v>1.1755832229180974E-3</v>
      </c>
      <c r="S75" s="2"/>
      <c r="T75" s="6">
        <v>171.33</v>
      </c>
      <c r="U75" s="2"/>
      <c r="V75" s="7">
        <f t="shared" si="60"/>
        <v>6.8937121402604269E-4</v>
      </c>
      <c r="W75" s="2"/>
      <c r="X75" s="6">
        <f t="shared" si="61"/>
        <v>66.619999999999976</v>
      </c>
      <c r="Y75" s="2"/>
      <c r="Z75" s="7">
        <f t="shared" si="62"/>
        <v>0.3888402498103074</v>
      </c>
    </row>
    <row r="76" spans="1:26" s="27" customFormat="1" outlineLevel="1" collapsed="1" x14ac:dyDescent="0.25">
      <c r="A76" s="25"/>
      <c r="B76" s="13" t="str">
        <f>CONCATENATE("     ","Travel                                            ")</f>
        <v xml:space="preserve">     Travel                                            </v>
      </c>
      <c r="C76" s="13"/>
      <c r="D76" s="1">
        <f>SUM(OSRRefD22_15x_0)</f>
        <v>0</v>
      </c>
      <c r="E76" s="1"/>
      <c r="F76" s="5">
        <f t="shared" si="55"/>
        <v>0</v>
      </c>
      <c r="G76" s="1"/>
      <c r="H76" s="1">
        <f>SUM(OSRRefH22_15x_0)</f>
        <v>0</v>
      </c>
      <c r="I76" s="1"/>
      <c r="J76" s="5">
        <f t="shared" si="56"/>
        <v>0</v>
      </c>
      <c r="K76" s="1"/>
      <c r="L76" s="1">
        <f t="shared" si="57"/>
        <v>0</v>
      </c>
      <c r="M76" s="1"/>
      <c r="N76" s="5">
        <f t="shared" si="58"/>
        <v>0</v>
      </c>
      <c r="O76" s="13"/>
      <c r="P76" s="1">
        <f>SUM(OSRRefP22_15x_0)</f>
        <v>0</v>
      </c>
      <c r="Q76" s="1"/>
      <c r="R76" s="5">
        <f t="shared" si="59"/>
        <v>0</v>
      </c>
      <c r="S76" s="1"/>
      <c r="T76" s="1">
        <f>SUM(OSRRefT22_15x_0)</f>
        <v>1258.9000000000001</v>
      </c>
      <c r="U76" s="1"/>
      <c r="V76" s="5">
        <f t="shared" si="60"/>
        <v>5.065367544139293E-3</v>
      </c>
      <c r="W76" s="1"/>
      <c r="X76" s="1">
        <f t="shared" si="61"/>
        <v>-1258.9000000000001</v>
      </c>
      <c r="Y76" s="1"/>
      <c r="Z76" s="5">
        <f t="shared" si="62"/>
        <v>-1</v>
      </c>
    </row>
    <row r="77" spans="1:26" s="24" customFormat="1" hidden="1" outlineLevel="2" x14ac:dyDescent="0.25">
      <c r="A77" s="26"/>
      <c r="B77" s="11" t="str">
        <f>CONCATENATE("          ", "6294", " - ", "TRAVEL OPERATIONAL")</f>
        <v xml:space="preserve">          6294 - TRAVEL OPERATIONAL</v>
      </c>
      <c r="C77" s="11"/>
      <c r="D77" s="6"/>
      <c r="E77" s="2"/>
      <c r="F77" s="7">
        <f t="shared" si="55"/>
        <v>0</v>
      </c>
      <c r="G77" s="2"/>
      <c r="H77" s="6"/>
      <c r="I77" s="2"/>
      <c r="J77" s="7">
        <f t="shared" si="56"/>
        <v>0</v>
      </c>
      <c r="K77" s="2"/>
      <c r="L77" s="6">
        <f t="shared" si="57"/>
        <v>0</v>
      </c>
      <c r="M77" s="2"/>
      <c r="N77" s="7">
        <f t="shared" si="58"/>
        <v>0</v>
      </c>
      <c r="O77" s="11"/>
      <c r="P77" s="6"/>
      <c r="Q77" s="2"/>
      <c r="R77" s="7">
        <f t="shared" si="59"/>
        <v>0</v>
      </c>
      <c r="S77" s="2"/>
      <c r="T77" s="6">
        <v>1258.9000000000001</v>
      </c>
      <c r="U77" s="2"/>
      <c r="V77" s="7">
        <f t="shared" si="60"/>
        <v>5.065367544139293E-3</v>
      </c>
      <c r="W77" s="2"/>
      <c r="X77" s="6">
        <f t="shared" si="61"/>
        <v>-1258.9000000000001</v>
      </c>
      <c r="Y77" s="2"/>
      <c r="Z77" s="7">
        <f t="shared" si="62"/>
        <v>-1</v>
      </c>
    </row>
    <row r="78" spans="1:26" s="61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collapsed="1" x14ac:dyDescent="0.25">
      <c r="A79" s="10"/>
      <c r="B79" s="28" t="s">
        <v>0</v>
      </c>
      <c r="C79" s="10"/>
      <c r="D79" s="4">
        <f>SUM(OSRRefD25x_0)</f>
        <v>0</v>
      </c>
      <c r="E79" s="4"/>
      <c r="F79" s="12">
        <f t="shared" ref="F79:F80" si="63">IF(D$12=0,0,D79/D$12)</f>
        <v>0</v>
      </c>
      <c r="G79" s="4"/>
      <c r="H79" s="4">
        <f>SUM(OSRRefH25x_0)</f>
        <v>0</v>
      </c>
      <c r="I79" s="4"/>
      <c r="J79" s="12">
        <f t="shared" ref="J79:J80" si="64">IF(H$12=0,0,H79/H$12)</f>
        <v>0</v>
      </c>
      <c r="K79" s="4"/>
      <c r="L79" s="4">
        <f t="shared" ref="L79:L80" si="65">+D79-H79</f>
        <v>0</v>
      </c>
      <c r="M79" s="4"/>
      <c r="N79" s="12">
        <f t="shared" ref="N79:N80" si="66">IF(H79=0,0,L79/H79)</f>
        <v>0</v>
      </c>
      <c r="O79" s="10"/>
      <c r="P79" s="4">
        <f>SUM(OSRRefP25x_0)</f>
        <v>32460.44</v>
      </c>
      <c r="Q79" s="4"/>
      <c r="R79" s="12">
        <f t="shared" ref="R79:R80" si="67">IF(P$12=0,0,P79/P$12)</f>
        <v>0.16036960988669688</v>
      </c>
      <c r="S79" s="4"/>
      <c r="T79" s="4">
        <f>SUM(OSRRefT25x_0)</f>
        <v>2642</v>
      </c>
      <c r="U79" s="4"/>
      <c r="V79" s="12">
        <f t="shared" ref="V79:V80" si="68">IF(T$12=0,0,T79/T$12)</f>
        <v>1.0630471881496554E-2</v>
      </c>
      <c r="W79" s="4"/>
      <c r="X79" s="4">
        <f t="shared" ref="X79:X80" si="69">+P79-T79</f>
        <v>29818.44</v>
      </c>
      <c r="Y79" s="4"/>
      <c r="Z79" s="12">
        <f t="shared" ref="Z79:Z80" si="70">IF(T79=0,0,X79/T79)</f>
        <v>11.286313398940196</v>
      </c>
    </row>
    <row r="80" spans="1:26" s="24" customFormat="1" hidden="1" outlineLevel="1" x14ac:dyDescent="0.25">
      <c r="A80" s="44"/>
      <c r="B80" s="11" t="str">
        <f>CONCATENATE("          ", "9150", " - ", "MISC. INCOME")</f>
        <v xml:space="preserve">          9150 - MISC. INCOME</v>
      </c>
      <c r="C80" s="11"/>
      <c r="D80" s="2">
        <f>0</f>
        <v>0</v>
      </c>
      <c r="E80" s="2"/>
      <c r="F80" s="19">
        <f t="shared" si="63"/>
        <v>0</v>
      </c>
      <c r="G80" s="2"/>
      <c r="H80" s="2">
        <f>0</f>
        <v>0</v>
      </c>
      <c r="I80" s="2"/>
      <c r="J80" s="19">
        <f t="shared" si="64"/>
        <v>0</v>
      </c>
      <c r="K80" s="2"/>
      <c r="L80" s="2">
        <f t="shared" si="65"/>
        <v>0</v>
      </c>
      <c r="M80" s="2"/>
      <c r="N80" s="19">
        <f t="shared" si="66"/>
        <v>0</v>
      </c>
      <c r="O80" s="11"/>
      <c r="P80" s="2">
        <f>--32460.44</f>
        <v>32460.44</v>
      </c>
      <c r="Q80" s="2"/>
      <c r="R80" s="19">
        <f t="shared" si="67"/>
        <v>0.16036960988669688</v>
      </c>
      <c r="S80" s="2"/>
      <c r="T80" s="2">
        <f>--2642</f>
        <v>2642</v>
      </c>
      <c r="U80" s="2"/>
      <c r="V80" s="19">
        <f t="shared" si="68"/>
        <v>1.0630471881496554E-2</v>
      </c>
      <c r="W80" s="2"/>
      <c r="X80" s="2">
        <f t="shared" si="69"/>
        <v>29818.44</v>
      </c>
      <c r="Y80" s="2"/>
      <c r="Z80" s="19">
        <f t="shared" si="70"/>
        <v>11.286313398940196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0">
        <f>+D23-D25+D79</f>
        <v>886.67999999999665</v>
      </c>
      <c r="E82" s="14"/>
      <c r="F82" s="21">
        <f>IF(D$12=0,0,D82/D$12)</f>
        <v>2.4478620133325402E-2</v>
      </c>
      <c r="G82" s="14"/>
      <c r="H82" s="20">
        <f>+H23-H25+H79</f>
        <v>26013.440000000002</v>
      </c>
      <c r="I82" s="14"/>
      <c r="J82" s="21">
        <f>IF(H$12=0,0,H82/H$12)</f>
        <v>0.31510584327150237</v>
      </c>
      <c r="K82" s="15"/>
      <c r="L82" s="20">
        <f>+D82-H82</f>
        <v>-25126.760000000006</v>
      </c>
      <c r="M82" s="15"/>
      <c r="N82" s="21">
        <f>IF(H82=0,0,L82/H82)</f>
        <v>-0.96591454263642196</v>
      </c>
      <c r="O82" s="28"/>
      <c r="P82" s="20">
        <f>+P23-P25+P79</f>
        <v>14182.079999999984</v>
      </c>
      <c r="Q82" s="14"/>
      <c r="R82" s="21">
        <f>IF(P$12=0,0,P82/P$12)</f>
        <v>7.0066044606355418E-2</v>
      </c>
      <c r="S82" s="14"/>
      <c r="T82" s="20">
        <f>+T23-T25+T79</f>
        <v>41306.619999999995</v>
      </c>
      <c r="U82" s="14"/>
      <c r="V82" s="21">
        <f>IF(T$12=0,0,T82/T$12)</f>
        <v>0.16620320303923661</v>
      </c>
      <c r="W82" s="15"/>
      <c r="X82" s="20">
        <f>+P82-T82</f>
        <v>-27124.540000000012</v>
      </c>
      <c r="Y82" s="15"/>
      <c r="Z82" s="21">
        <f>IF(T82=0,0,X82/T82)</f>
        <v>-0.65666326608180514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4263.72</v>
      </c>
      <c r="E84" s="4"/>
      <c r="F84" s="12">
        <f>IF(D$12=0,0,D84/D$12)</f>
        <v>0.1177087362237364</v>
      </c>
      <c r="G84" s="4"/>
      <c r="H84" s="4">
        <v>9355.83</v>
      </c>
      <c r="I84" s="4"/>
      <c r="J84" s="12">
        <f>IF(H$12=0,0,H84/H$12)</f>
        <v>0.11332898308162317</v>
      </c>
      <c r="K84" s="4"/>
      <c r="L84" s="4">
        <f>+D84-H84</f>
        <v>-5092.1099999999997</v>
      </c>
      <c r="M84" s="4"/>
      <c r="N84" s="12">
        <f>IF(H84=0,0,L84/H84)</f>
        <v>-0.5442713260074199</v>
      </c>
      <c r="O84" s="10"/>
      <c r="P84" s="4">
        <v>21861.86</v>
      </c>
      <c r="Q84" s="4"/>
      <c r="R84" s="12">
        <f>IF(P$12=0,0,P84/P$12)</f>
        <v>0.10800771522498104</v>
      </c>
      <c r="S84" s="4"/>
      <c r="T84" s="4">
        <v>26820.240000000002</v>
      </c>
      <c r="U84" s="4"/>
      <c r="V84" s="12">
        <f>IF(T$12=0,0,T84/T$12)</f>
        <v>0.10791514276116168</v>
      </c>
      <c r="W84" s="4"/>
      <c r="X84" s="4">
        <f>+P84-T84</f>
        <v>-4958.380000000001</v>
      </c>
      <c r="Y84" s="4"/>
      <c r="Z84" s="12">
        <f>IF(T84=0,0,X84/T84)</f>
        <v>-0.18487455742379638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2">
        <f>+D82-D84</f>
        <v>-3377.0400000000036</v>
      </c>
      <c r="E86" s="14"/>
      <c r="F86" s="30">
        <f>IF(D$12=0,0,D86/D$12)</f>
        <v>-9.3230116090410986E-2</v>
      </c>
      <c r="G86" s="14"/>
      <c r="H86" s="32">
        <f>+H82-H84</f>
        <v>16657.61</v>
      </c>
      <c r="I86" s="14"/>
      <c r="J86" s="30">
        <f>IF(H$12=0,0,H86/H$12)</f>
        <v>0.20177686018987917</v>
      </c>
      <c r="K86" s="15"/>
      <c r="L86" s="32">
        <f>D86-H86</f>
        <v>-20034.650000000005</v>
      </c>
      <c r="M86" s="15"/>
      <c r="N86" s="30">
        <f>IF(H86=0,0,L86/H86)</f>
        <v>-1.2027325648757536</v>
      </c>
      <c r="O86" s="28"/>
      <c r="P86" s="32">
        <f>+P82-P84</f>
        <v>-7679.780000000017</v>
      </c>
      <c r="Q86" s="14"/>
      <c r="R86" s="30">
        <f>IF(P$12=0,0,P86/P$12)</f>
        <v>-3.794167061862562E-2</v>
      </c>
      <c r="S86" s="14"/>
      <c r="T86" s="32">
        <f>+T82-T84</f>
        <v>14486.379999999994</v>
      </c>
      <c r="U86" s="14"/>
      <c r="V86" s="30">
        <f>IF(T$12=0,0,T86/T$12)</f>
        <v>5.8288060278074934E-2</v>
      </c>
      <c r="W86" s="15"/>
      <c r="X86" s="32">
        <f>P86-T86</f>
        <v>-22166.160000000011</v>
      </c>
      <c r="Y86" s="15"/>
      <c r="Z86" s="30">
        <f>IF(T86=0,0,X86/T86)</f>
        <v>-1.5301379640738417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6">
        <f>SUM(D86:D88)</f>
        <v>-3377.0400000000036</v>
      </c>
      <c r="E89" s="14"/>
      <c r="F89" s="31">
        <f>IF(D$12=0,0,D89/D$12)</f>
        <v>-9.3230116090410986E-2</v>
      </c>
      <c r="G89" s="14"/>
      <c r="H89" s="36">
        <f>SUM(H86:H88)</f>
        <v>16657.61</v>
      </c>
      <c r="I89" s="14"/>
      <c r="J89" s="31">
        <f>IF(H$12=0,0,H89/H$12)</f>
        <v>0.20177686018987917</v>
      </c>
      <c r="K89" s="15"/>
      <c r="L89" s="36">
        <f>+D89-H89</f>
        <v>-20034.650000000005</v>
      </c>
      <c r="M89" s="15"/>
      <c r="N89" s="31">
        <f>IF(H89=0,0,L89/H89)</f>
        <v>-1.2027325648757536</v>
      </c>
      <c r="O89" s="28"/>
      <c r="P89" s="36">
        <f>SUM(P86:P88)</f>
        <v>-7679.780000000017</v>
      </c>
      <c r="Q89" s="14"/>
      <c r="R89" s="31">
        <f>IF(P$12=0,0,P89/P$12)</f>
        <v>-3.794167061862562E-2</v>
      </c>
      <c r="S89" s="14"/>
      <c r="T89" s="36">
        <f>SUM(T86:T88)</f>
        <v>14486.379999999994</v>
      </c>
      <c r="U89" s="14"/>
      <c r="V89" s="31">
        <f>IF(T$12=0,0,T89/T$12)</f>
        <v>5.8288060278074934E-2</v>
      </c>
      <c r="W89" s="15"/>
      <c r="X89" s="36">
        <f>+P89-T89</f>
        <v>-22166.160000000011</v>
      </c>
      <c r="Y89" s="15"/>
      <c r="Z89" s="31">
        <f>IF(T89=0,0,X89/T89)</f>
        <v>-1.5301379640738417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62">
        <v>43847.454175543979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6" t="s">
        <v>313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4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298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8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8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2" t="e">
        <f ca="1">+D27-D29</f>
        <v>#NAME?</v>
      </c>
      <c r="E31" s="14"/>
      <c r="F31" s="30" t="e">
        <f ca="1">IF(D$12=0,0,D31/D$12)</f>
        <v>#NAME?</v>
      </c>
      <c r="G31" s="14"/>
      <c r="H31" s="32" t="e">
        <f ca="1">+H27-H29</f>
        <v>#NAME?</v>
      </c>
      <c r="I31" s="14"/>
      <c r="J31" s="30" t="e">
        <f ca="1">IF(H$12=0,0,H31/H$12)</f>
        <v>#NAME?</v>
      </c>
      <c r="K31" s="15"/>
      <c r="L31" s="32" t="e">
        <f ca="1">D31-H31</f>
        <v>#NAME?</v>
      </c>
      <c r="M31" s="15"/>
      <c r="N31" s="30" t="e">
        <f ca="1">IF(H31=0,0,L31/H31)</f>
        <v>#NAME?</v>
      </c>
      <c r="O31" s="28"/>
      <c r="P31" s="32" t="e">
        <f ca="1">+P27-P29</f>
        <v>#NAME?</v>
      </c>
      <c r="Q31" s="14"/>
      <c r="R31" s="30" t="e">
        <f ca="1">IF(P$12=0,0,P31/P$12)</f>
        <v>#NAME?</v>
      </c>
      <c r="S31" s="14"/>
      <c r="T31" s="32" t="e">
        <f ca="1">+T27-T29</f>
        <v>#NAME?</v>
      </c>
      <c r="U31" s="14"/>
      <c r="V31" s="30" t="e">
        <f ca="1">IF(T$12=0,0,T31/T$12)</f>
        <v>#NAME?</v>
      </c>
      <c r="W31" s="15"/>
      <c r="X31" s="32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1" t="e">
        <f ca="1">IF(D$12=0,0,D36/D$12)</f>
        <v>#NAME?</v>
      </c>
      <c r="G36" s="14"/>
      <c r="H36" s="36" t="e">
        <f ca="1">SUM(H31:H35)</f>
        <v>#NAME?</v>
      </c>
      <c r="I36" s="14"/>
      <c r="J36" s="31" t="e">
        <f ca="1">IF(H$12=0,0,H36/H$12)</f>
        <v>#NAME?</v>
      </c>
      <c r="K36" s="15"/>
      <c r="L36" s="36" t="e">
        <f ca="1">+D36-H36</f>
        <v>#NAME?</v>
      </c>
      <c r="M36" s="15"/>
      <c r="N36" s="31" t="e">
        <f ca="1">IF(H36=0,0,L36/H36)</f>
        <v>#NAME?</v>
      </c>
      <c r="O36" s="28"/>
      <c r="P36" s="36" t="e">
        <f ca="1">SUM(P31:P35)</f>
        <v>#NAME?</v>
      </c>
      <c r="Q36" s="14"/>
      <c r="R36" s="31" t="e">
        <f ca="1">IF(P$12=0,0,P36/P$12)</f>
        <v>#NAME?</v>
      </c>
      <c r="S36" s="14"/>
      <c r="T36" s="36" t="e">
        <f ca="1">SUM(T31:T35)</f>
        <v>#NAME?</v>
      </c>
      <c r="U36" s="14"/>
      <c r="V36" s="31" t="e">
        <f ca="1">IF(T$12=0,0,T36/T$12)</f>
        <v>#NAME?</v>
      </c>
      <c r="W36" s="15"/>
      <c r="X36" s="36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4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45" activePane="bottomRight" state="frozen"/>
      <selection activeCell="D11" sqref="D11"/>
      <selection pane="topRight" activeCell="D11" sqref="D11"/>
      <selection pane="bottomLeft" activeCell="D11" sqref="D11"/>
      <selection pane="bottomRight" activeCell="AE101" sqref="AE10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300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798614.27</v>
      </c>
      <c r="E12" s="4"/>
      <c r="F12" s="12"/>
      <c r="G12" s="4"/>
      <c r="H12" s="4">
        <f>SUM(OSRRefH13x_0)</f>
        <v>887410.13</v>
      </c>
      <c r="I12" s="4"/>
      <c r="J12" s="12"/>
      <c r="K12" s="4"/>
      <c r="L12" s="4">
        <f t="shared" ref="L12:L18" si="0">+D12-H12</f>
        <v>-88795.859999999986</v>
      </c>
      <c r="M12" s="4"/>
      <c r="N12" s="12">
        <f t="shared" ref="N12:N18" si="1">IF(H12=0,0,L12/H12)</f>
        <v>-0.10006180569518627</v>
      </c>
      <c r="O12" s="10"/>
      <c r="P12" s="4">
        <f>SUM(OSRRefP13x_0)</f>
        <v>6088314.1300000008</v>
      </c>
      <c r="Q12" s="4"/>
      <c r="R12" s="12"/>
      <c r="S12" s="4"/>
      <c r="T12" s="4">
        <f>SUM(OSRRefT13x_0)</f>
        <v>5852571.5899999999</v>
      </c>
      <c r="U12" s="4"/>
      <c r="V12" s="12"/>
      <c r="W12" s="4"/>
      <c r="X12" s="4">
        <f t="shared" ref="X12:X18" si="2">+P12-T12</f>
        <v>235742.54000000097</v>
      </c>
      <c r="Y12" s="4"/>
      <c r="Z12" s="12">
        <f t="shared" ref="Z12:Z18" si="3">IF(T12=0,0,X12/T12)</f>
        <v>4.0280163407621125E-2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--683.32</f>
        <v>683.32</v>
      </c>
      <c r="E13" s="2"/>
      <c r="F13" s="19"/>
      <c r="G13" s="2"/>
      <c r="H13" s="2">
        <f>--1125.55</f>
        <v>1125.55</v>
      </c>
      <c r="I13" s="2"/>
      <c r="J13" s="19"/>
      <c r="K13" s="2"/>
      <c r="L13" s="2">
        <f t="shared" si="0"/>
        <v>-442.2299999999999</v>
      </c>
      <c r="M13" s="2"/>
      <c r="N13" s="19">
        <f t="shared" si="1"/>
        <v>-0.39290124827861928</v>
      </c>
      <c r="O13" s="11"/>
      <c r="P13" s="2">
        <f>--20338.96</f>
        <v>20338.96</v>
      </c>
      <c r="Q13" s="2"/>
      <c r="R13" s="19"/>
      <c r="S13" s="2"/>
      <c r="T13" s="2">
        <f>--9403.09</f>
        <v>9403.09</v>
      </c>
      <c r="U13" s="2"/>
      <c r="V13" s="19"/>
      <c r="W13" s="2"/>
      <c r="X13" s="2">
        <f t="shared" si="2"/>
        <v>10935.869999999999</v>
      </c>
      <c r="Y13" s="2"/>
      <c r="Z13" s="19">
        <f t="shared" si="3"/>
        <v>1.163008117544339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--169.57</f>
        <v>169.57</v>
      </c>
      <c r="E14" s="2"/>
      <c r="F14" s="19"/>
      <c r="G14" s="2"/>
      <c r="H14" s="2">
        <f>--178.83</f>
        <v>178.83</v>
      </c>
      <c r="I14" s="2"/>
      <c r="J14" s="19"/>
      <c r="K14" s="2"/>
      <c r="L14" s="2">
        <f t="shared" si="0"/>
        <v>-9.2600000000000193</v>
      </c>
      <c r="M14" s="2"/>
      <c r="N14" s="19">
        <f t="shared" si="1"/>
        <v>-5.178102108147413E-2</v>
      </c>
      <c r="O14" s="11"/>
      <c r="P14" s="2">
        <f>--973.49</f>
        <v>973.49</v>
      </c>
      <c r="Q14" s="2"/>
      <c r="R14" s="19"/>
      <c r="S14" s="2"/>
      <c r="T14" s="2">
        <f>--743.79</f>
        <v>743.79</v>
      </c>
      <c r="U14" s="2"/>
      <c r="V14" s="19"/>
      <c r="W14" s="2"/>
      <c r="X14" s="2">
        <f t="shared" si="2"/>
        <v>229.70000000000005</v>
      </c>
      <c r="Y14" s="2"/>
      <c r="Z14" s="19">
        <f t="shared" si="3"/>
        <v>0.30882372712728062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--786298.91</f>
        <v>786298.91</v>
      </c>
      <c r="E15" s="2"/>
      <c r="F15" s="19"/>
      <c r="G15" s="2"/>
      <c r="H15" s="2">
        <f>--872541.93</f>
        <v>872541.93</v>
      </c>
      <c r="I15" s="2"/>
      <c r="J15" s="19"/>
      <c r="K15" s="2"/>
      <c r="L15" s="2">
        <f t="shared" si="0"/>
        <v>-86243.020000000019</v>
      </c>
      <c r="M15" s="2"/>
      <c r="N15" s="19">
        <f t="shared" si="1"/>
        <v>-9.8841118156923438E-2</v>
      </c>
      <c r="O15" s="11"/>
      <c r="P15" s="2">
        <f>--5840511.24</f>
        <v>5840511.2400000002</v>
      </c>
      <c r="Q15" s="2"/>
      <c r="R15" s="19"/>
      <c r="S15" s="2"/>
      <c r="T15" s="2">
        <f>--5644847.1</f>
        <v>5644847.0999999996</v>
      </c>
      <c r="U15" s="2"/>
      <c r="V15" s="19"/>
      <c r="W15" s="2"/>
      <c r="X15" s="2">
        <f t="shared" si="2"/>
        <v>195664.1400000006</v>
      </c>
      <c r="Y15" s="2"/>
      <c r="Z15" s="19">
        <f t="shared" si="3"/>
        <v>3.4662433992233482E-2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--10760.38</f>
        <v>10760.38</v>
      </c>
      <c r="E16" s="2"/>
      <c r="F16" s="19"/>
      <c r="G16" s="2"/>
      <c r="H16" s="2">
        <f>--12937.73</f>
        <v>12937.73</v>
      </c>
      <c r="I16" s="2"/>
      <c r="J16" s="19"/>
      <c r="K16" s="2"/>
      <c r="L16" s="2">
        <f t="shared" si="0"/>
        <v>-2177.3500000000004</v>
      </c>
      <c r="M16" s="2"/>
      <c r="N16" s="19">
        <f t="shared" si="1"/>
        <v>-0.16829459263719374</v>
      </c>
      <c r="O16" s="11"/>
      <c r="P16" s="2">
        <f>--222756.54</f>
        <v>222756.54</v>
      </c>
      <c r="Q16" s="2"/>
      <c r="R16" s="19"/>
      <c r="S16" s="2"/>
      <c r="T16" s="2">
        <f>--192221.13</f>
        <v>192221.13</v>
      </c>
      <c r="U16" s="2"/>
      <c r="V16" s="19"/>
      <c r="W16" s="2"/>
      <c r="X16" s="2">
        <f t="shared" si="2"/>
        <v>30535.410000000003</v>
      </c>
      <c r="Y16" s="2"/>
      <c r="Z16" s="19">
        <f t="shared" si="3"/>
        <v>0.15885563673462955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--702.09</f>
        <v>702.09</v>
      </c>
      <c r="E17" s="2"/>
      <c r="F17" s="19"/>
      <c r="G17" s="2"/>
      <c r="H17" s="2">
        <f>--626.09</f>
        <v>626.09</v>
      </c>
      <c r="I17" s="2"/>
      <c r="J17" s="19"/>
      <c r="K17" s="2"/>
      <c r="L17" s="2">
        <f t="shared" si="0"/>
        <v>76</v>
      </c>
      <c r="M17" s="2"/>
      <c r="N17" s="19">
        <f t="shared" si="1"/>
        <v>0.12138829880688079</v>
      </c>
      <c r="O17" s="11"/>
      <c r="P17" s="2">
        <f>--3733.9</f>
        <v>3733.9</v>
      </c>
      <c r="Q17" s="2"/>
      <c r="R17" s="19"/>
      <c r="S17" s="2"/>
      <c r="T17" s="2">
        <f>--4301.58</f>
        <v>4301.58</v>
      </c>
      <c r="U17" s="2"/>
      <c r="V17" s="19"/>
      <c r="W17" s="2"/>
      <c r="X17" s="2">
        <f t="shared" si="2"/>
        <v>-567.67999999999984</v>
      </c>
      <c r="Y17" s="2"/>
      <c r="Z17" s="19">
        <f t="shared" si="3"/>
        <v>-0.13197011330720337</v>
      </c>
    </row>
    <row r="18" spans="1:26" s="24" customFormat="1" hidden="1" outlineLevel="1" x14ac:dyDescent="0.2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-1054.9000000000001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192568.73</v>
      </c>
      <c r="E20" s="4"/>
      <c r="F20" s="12">
        <f t="shared" ref="F20:F22" si="4">IF(D$12=0,0,D20/D$12)</f>
        <v>0.24112858639503149</v>
      </c>
      <c r="G20" s="4"/>
      <c r="H20" s="4">
        <f>SUM(OSRRefH16x_0)</f>
        <v>212986.88</v>
      </c>
      <c r="I20" s="4"/>
      <c r="J20" s="12">
        <f t="shared" ref="J20:J22" si="5">IF(H$12=0,0,H20/H$12)</f>
        <v>0.24000952073873666</v>
      </c>
      <c r="K20" s="4"/>
      <c r="L20" s="4">
        <f t="shared" ref="L20:L22" si="6">+D20-H20</f>
        <v>-20418.149999999994</v>
      </c>
      <c r="M20" s="4"/>
      <c r="N20" s="12">
        <f t="shared" ref="N20:N22" si="7">IF(H20=0,0,L20/H20)</f>
        <v>-9.58657641259405E-2</v>
      </c>
      <c r="O20" s="10"/>
      <c r="P20" s="4">
        <f>SUM(OSRRefP16x_0)</f>
        <v>1463991.78</v>
      </c>
      <c r="Q20" s="4"/>
      <c r="R20" s="12">
        <f t="shared" ref="R20:R22" si="8">IF(P$12=0,0,P20/P$12)</f>
        <v>0.2404593042902009</v>
      </c>
      <c r="S20" s="4"/>
      <c r="T20" s="4">
        <f>SUM(OSRRefT16x_0)</f>
        <v>1435638.9200000002</v>
      </c>
      <c r="U20" s="4"/>
      <c r="V20" s="12">
        <f t="shared" ref="V20:V22" si="9">IF(T$12=0,0,T20/T$12)</f>
        <v>0.2453005312148604</v>
      </c>
      <c r="W20" s="4"/>
      <c r="X20" s="4">
        <f t="shared" ref="X20:X22" si="10">+P20-T20</f>
        <v>28352.85999999987</v>
      </c>
      <c r="Y20" s="4"/>
      <c r="Z20" s="12">
        <f t="shared" ref="Z20:Z22" si="11">IF(T20=0,0,X20/T20)</f>
        <v>1.9749297406899409E-2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182624.73</v>
      </c>
      <c r="E21" s="2"/>
      <c r="F21" s="19">
        <f t="shared" si="4"/>
        <v>0.22867701825563425</v>
      </c>
      <c r="G21" s="2"/>
      <c r="H21" s="2">
        <v>176162.88</v>
      </c>
      <c r="I21" s="2"/>
      <c r="J21" s="19">
        <f t="shared" si="5"/>
        <v>0.19851348778270089</v>
      </c>
      <c r="K21" s="2"/>
      <c r="L21" s="2">
        <f t="shared" si="6"/>
        <v>6461.8500000000058</v>
      </c>
      <c r="M21" s="2"/>
      <c r="N21" s="19">
        <f t="shared" si="7"/>
        <v>3.6681110118090741E-2</v>
      </c>
      <c r="O21" s="11"/>
      <c r="P21" s="2">
        <v>1457811.04</v>
      </c>
      <c r="Q21" s="2"/>
      <c r="R21" s="19">
        <f t="shared" si="8"/>
        <v>0.2394441234260033</v>
      </c>
      <c r="S21" s="2"/>
      <c r="T21" s="2">
        <v>1427615.33</v>
      </c>
      <c r="U21" s="2"/>
      <c r="V21" s="19">
        <f t="shared" si="9"/>
        <v>0.24392958002244619</v>
      </c>
      <c r="W21" s="2"/>
      <c r="X21" s="2">
        <f t="shared" si="10"/>
        <v>30195.709999999963</v>
      </c>
      <c r="Y21" s="2"/>
      <c r="Z21" s="19">
        <f t="shared" si="11"/>
        <v>2.1151152810890566E-2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9944</v>
      </c>
      <c r="E22" s="2"/>
      <c r="F22" s="19">
        <f t="shared" si="4"/>
        <v>1.2451568139397259E-2</v>
      </c>
      <c r="G22" s="2"/>
      <c r="H22" s="2">
        <v>36824</v>
      </c>
      <c r="I22" s="2"/>
      <c r="J22" s="19">
        <f t="shared" si="5"/>
        <v>4.1496032956035787E-2</v>
      </c>
      <c r="K22" s="2"/>
      <c r="L22" s="2">
        <f t="shared" si="6"/>
        <v>-26880</v>
      </c>
      <c r="M22" s="2"/>
      <c r="N22" s="19">
        <f t="shared" si="7"/>
        <v>-0.72995872257223549</v>
      </c>
      <c r="O22" s="11"/>
      <c r="P22" s="2">
        <v>6180.74</v>
      </c>
      <c r="Q22" s="2"/>
      <c r="R22" s="19">
        <f t="shared" si="8"/>
        <v>1.015180864197623E-3</v>
      </c>
      <c r="S22" s="2"/>
      <c r="T22" s="2">
        <v>8023.59</v>
      </c>
      <c r="U22" s="2"/>
      <c r="V22" s="19">
        <f t="shared" si="9"/>
        <v>1.370951192414205E-3</v>
      </c>
      <c r="W22" s="2"/>
      <c r="X22" s="2">
        <f t="shared" si="10"/>
        <v>-1842.8500000000004</v>
      </c>
      <c r="Y22" s="2"/>
      <c r="Z22" s="19">
        <f t="shared" si="11"/>
        <v>-0.22967898409564799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0">
        <f>D12-D20</f>
        <v>606045.54</v>
      </c>
      <c r="E24" s="14"/>
      <c r="F24" s="21">
        <f>IF(D$12=0,0,D24/D$12)</f>
        <v>0.75887141360496857</v>
      </c>
      <c r="G24" s="14"/>
      <c r="H24" s="20">
        <f>H12-H20</f>
        <v>674423.25</v>
      </c>
      <c r="I24" s="14"/>
      <c r="J24" s="21">
        <f>IF(H$12=0,0,H24/H$12)</f>
        <v>0.75999047926126329</v>
      </c>
      <c r="K24" s="15"/>
      <c r="L24" s="20">
        <f>+D24-H24</f>
        <v>-68377.709999999963</v>
      </c>
      <c r="M24" s="15"/>
      <c r="N24" s="21">
        <f>IF(H24=0,0,L24/H24)</f>
        <v>-0.1013869406192624</v>
      </c>
      <c r="O24" s="28"/>
      <c r="P24" s="20">
        <f>P12-P20</f>
        <v>4624322.3500000006</v>
      </c>
      <c r="Q24" s="14"/>
      <c r="R24" s="21">
        <f>IF(P$12=0,0,P24/P$12)</f>
        <v>0.7595406957097991</v>
      </c>
      <c r="S24" s="14"/>
      <c r="T24" s="20">
        <f>T12-T20</f>
        <v>4416932.67</v>
      </c>
      <c r="U24" s="14"/>
      <c r="V24" s="21">
        <f>IF(T$12=0,0,T24/T$12)</f>
        <v>0.7546994687851396</v>
      </c>
      <c r="W24" s="15"/>
      <c r="X24" s="20">
        <f>+P24-T24</f>
        <v>207389.68000000063</v>
      </c>
      <c r="Y24" s="15"/>
      <c r="Z24" s="21">
        <f>IF(T24=0,0,X24/T24)</f>
        <v>4.6953326096320289E-2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2">
        <f>SUM(OSRRefD22x_0)</f>
        <v>419899.1399999999</v>
      </c>
      <c r="E26" s="22"/>
      <c r="F26" s="33">
        <f t="shared" ref="F26:F36" si="12">IF(D$12=0,0,D26/D$12)</f>
        <v>0.52578466948756108</v>
      </c>
      <c r="G26" s="22"/>
      <c r="H26" s="22">
        <f>SUM(OSRRefH22x_0)</f>
        <v>404902.69</v>
      </c>
      <c r="I26" s="22"/>
      <c r="J26" s="33">
        <f t="shared" ref="J26:J36" si="13">IF(H$12=0,0,H26/H$12)</f>
        <v>0.45627458636290302</v>
      </c>
      <c r="K26" s="4"/>
      <c r="L26" s="22">
        <f t="shared" ref="L26:L36" si="14">+D26-H26</f>
        <v>14996.449999999895</v>
      </c>
      <c r="M26" s="4"/>
      <c r="N26" s="33">
        <f t="shared" ref="N26:N36" si="15">IF(H26=0,0,L26/H26)</f>
        <v>3.7037170585356931E-2</v>
      </c>
      <c r="O26" s="10"/>
      <c r="P26" s="22">
        <f>SUM(OSRRefP22x_0)</f>
        <v>2944569.6299999994</v>
      </c>
      <c r="Q26" s="22"/>
      <c r="R26" s="33">
        <f t="shared" ref="R26:R36" si="16">IF(P$12=0,0,P26/P$12)</f>
        <v>0.48364285533341872</v>
      </c>
      <c r="S26" s="22"/>
      <c r="T26" s="22">
        <f>SUM(OSRRefT22x_0)</f>
        <v>2668328.04</v>
      </c>
      <c r="U26" s="22"/>
      <c r="V26" s="33">
        <f t="shared" ref="V26:V36" si="17">IF(T$12=0,0,T26/T$12)</f>
        <v>0.45592403253285108</v>
      </c>
      <c r="W26" s="4"/>
      <c r="X26" s="22">
        <f t="shared" ref="X26:X36" si="18">+P26-T26</f>
        <v>276241.58999999939</v>
      </c>
      <c r="Y26" s="4"/>
      <c r="Z26" s="33">
        <f t="shared" ref="Z26:Z36" si="19">IF(T26=0,0,X26/T26)</f>
        <v>0.10352609793809286</v>
      </c>
    </row>
    <row r="27" spans="1:26" s="27" customFormat="1" outlineLevel="1" collapsed="1" x14ac:dyDescent="0.25">
      <c r="A27" s="25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99500.830000000016</v>
      </c>
      <c r="E27" s="1"/>
      <c r="F27" s="5">
        <f t="shared" si="12"/>
        <v>0.12459185083181648</v>
      </c>
      <c r="G27" s="1"/>
      <c r="H27" s="1">
        <f>SUM(OSRRefH22_0x_0)</f>
        <v>91111.33</v>
      </c>
      <c r="I27" s="1"/>
      <c r="J27" s="5">
        <f t="shared" si="13"/>
        <v>0.10267105019411937</v>
      </c>
      <c r="K27" s="1"/>
      <c r="L27" s="1">
        <f t="shared" si="14"/>
        <v>8389.5000000000146</v>
      </c>
      <c r="M27" s="1"/>
      <c r="N27" s="5">
        <f t="shared" si="15"/>
        <v>9.2079656833019718E-2</v>
      </c>
      <c r="O27" s="13"/>
      <c r="P27" s="1">
        <f>SUM(OSRRefP22_0x_0)</f>
        <v>569418.77</v>
      </c>
      <c r="Q27" s="1"/>
      <c r="R27" s="5">
        <f t="shared" si="16"/>
        <v>9.3526509611947362E-2</v>
      </c>
      <c r="S27" s="1"/>
      <c r="T27" s="1">
        <f>SUM(OSRRefT22_0x_0)</f>
        <v>546867.68999999994</v>
      </c>
      <c r="U27" s="1"/>
      <c r="V27" s="5">
        <f t="shared" si="17"/>
        <v>9.3440581048919724E-2</v>
      </c>
      <c r="W27" s="1"/>
      <c r="X27" s="1">
        <f t="shared" si="18"/>
        <v>22551.080000000075</v>
      </c>
      <c r="Y27" s="1"/>
      <c r="Z27" s="5">
        <f t="shared" si="19"/>
        <v>4.1236811778000773E-2</v>
      </c>
    </row>
    <row r="28" spans="1:26" s="24" customFormat="1" hidden="1" outlineLevel="2" x14ac:dyDescent="0.25">
      <c r="A28" s="26"/>
      <c r="B28" s="11" t="str">
        <f>CONCATENATE("          ", "6111", " - ", "F.I.C.A.")</f>
        <v xml:space="preserve">          6111 - F.I.C.A.</v>
      </c>
      <c r="C28" s="11"/>
      <c r="D28" s="6">
        <v>12150.98</v>
      </c>
      <c r="E28" s="2"/>
      <c r="F28" s="7">
        <f t="shared" si="12"/>
        <v>1.52150799909949E-2</v>
      </c>
      <c r="G28" s="2"/>
      <c r="H28" s="6">
        <v>10294.77</v>
      </c>
      <c r="I28" s="2"/>
      <c r="J28" s="7">
        <f t="shared" si="13"/>
        <v>1.160091557665676E-2</v>
      </c>
      <c r="K28" s="2"/>
      <c r="L28" s="6">
        <f t="shared" si="14"/>
        <v>1856.2099999999991</v>
      </c>
      <c r="M28" s="2"/>
      <c r="N28" s="7">
        <f t="shared" si="15"/>
        <v>0.18030611660095361</v>
      </c>
      <c r="O28" s="11"/>
      <c r="P28" s="6">
        <v>86097.69</v>
      </c>
      <c r="Q28" s="2"/>
      <c r="R28" s="7">
        <f t="shared" si="16"/>
        <v>1.4141466448939616E-2</v>
      </c>
      <c r="S28" s="2"/>
      <c r="T28" s="6">
        <v>76690.31</v>
      </c>
      <c r="U28" s="2"/>
      <c r="V28" s="7">
        <f t="shared" si="17"/>
        <v>1.3103694473560468E-2</v>
      </c>
      <c r="W28" s="2"/>
      <c r="X28" s="6">
        <f t="shared" si="18"/>
        <v>9407.3800000000047</v>
      </c>
      <c r="Y28" s="2"/>
      <c r="Z28" s="7">
        <f t="shared" si="19"/>
        <v>0.12266712704642875</v>
      </c>
    </row>
    <row r="29" spans="1:26" s="24" customFormat="1" hidden="1" outlineLevel="2" x14ac:dyDescent="0.25">
      <c r="A29" s="26"/>
      <c r="B29" s="11" t="str">
        <f>CONCATENATE("          ", "6112", " - ", "COMPENSATION INSURANCE")</f>
        <v xml:space="preserve">          6112 - COMPENSATION INSURANCE</v>
      </c>
      <c r="C29" s="11"/>
      <c r="D29" s="6">
        <v>13524.22</v>
      </c>
      <c r="E29" s="2"/>
      <c r="F29" s="7">
        <f t="shared" si="12"/>
        <v>1.6934608493785114E-2</v>
      </c>
      <c r="G29" s="2"/>
      <c r="H29" s="6">
        <v>10223.11</v>
      </c>
      <c r="I29" s="2"/>
      <c r="J29" s="7">
        <f t="shared" si="13"/>
        <v>1.1520163737594477E-2</v>
      </c>
      <c r="K29" s="2"/>
      <c r="L29" s="6">
        <f t="shared" si="14"/>
        <v>3301.1099999999988</v>
      </c>
      <c r="M29" s="2"/>
      <c r="N29" s="7">
        <f t="shared" si="15"/>
        <v>0.32290663017418364</v>
      </c>
      <c r="O29" s="11"/>
      <c r="P29" s="6">
        <v>48256.460000000006</v>
      </c>
      <c r="Q29" s="2"/>
      <c r="R29" s="7">
        <f t="shared" si="16"/>
        <v>7.9260792018298835E-3</v>
      </c>
      <c r="S29" s="2"/>
      <c r="T29" s="6">
        <v>52233.98</v>
      </c>
      <c r="U29" s="2"/>
      <c r="V29" s="7">
        <f t="shared" si="17"/>
        <v>8.924962163512809E-3</v>
      </c>
      <c r="W29" s="2"/>
      <c r="X29" s="6">
        <f t="shared" si="18"/>
        <v>-3977.5199999999968</v>
      </c>
      <c r="Y29" s="2"/>
      <c r="Z29" s="7">
        <f t="shared" si="19"/>
        <v>-7.6148131924850385E-2</v>
      </c>
    </row>
    <row r="30" spans="1:26" s="24" customFormat="1" hidden="1" outlineLevel="2" x14ac:dyDescent="0.25">
      <c r="A30" s="26"/>
      <c r="B30" s="11" t="str">
        <f>CONCATENATE("          ", "6113", " - ", "GROUP INSURANCE")</f>
        <v xml:space="preserve">          6113 - GROUP INSURANCE</v>
      </c>
      <c r="C30" s="11"/>
      <c r="D30" s="6">
        <v>49539.45</v>
      </c>
      <c r="E30" s="2"/>
      <c r="F30" s="7">
        <f t="shared" si="12"/>
        <v>6.2031761591237279E-2</v>
      </c>
      <c r="G30" s="2"/>
      <c r="H30" s="6">
        <v>49318.33</v>
      </c>
      <c r="I30" s="2"/>
      <c r="J30" s="7">
        <f t="shared" si="13"/>
        <v>5.5575576988286128E-2</v>
      </c>
      <c r="K30" s="2"/>
      <c r="L30" s="6">
        <f t="shared" si="14"/>
        <v>221.11999999999534</v>
      </c>
      <c r="M30" s="2"/>
      <c r="N30" s="7">
        <f t="shared" si="15"/>
        <v>4.4835256992683111E-3</v>
      </c>
      <c r="O30" s="11"/>
      <c r="P30" s="6">
        <v>277959.5</v>
      </c>
      <c r="Q30" s="2"/>
      <c r="R30" s="7">
        <f t="shared" si="16"/>
        <v>4.5654592398634987E-2</v>
      </c>
      <c r="S30" s="2"/>
      <c r="T30" s="6">
        <v>269503.73</v>
      </c>
      <c r="U30" s="2"/>
      <c r="V30" s="7">
        <f t="shared" si="17"/>
        <v>4.6048771186411062E-2</v>
      </c>
      <c r="W30" s="2"/>
      <c r="X30" s="6">
        <f t="shared" si="18"/>
        <v>8455.7700000000186</v>
      </c>
      <c r="Y30" s="2"/>
      <c r="Z30" s="7">
        <f t="shared" si="19"/>
        <v>3.1375335695724947E-2</v>
      </c>
    </row>
    <row r="31" spans="1:26" s="24" customFormat="1" hidden="1" outlineLevel="2" x14ac:dyDescent="0.25">
      <c r="A31" s="26"/>
      <c r="B31" s="11" t="str">
        <f>CONCATENATE("          ", "6114", " - ", "STATE UNEMPLOYMENT INSURANCE")</f>
        <v xml:space="preserve">          6114 - STATE UNEMPLOYMENT INSURANCE</v>
      </c>
      <c r="C31" s="11"/>
      <c r="D31" s="6">
        <v>912.1</v>
      </c>
      <c r="E31" s="2"/>
      <c r="F31" s="7">
        <f t="shared" si="12"/>
        <v>1.1421033085221479E-3</v>
      </c>
      <c r="G31" s="2"/>
      <c r="H31" s="6">
        <v>767.59</v>
      </c>
      <c r="I31" s="2"/>
      <c r="J31" s="7">
        <f t="shared" si="13"/>
        <v>8.6497773019561996E-4</v>
      </c>
      <c r="K31" s="2"/>
      <c r="L31" s="6">
        <f t="shared" si="14"/>
        <v>144.51</v>
      </c>
      <c r="M31" s="2"/>
      <c r="N31" s="7">
        <f t="shared" si="15"/>
        <v>0.18826456832423558</v>
      </c>
      <c r="O31" s="11"/>
      <c r="P31" s="6">
        <v>4225.17</v>
      </c>
      <c r="Q31" s="2"/>
      <c r="R31" s="7">
        <f t="shared" si="16"/>
        <v>6.9398028908866432E-4</v>
      </c>
      <c r="S31" s="2"/>
      <c r="T31" s="6">
        <v>3905.57</v>
      </c>
      <c r="U31" s="2"/>
      <c r="V31" s="7">
        <f t="shared" si="17"/>
        <v>6.6732545513381754E-4</v>
      </c>
      <c r="W31" s="2"/>
      <c r="X31" s="6">
        <f t="shared" si="18"/>
        <v>319.59999999999991</v>
      </c>
      <c r="Y31" s="2"/>
      <c r="Z31" s="7">
        <f t="shared" si="19"/>
        <v>8.1831845287627644E-2</v>
      </c>
    </row>
    <row r="32" spans="1:26" s="24" customFormat="1" hidden="1" outlineLevel="2" x14ac:dyDescent="0.25">
      <c r="A32" s="26"/>
      <c r="B32" s="11" t="str">
        <f>CONCATENATE("          ", "6115", " - ", "P.E.R.S.")</f>
        <v xml:space="preserve">          6115 - P.E.R.S.</v>
      </c>
      <c r="C32" s="11"/>
      <c r="D32" s="6">
        <v>3993.41</v>
      </c>
      <c r="E32" s="2"/>
      <c r="F32" s="7">
        <f t="shared" si="12"/>
        <v>5.0004240470183431E-3</v>
      </c>
      <c r="G32" s="2"/>
      <c r="H32" s="6">
        <v>3594.01</v>
      </c>
      <c r="I32" s="2"/>
      <c r="J32" s="7">
        <f t="shared" si="13"/>
        <v>4.0499988432631485E-3</v>
      </c>
      <c r="K32" s="2"/>
      <c r="L32" s="6">
        <f t="shared" si="14"/>
        <v>399.39999999999964</v>
      </c>
      <c r="M32" s="2"/>
      <c r="N32" s="7">
        <f t="shared" si="15"/>
        <v>0.11112935133736401</v>
      </c>
      <c r="O32" s="11"/>
      <c r="P32" s="6">
        <v>25906.54</v>
      </c>
      <c r="Q32" s="2"/>
      <c r="R32" s="7">
        <f t="shared" si="16"/>
        <v>4.255125383945982E-3</v>
      </c>
      <c r="S32" s="2"/>
      <c r="T32" s="6">
        <v>24908.95</v>
      </c>
      <c r="U32" s="2"/>
      <c r="V32" s="7">
        <f t="shared" si="17"/>
        <v>4.2560692538235146E-3</v>
      </c>
      <c r="W32" s="2"/>
      <c r="X32" s="6">
        <f t="shared" si="18"/>
        <v>997.59000000000015</v>
      </c>
      <c r="Y32" s="2"/>
      <c r="Z32" s="7">
        <f t="shared" si="19"/>
        <v>4.0049460133807328E-2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2203.6</v>
      </c>
      <c r="E33" s="2"/>
      <c r="F33" s="7">
        <f t="shared" si="12"/>
        <v>2.7592795205124494E-3</v>
      </c>
      <c r="G33" s="2"/>
      <c r="H33" s="6">
        <v>1428.06</v>
      </c>
      <c r="I33" s="2"/>
      <c r="J33" s="7">
        <f t="shared" si="13"/>
        <v>1.6092446454267994E-3</v>
      </c>
      <c r="K33" s="2"/>
      <c r="L33" s="6">
        <f t="shared" si="14"/>
        <v>775.54</v>
      </c>
      <c r="M33" s="2"/>
      <c r="N33" s="7">
        <f t="shared" si="15"/>
        <v>0.54307241992633359</v>
      </c>
      <c r="O33" s="11"/>
      <c r="P33" s="6">
        <v>10468.01</v>
      </c>
      <c r="Q33" s="2"/>
      <c r="R33" s="7">
        <f t="shared" si="16"/>
        <v>1.7193610212093309E-3</v>
      </c>
      <c r="S33" s="2"/>
      <c r="T33" s="6">
        <v>9233.2800000000007</v>
      </c>
      <c r="U33" s="2"/>
      <c r="V33" s="7">
        <f t="shared" si="17"/>
        <v>1.5776449476972568E-3</v>
      </c>
      <c r="W33" s="2"/>
      <c r="X33" s="6">
        <f t="shared" si="18"/>
        <v>1234.7299999999996</v>
      </c>
      <c r="Y33" s="2"/>
      <c r="Z33" s="7">
        <f t="shared" si="19"/>
        <v>0.13372604318292086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8059.5</v>
      </c>
      <c r="E34" s="2"/>
      <c r="F34" s="7">
        <f t="shared" si="12"/>
        <v>1.0091855734057945E-2</v>
      </c>
      <c r="G34" s="2"/>
      <c r="H34" s="6">
        <v>7479.24</v>
      </c>
      <c r="I34" s="2"/>
      <c r="J34" s="7">
        <f t="shared" si="13"/>
        <v>8.4281661287774565E-3</v>
      </c>
      <c r="K34" s="2"/>
      <c r="L34" s="6">
        <f t="shared" si="14"/>
        <v>580.26000000000022</v>
      </c>
      <c r="M34" s="2"/>
      <c r="N34" s="7">
        <f t="shared" si="15"/>
        <v>7.7582749049368682E-2</v>
      </c>
      <c r="O34" s="11"/>
      <c r="P34" s="6">
        <v>53556</v>
      </c>
      <c r="Q34" s="2"/>
      <c r="R34" s="7">
        <f t="shared" si="16"/>
        <v>8.7965237759504364E-3</v>
      </c>
      <c r="S34" s="2"/>
      <c r="T34" s="6">
        <v>50666.09</v>
      </c>
      <c r="U34" s="2"/>
      <c r="V34" s="7">
        <f t="shared" si="17"/>
        <v>8.657064543485575E-3</v>
      </c>
      <c r="W34" s="2"/>
      <c r="X34" s="6">
        <f t="shared" si="18"/>
        <v>2889.9100000000035</v>
      </c>
      <c r="Y34" s="2"/>
      <c r="Z34" s="7">
        <f t="shared" si="19"/>
        <v>5.703834655486547E-2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5433.97</v>
      </c>
      <c r="E35" s="2"/>
      <c r="F35" s="7">
        <f t="shared" si="12"/>
        <v>6.8042485642035924E-3</v>
      </c>
      <c r="G35" s="2"/>
      <c r="H35" s="6">
        <v>4750.8999999999996</v>
      </c>
      <c r="I35" s="2"/>
      <c r="J35" s="7">
        <f t="shared" si="13"/>
        <v>5.3536688836310665E-3</v>
      </c>
      <c r="K35" s="2"/>
      <c r="L35" s="6">
        <f t="shared" si="14"/>
        <v>683.07000000000062</v>
      </c>
      <c r="M35" s="2"/>
      <c r="N35" s="7">
        <f t="shared" si="15"/>
        <v>0.14377696857437552</v>
      </c>
      <c r="O35" s="11"/>
      <c r="P35" s="6">
        <v>41403.599999999999</v>
      </c>
      <c r="Q35" s="2"/>
      <c r="R35" s="7">
        <f t="shared" si="16"/>
        <v>6.8005032453869116E-3</v>
      </c>
      <c r="S35" s="2"/>
      <c r="T35" s="6">
        <v>38993.21</v>
      </c>
      <c r="U35" s="2"/>
      <c r="V35" s="7">
        <f t="shared" si="17"/>
        <v>6.662577193694781E-3</v>
      </c>
      <c r="W35" s="2"/>
      <c r="X35" s="6">
        <f t="shared" si="18"/>
        <v>2410.3899999999994</v>
      </c>
      <c r="Y35" s="2"/>
      <c r="Z35" s="7">
        <f t="shared" si="19"/>
        <v>6.1815634055262428E-2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3683.6</v>
      </c>
      <c r="E36" s="2"/>
      <c r="F36" s="7">
        <f t="shared" si="12"/>
        <v>4.6124895814846885E-3</v>
      </c>
      <c r="G36" s="2"/>
      <c r="H36" s="6">
        <v>3255.32</v>
      </c>
      <c r="I36" s="2"/>
      <c r="J36" s="7">
        <f t="shared" si="13"/>
        <v>3.6683376602879214E-3</v>
      </c>
      <c r="K36" s="2"/>
      <c r="L36" s="6">
        <f t="shared" si="14"/>
        <v>428.27999999999975</v>
      </c>
      <c r="M36" s="2"/>
      <c r="N36" s="7">
        <f t="shared" si="15"/>
        <v>0.13156310285931944</v>
      </c>
      <c r="O36" s="11"/>
      <c r="P36" s="6">
        <v>21545.8</v>
      </c>
      <c r="Q36" s="2"/>
      <c r="R36" s="7">
        <f t="shared" si="16"/>
        <v>3.5388778469615523E-3</v>
      </c>
      <c r="S36" s="2"/>
      <c r="T36" s="6">
        <v>20732.57</v>
      </c>
      <c r="U36" s="2"/>
      <c r="V36" s="7">
        <f t="shared" si="17"/>
        <v>3.5424718316004401E-3</v>
      </c>
      <c r="W36" s="2"/>
      <c r="X36" s="6">
        <f t="shared" si="18"/>
        <v>813.22999999999956</v>
      </c>
      <c r="Y36" s="2"/>
      <c r="Z36" s="7">
        <f t="shared" si="19"/>
        <v>3.9224756023975779E-2</v>
      </c>
    </row>
    <row r="37" spans="1:26" s="27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213051.33</v>
      </c>
      <c r="E37" s="1"/>
      <c r="F37" s="5">
        <f t="shared" ref="F37:F44" si="20">IF(D$12=0,0,D37/D$12)</f>
        <v>0.26677626233751117</v>
      </c>
      <c r="G37" s="1"/>
      <c r="H37" s="1">
        <f>SUM(OSRRefH22_1x_0)</f>
        <v>197551.32</v>
      </c>
      <c r="I37" s="1"/>
      <c r="J37" s="5">
        <f t="shared" ref="J37:J44" si="21">IF(H$12=0,0,H37/H$12)</f>
        <v>0.22261557911221952</v>
      </c>
      <c r="K37" s="1"/>
      <c r="L37" s="1">
        <f t="shared" ref="L37:L44" si="22">+D37-H37</f>
        <v>15500.00999999998</v>
      </c>
      <c r="M37" s="1"/>
      <c r="N37" s="5">
        <f t="shared" ref="N37:N44" si="23">IF(H37=0,0,L37/H37)</f>
        <v>7.8460675433603688E-2</v>
      </c>
      <c r="O37" s="13"/>
      <c r="P37" s="1">
        <f>SUM(OSRRefP22_1x_0)</f>
        <v>1521629.99</v>
      </c>
      <c r="Q37" s="1"/>
      <c r="R37" s="5">
        <f t="shared" ref="R37:R44" si="24">IF(P$12=0,0,P37/P$12)</f>
        <v>0.2499263273066365</v>
      </c>
      <c r="S37" s="1"/>
      <c r="T37" s="1">
        <f>SUM(OSRRefT22_1x_0)</f>
        <v>1337116.3499999999</v>
      </c>
      <c r="U37" s="1"/>
      <c r="V37" s="5">
        <f t="shared" ref="V37:V44" si="25">IF(T$12=0,0,T37/T$12)</f>
        <v>0.22846646631109382</v>
      </c>
      <c r="W37" s="1"/>
      <c r="X37" s="1">
        <f t="shared" ref="X37:X44" si="26">+P37-T37</f>
        <v>184513.64000000013</v>
      </c>
      <c r="Y37" s="1"/>
      <c r="Z37" s="5">
        <f t="shared" ref="Z37:Z44" si="27">IF(T37=0,0,X37/T37)</f>
        <v>0.13799370563376939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>
        <v>7330.54</v>
      </c>
      <c r="E38" s="2"/>
      <c r="F38" s="7">
        <f t="shared" si="20"/>
        <v>9.1790746488915106E-3</v>
      </c>
      <c r="G38" s="2"/>
      <c r="H38" s="6">
        <v>7512.41</v>
      </c>
      <c r="I38" s="2"/>
      <c r="J38" s="7">
        <f t="shared" si="21"/>
        <v>8.4655445616785997E-3</v>
      </c>
      <c r="K38" s="2"/>
      <c r="L38" s="6">
        <f t="shared" si="22"/>
        <v>-181.86999999999989</v>
      </c>
      <c r="M38" s="2"/>
      <c r="N38" s="7">
        <f t="shared" si="23"/>
        <v>-2.4209275052879155E-2</v>
      </c>
      <c r="O38" s="11"/>
      <c r="P38" s="6">
        <v>45612.24</v>
      </c>
      <c r="Q38" s="2"/>
      <c r="R38" s="7">
        <f t="shared" si="24"/>
        <v>7.4917684971685244E-3</v>
      </c>
      <c r="S38" s="2"/>
      <c r="T38" s="6">
        <v>47051.409999999996</v>
      </c>
      <c r="U38" s="2"/>
      <c r="V38" s="7">
        <f t="shared" si="25"/>
        <v>8.0394420258599521E-3</v>
      </c>
      <c r="W38" s="2"/>
      <c r="X38" s="6">
        <f t="shared" si="26"/>
        <v>-1439.1699999999983</v>
      </c>
      <c r="Y38" s="2"/>
      <c r="Z38" s="7">
        <f t="shared" si="27"/>
        <v>-3.0587181128046925E-2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35354.47</v>
      </c>
      <c r="E39" s="2"/>
      <c r="F39" s="7">
        <f t="shared" si="20"/>
        <v>4.4269769935365667E-2</v>
      </c>
      <c r="G39" s="2"/>
      <c r="H39" s="6">
        <v>35820.899999999994</v>
      </c>
      <c r="I39" s="2"/>
      <c r="J39" s="7">
        <f t="shared" si="21"/>
        <v>4.0365664971618018E-2</v>
      </c>
      <c r="K39" s="2"/>
      <c r="L39" s="6">
        <f t="shared" si="22"/>
        <v>-466.42999999999302</v>
      </c>
      <c r="M39" s="2"/>
      <c r="N39" s="7">
        <f t="shared" si="23"/>
        <v>-1.3021169205686989E-2</v>
      </c>
      <c r="O39" s="11"/>
      <c r="P39" s="6">
        <v>236281.28999999998</v>
      </c>
      <c r="Q39" s="2"/>
      <c r="R39" s="7">
        <f t="shared" si="24"/>
        <v>3.880898471314586E-2</v>
      </c>
      <c r="S39" s="2"/>
      <c r="T39" s="6">
        <v>223169.97999999998</v>
      </c>
      <c r="U39" s="2"/>
      <c r="V39" s="7">
        <f t="shared" si="25"/>
        <v>3.8131952180015964E-2</v>
      </c>
      <c r="W39" s="2"/>
      <c r="X39" s="6">
        <f t="shared" si="26"/>
        <v>13111.309999999998</v>
      </c>
      <c r="Y39" s="2"/>
      <c r="Z39" s="7">
        <f t="shared" si="27"/>
        <v>5.8750330129527274E-2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>
        <v>59109.469999999994</v>
      </c>
      <c r="E40" s="2"/>
      <c r="F40" s="7">
        <f t="shared" si="20"/>
        <v>7.4015043582930207E-2</v>
      </c>
      <c r="G40" s="2"/>
      <c r="H40" s="6">
        <v>54909.72</v>
      </c>
      <c r="I40" s="2"/>
      <c r="J40" s="7">
        <f t="shared" si="21"/>
        <v>6.187637276576953E-2</v>
      </c>
      <c r="K40" s="2"/>
      <c r="L40" s="6">
        <f t="shared" si="22"/>
        <v>4199.7499999999927</v>
      </c>
      <c r="M40" s="2"/>
      <c r="N40" s="7">
        <f t="shared" si="23"/>
        <v>7.6484636964092925E-2</v>
      </c>
      <c r="O40" s="11"/>
      <c r="P40" s="6">
        <v>363527.26</v>
      </c>
      <c r="Q40" s="2"/>
      <c r="R40" s="7">
        <f t="shared" si="24"/>
        <v>5.9709018332140484E-2</v>
      </c>
      <c r="S40" s="2"/>
      <c r="T40" s="6">
        <v>353365.66</v>
      </c>
      <c r="U40" s="2"/>
      <c r="V40" s="7">
        <f t="shared" si="25"/>
        <v>6.0377844946617729E-2</v>
      </c>
      <c r="W40" s="2"/>
      <c r="X40" s="6">
        <f t="shared" si="26"/>
        <v>10161.600000000035</v>
      </c>
      <c r="Y40" s="2"/>
      <c r="Z40" s="7">
        <f t="shared" si="27"/>
        <v>2.8756614324097127E-2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>
        <v>34687.85</v>
      </c>
      <c r="E41" s="2"/>
      <c r="F41" s="7">
        <f t="shared" si="20"/>
        <v>4.3435049063172887E-2</v>
      </c>
      <c r="G41" s="2"/>
      <c r="H41" s="6">
        <v>30904.69</v>
      </c>
      <c r="I41" s="2"/>
      <c r="J41" s="7">
        <f t="shared" si="21"/>
        <v>3.4825712435804623E-2</v>
      </c>
      <c r="K41" s="2"/>
      <c r="L41" s="6">
        <f t="shared" si="22"/>
        <v>3783.16</v>
      </c>
      <c r="M41" s="2"/>
      <c r="N41" s="7">
        <f t="shared" si="23"/>
        <v>0.12241378250356176</v>
      </c>
      <c r="O41" s="11"/>
      <c r="P41" s="6">
        <v>275358.75</v>
      </c>
      <c r="Q41" s="2"/>
      <c r="R41" s="7">
        <f t="shared" si="24"/>
        <v>4.5227421601519754E-2</v>
      </c>
      <c r="S41" s="2"/>
      <c r="T41" s="6">
        <v>219380.99000000002</v>
      </c>
      <c r="U41" s="2"/>
      <c r="V41" s="7">
        <f t="shared" si="25"/>
        <v>3.7484546173659025E-2</v>
      </c>
      <c r="W41" s="2"/>
      <c r="X41" s="6">
        <f t="shared" si="26"/>
        <v>55977.75999999998</v>
      </c>
      <c r="Y41" s="2"/>
      <c r="Z41" s="7">
        <f t="shared" si="27"/>
        <v>0.25516230918640659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>
        <v>2207.31</v>
      </c>
      <c r="E42" s="2"/>
      <c r="F42" s="7">
        <f t="shared" si="20"/>
        <v>2.7639250673544813E-3</v>
      </c>
      <c r="G42" s="2"/>
      <c r="H42" s="6"/>
      <c r="I42" s="2"/>
      <c r="J42" s="7">
        <f t="shared" si="21"/>
        <v>0</v>
      </c>
      <c r="K42" s="2"/>
      <c r="L42" s="6">
        <f t="shared" si="22"/>
        <v>2207.31</v>
      </c>
      <c r="M42" s="2"/>
      <c r="N42" s="7">
        <f t="shared" si="23"/>
        <v>0</v>
      </c>
      <c r="O42" s="11"/>
      <c r="P42" s="6">
        <v>29545.599999999999</v>
      </c>
      <c r="Q42" s="2"/>
      <c r="R42" s="7">
        <f t="shared" si="24"/>
        <v>4.8528376442363358E-3</v>
      </c>
      <c r="S42" s="2"/>
      <c r="T42" s="6">
        <v>6291.07</v>
      </c>
      <c r="U42" s="2"/>
      <c r="V42" s="7">
        <f t="shared" si="25"/>
        <v>1.0749240574432683E-3</v>
      </c>
      <c r="W42" s="2"/>
      <c r="X42" s="6">
        <f t="shared" si="26"/>
        <v>23254.53</v>
      </c>
      <c r="Y42" s="2"/>
      <c r="Z42" s="7">
        <f t="shared" si="27"/>
        <v>3.6964347877229153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>
        <v>59913.689999999995</v>
      </c>
      <c r="E43" s="2"/>
      <c r="F43" s="7">
        <f t="shared" si="20"/>
        <v>7.5022062904035E-2</v>
      </c>
      <c r="G43" s="2"/>
      <c r="H43" s="6">
        <v>50974.97</v>
      </c>
      <c r="I43" s="2"/>
      <c r="J43" s="7">
        <f t="shared" si="21"/>
        <v>5.7442402646451646E-2</v>
      </c>
      <c r="K43" s="2"/>
      <c r="L43" s="6">
        <f t="shared" si="22"/>
        <v>8938.7199999999939</v>
      </c>
      <c r="M43" s="2"/>
      <c r="N43" s="7">
        <f t="shared" si="23"/>
        <v>0.17535508113099416</v>
      </c>
      <c r="O43" s="11"/>
      <c r="P43" s="6">
        <v>456121.35</v>
      </c>
      <c r="Q43" s="2"/>
      <c r="R43" s="7">
        <f t="shared" si="24"/>
        <v>7.4917512510150316E-2</v>
      </c>
      <c r="S43" s="2"/>
      <c r="T43" s="6">
        <v>381218.59</v>
      </c>
      <c r="U43" s="2"/>
      <c r="V43" s="7">
        <f t="shared" si="25"/>
        <v>6.5136937521852692E-2</v>
      </c>
      <c r="W43" s="2"/>
      <c r="X43" s="6">
        <f t="shared" si="26"/>
        <v>74902.759999999951</v>
      </c>
      <c r="Y43" s="2"/>
      <c r="Z43" s="7">
        <f t="shared" si="27"/>
        <v>0.19648244331421494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>
        <v>14448</v>
      </c>
      <c r="E44" s="2"/>
      <c r="F44" s="7">
        <f t="shared" si="20"/>
        <v>1.8091337135761422E-2</v>
      </c>
      <c r="G44" s="2"/>
      <c r="H44" s="6">
        <v>17428.63</v>
      </c>
      <c r="I44" s="2"/>
      <c r="J44" s="7">
        <f t="shared" si="21"/>
        <v>1.9639881730897077E-2</v>
      </c>
      <c r="K44" s="2"/>
      <c r="L44" s="6">
        <f t="shared" si="22"/>
        <v>-2980.630000000001</v>
      </c>
      <c r="M44" s="2"/>
      <c r="N44" s="7">
        <f t="shared" si="23"/>
        <v>-0.17101917936177433</v>
      </c>
      <c r="O44" s="11"/>
      <c r="P44" s="6">
        <v>115183.5</v>
      </c>
      <c r="Q44" s="2"/>
      <c r="R44" s="7">
        <f t="shared" si="24"/>
        <v>1.8918784008275208E-2</v>
      </c>
      <c r="S44" s="2"/>
      <c r="T44" s="6">
        <v>106638.65</v>
      </c>
      <c r="U44" s="2"/>
      <c r="V44" s="7">
        <f t="shared" si="25"/>
        <v>1.8220819405645235E-2</v>
      </c>
      <c r="W44" s="2"/>
      <c r="X44" s="6">
        <f t="shared" si="26"/>
        <v>8544.8500000000058</v>
      </c>
      <c r="Y44" s="2"/>
      <c r="Z44" s="7">
        <f t="shared" si="27"/>
        <v>8.0129015136632037E-2</v>
      </c>
    </row>
    <row r="45" spans="1:26" s="27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68" si="28">IF(D$12=0,0,D45/D$12)</f>
        <v>0</v>
      </c>
      <c r="G45" s="1"/>
      <c r="H45" s="1">
        <f>SUM(OSRRefH22_2x_0)</f>
        <v>168</v>
      </c>
      <c r="I45" s="1"/>
      <c r="J45" s="5">
        <f t="shared" ref="J45:J68" si="29">IF(H$12=0,0,H45/H$12)</f>
        <v>1.8931494505252042E-4</v>
      </c>
      <c r="K45" s="1"/>
      <c r="L45" s="1">
        <f t="shared" ref="L45:L68" si="30">+D45-H45</f>
        <v>-168</v>
      </c>
      <c r="M45" s="1"/>
      <c r="N45" s="5">
        <f t="shared" ref="N45:N68" si="31">IF(H45=0,0,L45/H45)</f>
        <v>-1</v>
      </c>
      <c r="O45" s="13"/>
      <c r="P45" s="1">
        <f>SUM(OSRRefP22_2x_0)</f>
        <v>7928.8</v>
      </c>
      <c r="Q45" s="1"/>
      <c r="R45" s="5">
        <f t="shared" ref="R45:R68" si="32">IF(P$12=0,0,P45/P$12)</f>
        <v>1.3022981125318512E-3</v>
      </c>
      <c r="S45" s="1"/>
      <c r="T45" s="1">
        <f>SUM(OSRRefT22_2x_0)</f>
        <v>10731.99</v>
      </c>
      <c r="U45" s="1"/>
      <c r="V45" s="5">
        <f t="shared" ref="V45:V68" si="33">IF(T$12=0,0,T45/T$12)</f>
        <v>1.8337221228249853E-3</v>
      </c>
      <c r="W45" s="1"/>
      <c r="X45" s="1">
        <f t="shared" ref="X45:X68" si="34">+P45-T45</f>
        <v>-2803.1899999999996</v>
      </c>
      <c r="Y45" s="1"/>
      <c r="Z45" s="5">
        <f t="shared" ref="Z45:Z68" si="35">IF(T45=0,0,X45/T45)</f>
        <v>-0.26119946067784255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>
        <v>168</v>
      </c>
      <c r="I46" s="2"/>
      <c r="J46" s="7">
        <f t="shared" si="29"/>
        <v>1.8931494505252042E-4</v>
      </c>
      <c r="K46" s="2"/>
      <c r="L46" s="6">
        <f t="shared" si="30"/>
        <v>-168</v>
      </c>
      <c r="M46" s="2"/>
      <c r="N46" s="7">
        <f t="shared" si="31"/>
        <v>-1</v>
      </c>
      <c r="O46" s="11"/>
      <c r="P46" s="6">
        <v>7928.8</v>
      </c>
      <c r="Q46" s="2"/>
      <c r="R46" s="7">
        <f t="shared" si="32"/>
        <v>1.3022981125318512E-3</v>
      </c>
      <c r="S46" s="2"/>
      <c r="T46" s="6">
        <v>10731.99</v>
      </c>
      <c r="U46" s="2"/>
      <c r="V46" s="7">
        <f t="shared" si="33"/>
        <v>1.8337221228249853E-3</v>
      </c>
      <c r="W46" s="2"/>
      <c r="X46" s="6">
        <f t="shared" si="34"/>
        <v>-2803.1899999999996</v>
      </c>
      <c r="Y46" s="2"/>
      <c r="Z46" s="7">
        <f t="shared" si="35"/>
        <v>-0.26119946067784255</v>
      </c>
    </row>
    <row r="47" spans="1:26" s="27" customFormat="1" outlineLevel="1" collapsed="1" x14ac:dyDescent="0.25">
      <c r="A47" s="25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-0.45</v>
      </c>
      <c r="E47" s="1"/>
      <c r="F47" s="5">
        <f t="shared" si="28"/>
        <v>-5.634760320523699E-7</v>
      </c>
      <c r="G47" s="1"/>
      <c r="H47" s="1">
        <f>SUM(OSRRefH22_3x_0)</f>
        <v>-21.81</v>
      </c>
      <c r="I47" s="1"/>
      <c r="J47" s="5">
        <f t="shared" si="29"/>
        <v>-2.4577136616639702E-5</v>
      </c>
      <c r="K47" s="1"/>
      <c r="L47" s="1">
        <f t="shared" si="30"/>
        <v>21.36</v>
      </c>
      <c r="M47" s="1"/>
      <c r="N47" s="5">
        <f t="shared" si="31"/>
        <v>-0.97936726272352137</v>
      </c>
      <c r="O47" s="13"/>
      <c r="P47" s="1">
        <f>SUM(OSRRefP22_3x_0)</f>
        <v>29.06</v>
      </c>
      <c r="Q47" s="1"/>
      <c r="R47" s="5">
        <f t="shared" si="32"/>
        <v>4.7730782905579142E-6</v>
      </c>
      <c r="S47" s="1"/>
      <c r="T47" s="1">
        <f>SUM(OSRRefT22_3x_0)</f>
        <v>10.72</v>
      </c>
      <c r="U47" s="1"/>
      <c r="V47" s="5">
        <f t="shared" si="33"/>
        <v>1.8316734507471443E-6</v>
      </c>
      <c r="W47" s="1"/>
      <c r="X47" s="1">
        <f t="shared" si="34"/>
        <v>18.339999999999996</v>
      </c>
      <c r="Y47" s="1"/>
      <c r="Z47" s="5">
        <f t="shared" si="35"/>
        <v>1.7108208955223876</v>
      </c>
    </row>
    <row r="48" spans="1:26" s="24" customFormat="1" hidden="1" outlineLevel="2" x14ac:dyDescent="0.25">
      <c r="A48" s="26"/>
      <c r="B48" s="11" t="str">
        <f>CONCATENATE("          ", "6272", " - ", "CASH (OVER/SHORT)")</f>
        <v xml:space="preserve">          6272 - CASH (OVER/SHORT)</v>
      </c>
      <c r="C48" s="11"/>
      <c r="D48" s="6">
        <v>-0.45</v>
      </c>
      <c r="E48" s="2"/>
      <c r="F48" s="7">
        <f t="shared" si="28"/>
        <v>-5.634760320523699E-7</v>
      </c>
      <c r="G48" s="2"/>
      <c r="H48" s="6">
        <v>-21.81</v>
      </c>
      <c r="I48" s="2"/>
      <c r="J48" s="7">
        <f t="shared" si="29"/>
        <v>-2.4577136616639702E-5</v>
      </c>
      <c r="K48" s="2"/>
      <c r="L48" s="6">
        <f t="shared" si="30"/>
        <v>21.36</v>
      </c>
      <c r="M48" s="2"/>
      <c r="N48" s="7">
        <f t="shared" si="31"/>
        <v>-0.97936726272352137</v>
      </c>
      <c r="O48" s="11"/>
      <c r="P48" s="6">
        <v>29.06</v>
      </c>
      <c r="Q48" s="2"/>
      <c r="R48" s="7">
        <f t="shared" si="32"/>
        <v>4.7730782905579142E-6</v>
      </c>
      <c r="S48" s="2"/>
      <c r="T48" s="6">
        <v>10.72</v>
      </c>
      <c r="U48" s="2"/>
      <c r="V48" s="7">
        <f t="shared" si="33"/>
        <v>1.8316734507471443E-6</v>
      </c>
      <c r="W48" s="2"/>
      <c r="X48" s="6">
        <f t="shared" si="34"/>
        <v>18.339999999999996</v>
      </c>
      <c r="Y48" s="2"/>
      <c r="Z48" s="7">
        <f t="shared" si="35"/>
        <v>1.7108208955223876</v>
      </c>
    </row>
    <row r="49" spans="1:26" s="27" customFormat="1" outlineLevel="1" collapsed="1" x14ac:dyDescent="0.25">
      <c r="A49" s="25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235.29</v>
      </c>
      <c r="E49" s="1"/>
      <c r="F49" s="5">
        <f t="shared" si="28"/>
        <v>2.9462283462578247E-4</v>
      </c>
      <c r="G49" s="1"/>
      <c r="H49" s="1">
        <f>SUM(OSRRefH22_4x_0)</f>
        <v>293.75</v>
      </c>
      <c r="I49" s="1"/>
      <c r="J49" s="5">
        <f t="shared" si="29"/>
        <v>3.310194351736778E-4</v>
      </c>
      <c r="K49" s="1"/>
      <c r="L49" s="1">
        <f t="shared" si="30"/>
        <v>-58.460000000000008</v>
      </c>
      <c r="M49" s="1"/>
      <c r="N49" s="5">
        <f t="shared" si="31"/>
        <v>-0.19901276595744682</v>
      </c>
      <c r="O49" s="13"/>
      <c r="P49" s="1">
        <f>SUM(OSRRefP22_4x_0)</f>
        <v>2627.01</v>
      </c>
      <c r="Q49" s="1"/>
      <c r="R49" s="5">
        <f t="shared" si="32"/>
        <v>4.3148397797930309E-4</v>
      </c>
      <c r="S49" s="1"/>
      <c r="T49" s="1">
        <f>SUM(OSRRefT22_4x_0)</f>
        <v>2449.02</v>
      </c>
      <c r="U49" s="1"/>
      <c r="V49" s="5">
        <f t="shared" si="33"/>
        <v>4.1845195096537044E-4</v>
      </c>
      <c r="W49" s="1"/>
      <c r="X49" s="1">
        <f t="shared" si="34"/>
        <v>177.99000000000024</v>
      </c>
      <c r="Y49" s="1"/>
      <c r="Z49" s="5">
        <f t="shared" si="35"/>
        <v>7.2678050812161693E-2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6">
        <v>235.29</v>
      </c>
      <c r="E50" s="2"/>
      <c r="F50" s="7">
        <f t="shared" si="28"/>
        <v>2.9462283462578247E-4</v>
      </c>
      <c r="G50" s="2"/>
      <c r="H50" s="6">
        <v>293.75</v>
      </c>
      <c r="I50" s="2"/>
      <c r="J50" s="7">
        <f t="shared" si="29"/>
        <v>3.310194351736778E-4</v>
      </c>
      <c r="K50" s="2"/>
      <c r="L50" s="6">
        <f t="shared" si="30"/>
        <v>-58.460000000000008</v>
      </c>
      <c r="M50" s="2"/>
      <c r="N50" s="7">
        <f t="shared" si="31"/>
        <v>-0.19901276595744682</v>
      </c>
      <c r="O50" s="11"/>
      <c r="P50" s="6">
        <v>2627.01</v>
      </c>
      <c r="Q50" s="2"/>
      <c r="R50" s="7">
        <f t="shared" si="32"/>
        <v>4.3148397797930309E-4</v>
      </c>
      <c r="S50" s="2"/>
      <c r="T50" s="6">
        <v>2449.02</v>
      </c>
      <c r="U50" s="2"/>
      <c r="V50" s="7">
        <f t="shared" si="33"/>
        <v>4.1845195096537044E-4</v>
      </c>
      <c r="W50" s="2"/>
      <c r="X50" s="6">
        <f t="shared" si="34"/>
        <v>177.99000000000024</v>
      </c>
      <c r="Y50" s="2"/>
      <c r="Z50" s="7">
        <f t="shared" si="35"/>
        <v>7.2678050812161693E-2</v>
      </c>
    </row>
    <row r="51" spans="1:26" s="27" customFormat="1" outlineLevel="1" collapsed="1" x14ac:dyDescent="0.25">
      <c r="A51" s="25"/>
      <c r="B51" s="13" t="str">
        <f>CONCATENATE("     ","Donations                                         ")</f>
        <v xml:space="preserve">     Donations                                         </v>
      </c>
      <c r="C51" s="13"/>
      <c r="D51" s="1">
        <f>SUM(OSRRefD22_5x_0)</f>
        <v>11130.09</v>
      </c>
      <c r="E51" s="1"/>
      <c r="F51" s="5">
        <f t="shared" si="28"/>
        <v>1.3936753221301694E-2</v>
      </c>
      <c r="G51" s="1"/>
      <c r="H51" s="1">
        <f>SUM(OSRRefH22_5x_0)</f>
        <v>9772.9500000000007</v>
      </c>
      <c r="I51" s="1"/>
      <c r="J51" s="5">
        <f t="shared" si="29"/>
        <v>1.1012889834827557E-2</v>
      </c>
      <c r="K51" s="1"/>
      <c r="L51" s="1">
        <f t="shared" si="30"/>
        <v>1357.1399999999994</v>
      </c>
      <c r="M51" s="1"/>
      <c r="N51" s="5">
        <f t="shared" si="31"/>
        <v>0.13886697465964723</v>
      </c>
      <c r="O51" s="13"/>
      <c r="P51" s="1">
        <f>SUM(OSRRefP22_5x_0)</f>
        <v>77373.83</v>
      </c>
      <c r="Q51" s="1"/>
      <c r="R51" s="5">
        <f t="shared" si="32"/>
        <v>1.2708580462158248E-2</v>
      </c>
      <c r="S51" s="1"/>
      <c r="T51" s="1">
        <f>SUM(OSRRefT22_5x_0)</f>
        <v>65981.5</v>
      </c>
      <c r="U51" s="1"/>
      <c r="V51" s="5">
        <f t="shared" si="33"/>
        <v>1.1273933002842603E-2</v>
      </c>
      <c r="W51" s="1"/>
      <c r="X51" s="1">
        <f t="shared" si="34"/>
        <v>11392.330000000002</v>
      </c>
      <c r="Y51" s="1"/>
      <c r="Z51" s="5">
        <f t="shared" si="35"/>
        <v>0.17265945757522944</v>
      </c>
    </row>
    <row r="52" spans="1:26" s="24" customFormat="1" hidden="1" outlineLevel="2" x14ac:dyDescent="0.25">
      <c r="A52" s="26"/>
      <c r="B52" s="11" t="str">
        <f>CONCATENATE("          ", "6399", " - ", "DONATION-ON CAMPUS")</f>
        <v xml:space="preserve">          6399 - DONATION-ON CAMPUS</v>
      </c>
      <c r="C52" s="11"/>
      <c r="D52" s="6">
        <v>11130.09</v>
      </c>
      <c r="E52" s="2"/>
      <c r="F52" s="7">
        <f t="shared" si="28"/>
        <v>1.3936753221301694E-2</v>
      </c>
      <c r="G52" s="2"/>
      <c r="H52" s="6">
        <v>9772.9500000000007</v>
      </c>
      <c r="I52" s="2"/>
      <c r="J52" s="7">
        <f t="shared" si="29"/>
        <v>1.1012889834827557E-2</v>
      </c>
      <c r="K52" s="2"/>
      <c r="L52" s="6">
        <f t="shared" si="30"/>
        <v>1357.1399999999994</v>
      </c>
      <c r="M52" s="2"/>
      <c r="N52" s="7">
        <f t="shared" si="31"/>
        <v>0.13886697465964723</v>
      </c>
      <c r="O52" s="11"/>
      <c r="P52" s="6">
        <v>77373.83</v>
      </c>
      <c r="Q52" s="2"/>
      <c r="R52" s="7">
        <f t="shared" si="32"/>
        <v>1.2708580462158248E-2</v>
      </c>
      <c r="S52" s="2"/>
      <c r="T52" s="6">
        <v>65981.5</v>
      </c>
      <c r="U52" s="2"/>
      <c r="V52" s="7">
        <f t="shared" si="33"/>
        <v>1.1273933002842603E-2</v>
      </c>
      <c r="W52" s="2"/>
      <c r="X52" s="6">
        <f t="shared" si="34"/>
        <v>11392.330000000002</v>
      </c>
      <c r="Y52" s="2"/>
      <c r="Z52" s="7">
        <f t="shared" si="35"/>
        <v>0.17265945757522944</v>
      </c>
    </row>
    <row r="53" spans="1:26" s="27" customFormat="1" outlineLevel="1" collapsed="1" x14ac:dyDescent="0.25">
      <c r="A53" s="25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128.84</v>
      </c>
      <c r="E53" s="1"/>
      <c r="F53" s="5">
        <f t="shared" si="28"/>
        <v>1.613294488213941E-4</v>
      </c>
      <c r="G53" s="1"/>
      <c r="H53" s="1">
        <f>SUM(OSRRefH22_6x_0)</f>
        <v>161.30000000000001</v>
      </c>
      <c r="I53" s="1"/>
      <c r="J53" s="5">
        <f t="shared" si="29"/>
        <v>1.8176488474387823E-4</v>
      </c>
      <c r="K53" s="1"/>
      <c r="L53" s="1">
        <f t="shared" si="30"/>
        <v>-32.460000000000008</v>
      </c>
      <c r="M53" s="1"/>
      <c r="N53" s="5">
        <f t="shared" si="31"/>
        <v>-0.20123992560446377</v>
      </c>
      <c r="O53" s="13"/>
      <c r="P53" s="1">
        <f>SUM(OSRRefP22_6x_0)</f>
        <v>1183.69</v>
      </c>
      <c r="Q53" s="1"/>
      <c r="R53" s="5">
        <f t="shared" si="32"/>
        <v>1.944199945543874E-4</v>
      </c>
      <c r="S53" s="1"/>
      <c r="T53" s="1">
        <f>SUM(OSRRefT22_6x_0)</f>
        <v>494.09</v>
      </c>
      <c r="U53" s="1"/>
      <c r="V53" s="5">
        <f t="shared" si="33"/>
        <v>8.4422717843251528E-5</v>
      </c>
      <c r="W53" s="1"/>
      <c r="X53" s="1">
        <f t="shared" si="34"/>
        <v>689.60000000000014</v>
      </c>
      <c r="Y53" s="1"/>
      <c r="Z53" s="5">
        <f t="shared" si="35"/>
        <v>1.3956971401971303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6">
        <v>128.84</v>
      </c>
      <c r="E54" s="2"/>
      <c r="F54" s="7">
        <f t="shared" si="28"/>
        <v>1.613294488213941E-4</v>
      </c>
      <c r="G54" s="2"/>
      <c r="H54" s="6">
        <v>161.30000000000001</v>
      </c>
      <c r="I54" s="2"/>
      <c r="J54" s="7">
        <f t="shared" si="29"/>
        <v>1.8176488474387823E-4</v>
      </c>
      <c r="K54" s="2"/>
      <c r="L54" s="6">
        <f t="shared" si="30"/>
        <v>-32.460000000000008</v>
      </c>
      <c r="M54" s="2"/>
      <c r="N54" s="7">
        <f t="shared" si="31"/>
        <v>-0.20123992560446377</v>
      </c>
      <c r="O54" s="11"/>
      <c r="P54" s="6">
        <v>1183.69</v>
      </c>
      <c r="Q54" s="2"/>
      <c r="R54" s="7">
        <f t="shared" si="32"/>
        <v>1.944199945543874E-4</v>
      </c>
      <c r="S54" s="2"/>
      <c r="T54" s="6">
        <v>494.09</v>
      </c>
      <c r="U54" s="2"/>
      <c r="V54" s="7">
        <f t="shared" si="33"/>
        <v>8.4422717843251528E-5</v>
      </c>
      <c r="W54" s="2"/>
      <c r="X54" s="6">
        <f t="shared" si="34"/>
        <v>689.60000000000014</v>
      </c>
      <c r="Y54" s="2"/>
      <c r="Z54" s="7">
        <f t="shared" si="35"/>
        <v>1.3956971401971303</v>
      </c>
    </row>
    <row r="55" spans="1:26" s="27" customFormat="1" outlineLevel="1" collapsed="1" x14ac:dyDescent="0.25">
      <c r="A55" s="25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SUM(OSRRefD22_7x_0)</f>
        <v>193.44</v>
      </c>
      <c r="E55" s="1"/>
      <c r="F55" s="5">
        <f t="shared" si="28"/>
        <v>2.4221956364491208E-4</v>
      </c>
      <c r="G55" s="1"/>
      <c r="H55" s="1">
        <f>SUM(OSRRefH22_7x_0)</f>
        <v>91.26</v>
      </c>
      <c r="I55" s="1"/>
      <c r="J55" s="5">
        <f t="shared" si="29"/>
        <v>1.0283858265174413E-4</v>
      </c>
      <c r="K55" s="1"/>
      <c r="L55" s="1">
        <f t="shared" si="30"/>
        <v>102.17999999999999</v>
      </c>
      <c r="M55" s="1"/>
      <c r="N55" s="5">
        <f t="shared" si="31"/>
        <v>1.1196581196581195</v>
      </c>
      <c r="O55" s="13"/>
      <c r="P55" s="1">
        <f>SUM(OSRRefP22_7x_0)</f>
        <v>2782.62</v>
      </c>
      <c r="Q55" s="1"/>
      <c r="R55" s="5">
        <f t="shared" si="32"/>
        <v>4.5704277745603109E-4</v>
      </c>
      <c r="S55" s="1"/>
      <c r="T55" s="1">
        <f>SUM(OSRRefT22_7x_0)</f>
        <v>2715.95</v>
      </c>
      <c r="U55" s="1"/>
      <c r="V55" s="5">
        <f t="shared" si="33"/>
        <v>4.6406096161909568E-4</v>
      </c>
      <c r="W55" s="1"/>
      <c r="X55" s="1">
        <f t="shared" si="34"/>
        <v>66.670000000000073</v>
      </c>
      <c r="Y55" s="1"/>
      <c r="Z55" s="5">
        <f t="shared" si="35"/>
        <v>2.4547580036451362E-2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6">
        <v>193.44</v>
      </c>
      <c r="E56" s="2"/>
      <c r="F56" s="7">
        <f t="shared" si="28"/>
        <v>2.4221956364491208E-4</v>
      </c>
      <c r="G56" s="2"/>
      <c r="H56" s="6">
        <v>91.26</v>
      </c>
      <c r="I56" s="2"/>
      <c r="J56" s="7">
        <f t="shared" si="29"/>
        <v>1.0283858265174413E-4</v>
      </c>
      <c r="K56" s="2"/>
      <c r="L56" s="6">
        <f t="shared" si="30"/>
        <v>102.17999999999999</v>
      </c>
      <c r="M56" s="2"/>
      <c r="N56" s="7">
        <f t="shared" si="31"/>
        <v>1.1196581196581195</v>
      </c>
      <c r="O56" s="11"/>
      <c r="P56" s="6">
        <v>2782.62</v>
      </c>
      <c r="Q56" s="2"/>
      <c r="R56" s="7">
        <f t="shared" si="32"/>
        <v>4.5704277745603109E-4</v>
      </c>
      <c r="S56" s="2"/>
      <c r="T56" s="6">
        <v>2715.95</v>
      </c>
      <c r="U56" s="2"/>
      <c r="V56" s="7">
        <f t="shared" si="33"/>
        <v>4.6406096161909568E-4</v>
      </c>
      <c r="W56" s="2"/>
      <c r="X56" s="6">
        <f t="shared" si="34"/>
        <v>66.670000000000073</v>
      </c>
      <c r="Y56" s="2"/>
      <c r="Z56" s="7">
        <f t="shared" si="35"/>
        <v>2.4547580036451362E-2</v>
      </c>
    </row>
    <row r="57" spans="1:26" s="27" customFormat="1" outlineLevel="1" collapsed="1" x14ac:dyDescent="0.25">
      <c r="A57" s="25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3.7</v>
      </c>
      <c r="U57" s="1"/>
      <c r="V57" s="5">
        <f t="shared" si="33"/>
        <v>6.3220072460489126E-7</v>
      </c>
      <c r="W57" s="1"/>
      <c r="X57" s="1">
        <f t="shared" si="34"/>
        <v>-3.7</v>
      </c>
      <c r="Y57" s="1"/>
      <c r="Z57" s="5">
        <f t="shared" si="35"/>
        <v>-1</v>
      </c>
    </row>
    <row r="58" spans="1:26" s="24" customFormat="1" hidden="1" outlineLevel="2" x14ac:dyDescent="0.25">
      <c r="A58" s="26"/>
      <c r="B58" s="11" t="str">
        <f>CONCATENATE("          ", "6307", " - ", "POSTAGE")</f>
        <v xml:space="preserve">          6307 - POSTAGE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3.7</v>
      </c>
      <c r="U58" s="2"/>
      <c r="V58" s="7">
        <f t="shared" si="33"/>
        <v>6.3220072460489126E-7</v>
      </c>
      <c r="W58" s="2"/>
      <c r="X58" s="6">
        <f t="shared" si="34"/>
        <v>-3.7</v>
      </c>
      <c r="Y58" s="2"/>
      <c r="Z58" s="7">
        <f t="shared" si="35"/>
        <v>-1</v>
      </c>
    </row>
    <row r="59" spans="1:26" s="27" customFormat="1" outlineLevel="1" collapsed="1" x14ac:dyDescent="0.25">
      <c r="A59" s="25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SUM(OSRRefD22_9x_0)</f>
        <v>480.93</v>
      </c>
      <c r="E59" s="1"/>
      <c r="F59" s="5">
        <f t="shared" si="28"/>
        <v>6.022056179887695E-4</v>
      </c>
      <c r="G59" s="1"/>
      <c r="H59" s="1">
        <f>SUM(OSRRefH22_9x_0)</f>
        <v>491.54</v>
      </c>
      <c r="I59" s="1"/>
      <c r="J59" s="5">
        <f t="shared" si="29"/>
        <v>5.5390397673283265E-4</v>
      </c>
      <c r="K59" s="1"/>
      <c r="L59" s="1">
        <f t="shared" si="30"/>
        <v>-10.610000000000014</v>
      </c>
      <c r="M59" s="1"/>
      <c r="N59" s="5">
        <f t="shared" si="31"/>
        <v>-2.1585221955486865E-2</v>
      </c>
      <c r="O59" s="13"/>
      <c r="P59" s="1">
        <f>SUM(OSRRefP22_9x_0)</f>
        <v>7405.81</v>
      </c>
      <c r="Q59" s="1"/>
      <c r="R59" s="5">
        <f t="shared" si="32"/>
        <v>1.2163974857190884E-3</v>
      </c>
      <c r="S59" s="1"/>
      <c r="T59" s="1">
        <f>SUM(OSRRefT22_9x_0)</f>
        <v>8119.63</v>
      </c>
      <c r="U59" s="1"/>
      <c r="V59" s="5">
        <f t="shared" si="33"/>
        <v>1.3873610728442197E-3</v>
      </c>
      <c r="W59" s="1"/>
      <c r="X59" s="1">
        <f t="shared" si="34"/>
        <v>-713.81999999999971</v>
      </c>
      <c r="Y59" s="1"/>
      <c r="Z59" s="5">
        <f t="shared" si="35"/>
        <v>-8.7912872877212347E-2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6">
        <v>480.93</v>
      </c>
      <c r="E60" s="2"/>
      <c r="F60" s="7">
        <f t="shared" si="28"/>
        <v>6.022056179887695E-4</v>
      </c>
      <c r="G60" s="2"/>
      <c r="H60" s="6">
        <v>491.54</v>
      </c>
      <c r="I60" s="2"/>
      <c r="J60" s="7">
        <f t="shared" si="29"/>
        <v>5.5390397673283265E-4</v>
      </c>
      <c r="K60" s="2"/>
      <c r="L60" s="6">
        <f t="shared" si="30"/>
        <v>-10.610000000000014</v>
      </c>
      <c r="M60" s="2"/>
      <c r="N60" s="7">
        <f t="shared" si="31"/>
        <v>-2.1585221955486865E-2</v>
      </c>
      <c r="O60" s="11"/>
      <c r="P60" s="6">
        <v>7405.81</v>
      </c>
      <c r="Q60" s="2"/>
      <c r="R60" s="7">
        <f t="shared" si="32"/>
        <v>1.2163974857190884E-3</v>
      </c>
      <c r="S60" s="2"/>
      <c r="T60" s="6">
        <v>8119.63</v>
      </c>
      <c r="U60" s="2"/>
      <c r="V60" s="7">
        <f t="shared" si="33"/>
        <v>1.3873610728442197E-3</v>
      </c>
      <c r="W60" s="2"/>
      <c r="X60" s="6">
        <f t="shared" si="34"/>
        <v>-713.81999999999971</v>
      </c>
      <c r="Y60" s="2"/>
      <c r="Z60" s="7">
        <f t="shared" si="35"/>
        <v>-8.7912872877212347E-2</v>
      </c>
    </row>
    <row r="61" spans="1:26" s="27" customFormat="1" outlineLevel="1" collapsed="1" x14ac:dyDescent="0.25">
      <c r="A61" s="25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SUM(OSRRefD22_10x_0)</f>
        <v>5.9</v>
      </c>
      <c r="E61" s="1"/>
      <c r="F61" s="5">
        <f t="shared" si="28"/>
        <v>7.3877968646866281E-6</v>
      </c>
      <c r="G61" s="1"/>
      <c r="H61" s="1">
        <f>SUM(OSRRefH22_10x_0)</f>
        <v>4.93</v>
      </c>
      <c r="I61" s="1"/>
      <c r="J61" s="5">
        <f t="shared" si="29"/>
        <v>5.5554921375531288E-6</v>
      </c>
      <c r="K61" s="1"/>
      <c r="L61" s="1">
        <f t="shared" si="30"/>
        <v>0.97000000000000064</v>
      </c>
      <c r="M61" s="1"/>
      <c r="N61" s="5">
        <f t="shared" si="31"/>
        <v>0.19675456389452348</v>
      </c>
      <c r="O61" s="13"/>
      <c r="P61" s="1">
        <f>SUM(OSRRefP22_10x_0)</f>
        <v>35.4</v>
      </c>
      <c r="Q61" s="1"/>
      <c r="R61" s="5">
        <f t="shared" si="32"/>
        <v>5.8144174633775007E-6</v>
      </c>
      <c r="S61" s="1"/>
      <c r="T61" s="1">
        <f>SUM(OSRRefT22_10x_0)</f>
        <v>29.58</v>
      </c>
      <c r="U61" s="1"/>
      <c r="V61" s="5">
        <f t="shared" si="33"/>
        <v>5.0541884956250486E-6</v>
      </c>
      <c r="W61" s="1"/>
      <c r="X61" s="1">
        <f t="shared" si="34"/>
        <v>5.82</v>
      </c>
      <c r="Y61" s="1"/>
      <c r="Z61" s="5">
        <f t="shared" si="35"/>
        <v>0.19675456389452334</v>
      </c>
    </row>
    <row r="62" spans="1:26" s="24" customFormat="1" hidden="1" outlineLevel="2" x14ac:dyDescent="0.25">
      <c r="A62" s="26"/>
      <c r="B62" s="11" t="str">
        <f>CONCATENATE("          ", "6314", " - ", "LIABILITY INSURANCE")</f>
        <v xml:space="preserve">          6314 - LIABILITY INSURANCE</v>
      </c>
      <c r="C62" s="11"/>
      <c r="D62" s="6">
        <v>5.9</v>
      </c>
      <c r="E62" s="2"/>
      <c r="F62" s="7">
        <f t="shared" si="28"/>
        <v>7.3877968646866281E-6</v>
      </c>
      <c r="G62" s="2"/>
      <c r="H62" s="6">
        <v>4.93</v>
      </c>
      <c r="I62" s="2"/>
      <c r="J62" s="7">
        <f t="shared" si="29"/>
        <v>5.5554921375531288E-6</v>
      </c>
      <c r="K62" s="2"/>
      <c r="L62" s="6">
        <f t="shared" si="30"/>
        <v>0.97000000000000064</v>
      </c>
      <c r="M62" s="2"/>
      <c r="N62" s="7">
        <f t="shared" si="31"/>
        <v>0.19675456389452348</v>
      </c>
      <c r="O62" s="11"/>
      <c r="P62" s="6">
        <v>35.4</v>
      </c>
      <c r="Q62" s="2"/>
      <c r="R62" s="7">
        <f t="shared" si="32"/>
        <v>5.8144174633775007E-6</v>
      </c>
      <c r="S62" s="2"/>
      <c r="T62" s="6">
        <v>29.58</v>
      </c>
      <c r="U62" s="2"/>
      <c r="V62" s="7">
        <f t="shared" si="33"/>
        <v>5.0541884956250486E-6</v>
      </c>
      <c r="W62" s="2"/>
      <c r="X62" s="6">
        <f t="shared" si="34"/>
        <v>5.82</v>
      </c>
      <c r="Y62" s="2"/>
      <c r="Z62" s="7">
        <f t="shared" si="35"/>
        <v>0.19675456389452334</v>
      </c>
    </row>
    <row r="63" spans="1:26" s="27" customFormat="1" outlineLevel="1" collapsed="1" x14ac:dyDescent="0.25">
      <c r="A63" s="25"/>
      <c r="B63" s="13" t="str">
        <f>CONCATENATE("     ","R/H Commissions                                   ")</f>
        <v xml:space="preserve">     R/H Commissions                                   </v>
      </c>
      <c r="C63" s="13"/>
      <c r="D63" s="1">
        <f>SUM(OSRRefD22_11x_0)</f>
        <v>64695.709999999992</v>
      </c>
      <c r="E63" s="1"/>
      <c r="F63" s="5">
        <f t="shared" si="28"/>
        <v>8.1009959914690718E-2</v>
      </c>
      <c r="G63" s="1"/>
      <c r="H63" s="1">
        <f>SUM(OSRRefH22_11x_0)</f>
        <v>72216.760000000009</v>
      </c>
      <c r="I63" s="1"/>
      <c r="J63" s="5">
        <f t="shared" si="29"/>
        <v>8.1379237805184856E-2</v>
      </c>
      <c r="K63" s="1"/>
      <c r="L63" s="1">
        <f t="shared" si="30"/>
        <v>-7521.0500000000175</v>
      </c>
      <c r="M63" s="1"/>
      <c r="N63" s="5">
        <f t="shared" si="31"/>
        <v>-0.1041454919882866</v>
      </c>
      <c r="O63" s="13"/>
      <c r="P63" s="1">
        <f>SUM(OSRRefP22_11x_0)</f>
        <v>471590.87</v>
      </c>
      <c r="Q63" s="1"/>
      <c r="R63" s="5">
        <f t="shared" si="32"/>
        <v>7.745836695190364E-2</v>
      </c>
      <c r="S63" s="1"/>
      <c r="T63" s="1">
        <f>SUM(OSRRefT22_11x_0)</f>
        <v>449498.97000000003</v>
      </c>
      <c r="U63" s="1"/>
      <c r="V63" s="5">
        <f t="shared" si="33"/>
        <v>7.6803668795446561E-2</v>
      </c>
      <c r="W63" s="1"/>
      <c r="X63" s="1">
        <f t="shared" si="34"/>
        <v>22091.899999999965</v>
      </c>
      <c r="Y63" s="1"/>
      <c r="Z63" s="5">
        <f t="shared" si="35"/>
        <v>4.9147832307602314E-2</v>
      </c>
    </row>
    <row r="64" spans="1:26" s="24" customFormat="1" hidden="1" outlineLevel="2" x14ac:dyDescent="0.25">
      <c r="A64" s="26"/>
      <c r="B64" s="11" t="str">
        <f>CONCATENATE("          ", "6387", " - ", "COMMISSION DUE HOUSING")</f>
        <v xml:space="preserve">          6387 - COMMISSION DUE HOUSING</v>
      </c>
      <c r="C64" s="11"/>
      <c r="D64" s="6">
        <v>64695.709999999992</v>
      </c>
      <c r="E64" s="2"/>
      <c r="F64" s="7">
        <f t="shared" si="28"/>
        <v>8.1009959914690718E-2</v>
      </c>
      <c r="G64" s="2"/>
      <c r="H64" s="6">
        <v>72216.760000000009</v>
      </c>
      <c r="I64" s="2"/>
      <c r="J64" s="7">
        <f t="shared" si="29"/>
        <v>8.1379237805184856E-2</v>
      </c>
      <c r="K64" s="2"/>
      <c r="L64" s="6">
        <f t="shared" si="30"/>
        <v>-7521.0500000000175</v>
      </c>
      <c r="M64" s="2"/>
      <c r="N64" s="7">
        <f t="shared" si="31"/>
        <v>-0.1041454919882866</v>
      </c>
      <c r="O64" s="11"/>
      <c r="P64" s="6">
        <v>471590.87</v>
      </c>
      <c r="Q64" s="2"/>
      <c r="R64" s="7">
        <f t="shared" si="32"/>
        <v>7.745836695190364E-2</v>
      </c>
      <c r="S64" s="2"/>
      <c r="T64" s="6">
        <v>449498.97000000003</v>
      </c>
      <c r="U64" s="2"/>
      <c r="V64" s="7">
        <f t="shared" si="33"/>
        <v>7.6803668795446561E-2</v>
      </c>
      <c r="W64" s="2"/>
      <c r="X64" s="6">
        <f t="shared" si="34"/>
        <v>22091.899999999965</v>
      </c>
      <c r="Y64" s="2"/>
      <c r="Z64" s="7">
        <f t="shared" si="35"/>
        <v>4.9147832307602314E-2</v>
      </c>
    </row>
    <row r="65" spans="1:26" s="27" customFormat="1" outlineLevel="1" collapsed="1" x14ac:dyDescent="0.25">
      <c r="A65" s="25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SUM(OSRRefD22_12x_0)</f>
        <v>410.22</v>
      </c>
      <c r="E65" s="1"/>
      <c r="F65" s="5">
        <f t="shared" si="28"/>
        <v>5.1366475081894049E-4</v>
      </c>
      <c r="G65" s="1"/>
      <c r="H65" s="1">
        <f>SUM(OSRRefH22_12x_0)</f>
        <v>471.23</v>
      </c>
      <c r="I65" s="1"/>
      <c r="J65" s="5">
        <f t="shared" si="29"/>
        <v>5.310171521255905E-4</v>
      </c>
      <c r="K65" s="1"/>
      <c r="L65" s="1">
        <f t="shared" si="30"/>
        <v>-61.009999999999991</v>
      </c>
      <c r="M65" s="1"/>
      <c r="N65" s="5">
        <f t="shared" si="31"/>
        <v>-0.12946968571610465</v>
      </c>
      <c r="O65" s="13"/>
      <c r="P65" s="1">
        <f>SUM(OSRRefP22_12x_0)</f>
        <v>23808.939999999995</v>
      </c>
      <c r="Q65" s="1"/>
      <c r="R65" s="5">
        <f t="shared" si="32"/>
        <v>3.9105965118787309E-3</v>
      </c>
      <c r="S65" s="1"/>
      <c r="T65" s="1">
        <f>SUM(OSRRefT22_12x_0)</f>
        <v>13103.86</v>
      </c>
      <c r="U65" s="1"/>
      <c r="V65" s="5">
        <f t="shared" si="33"/>
        <v>2.2389918343570406E-3</v>
      </c>
      <c r="W65" s="1"/>
      <c r="X65" s="1">
        <f t="shared" si="34"/>
        <v>10705.079999999994</v>
      </c>
      <c r="Y65" s="1"/>
      <c r="Z65" s="5">
        <f t="shared" si="35"/>
        <v>0.81694096243396941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22817.929999999997</v>
      </c>
      <c r="Q66" s="2"/>
      <c r="R66" s="7">
        <f t="shared" si="32"/>
        <v>3.7478240302295297E-3</v>
      </c>
      <c r="S66" s="2"/>
      <c r="T66" s="6">
        <v>10358.120000000001</v>
      </c>
      <c r="U66" s="2"/>
      <c r="V66" s="7">
        <f t="shared" si="33"/>
        <v>1.7698408025795718E-3</v>
      </c>
      <c r="W66" s="2"/>
      <c r="X66" s="6">
        <f t="shared" si="34"/>
        <v>12459.809999999996</v>
      </c>
      <c r="Y66" s="2"/>
      <c r="Z66" s="7">
        <f t="shared" si="35"/>
        <v>1.2029026502878897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6">
        <v>221.43</v>
      </c>
      <c r="E67" s="2"/>
      <c r="F67" s="7">
        <f t="shared" si="28"/>
        <v>2.7726777283856949E-4</v>
      </c>
      <c r="G67" s="2"/>
      <c r="H67" s="6">
        <v>202.4</v>
      </c>
      <c r="I67" s="2"/>
      <c r="J67" s="7">
        <f t="shared" si="29"/>
        <v>2.2807943380136984E-4</v>
      </c>
      <c r="K67" s="2"/>
      <c r="L67" s="6">
        <f t="shared" si="30"/>
        <v>19.03</v>
      </c>
      <c r="M67" s="2"/>
      <c r="N67" s="7">
        <f t="shared" si="31"/>
        <v>9.4021739130434781E-2</v>
      </c>
      <c r="O67" s="11"/>
      <c r="P67" s="6">
        <v>481.82</v>
      </c>
      <c r="Q67" s="2"/>
      <c r="R67" s="7">
        <f t="shared" si="32"/>
        <v>7.9138492152670831E-5</v>
      </c>
      <c r="S67" s="2"/>
      <c r="T67" s="6">
        <v>463.98</v>
      </c>
      <c r="U67" s="2"/>
      <c r="V67" s="7">
        <f t="shared" si="33"/>
        <v>7.9277970865453359E-5</v>
      </c>
      <c r="W67" s="2"/>
      <c r="X67" s="6">
        <f t="shared" si="34"/>
        <v>17.839999999999975</v>
      </c>
      <c r="Y67" s="2"/>
      <c r="Z67" s="7">
        <f t="shared" si="35"/>
        <v>3.844993318677524E-2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188.79</v>
      </c>
      <c r="E68" s="2"/>
      <c r="F68" s="7">
        <f t="shared" si="28"/>
        <v>2.3639697798037091E-4</v>
      </c>
      <c r="G68" s="2"/>
      <c r="H68" s="6">
        <v>268.83</v>
      </c>
      <c r="I68" s="2"/>
      <c r="J68" s="7">
        <f t="shared" si="29"/>
        <v>3.0293771832422061E-4</v>
      </c>
      <c r="K68" s="2"/>
      <c r="L68" s="6">
        <f t="shared" si="30"/>
        <v>-80.039999999999992</v>
      </c>
      <c r="M68" s="2"/>
      <c r="N68" s="7">
        <f t="shared" si="31"/>
        <v>-0.29773462783171517</v>
      </c>
      <c r="O68" s="11"/>
      <c r="P68" s="6">
        <v>509.19</v>
      </c>
      <c r="Q68" s="2"/>
      <c r="R68" s="7">
        <f t="shared" si="32"/>
        <v>8.3633989496530777E-5</v>
      </c>
      <c r="S68" s="2"/>
      <c r="T68" s="6">
        <v>2281.7600000000002</v>
      </c>
      <c r="U68" s="2"/>
      <c r="V68" s="7">
        <f t="shared" si="33"/>
        <v>3.8987306091201529E-4</v>
      </c>
      <c r="W68" s="2"/>
      <c r="X68" s="6">
        <f t="shared" si="34"/>
        <v>-1772.5700000000002</v>
      </c>
      <c r="Y68" s="2"/>
      <c r="Z68" s="7">
        <f t="shared" si="35"/>
        <v>-0.77684331393310424</v>
      </c>
    </row>
    <row r="69" spans="1:26" s="27" customFormat="1" outlineLevel="1" collapsed="1" x14ac:dyDescent="0.25">
      <c r="A69" s="25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SUM(OSRRefD22_13x_0)</f>
        <v>17824.04</v>
      </c>
      <c r="E69" s="1"/>
      <c r="F69" s="5">
        <f t="shared" ref="F69:F72" si="36">IF(D$12=0,0,D69/D$12)</f>
        <v>2.231870963187272E-2</v>
      </c>
      <c r="G69" s="1"/>
      <c r="H69" s="1">
        <f>SUM(OSRRefH22_13x_0)</f>
        <v>13276.74</v>
      </c>
      <c r="I69" s="1"/>
      <c r="J69" s="5">
        <f t="shared" ref="J69:J72" si="37">IF(H$12=0,0,H69/H$12)</f>
        <v>1.4961222045098808E-2</v>
      </c>
      <c r="K69" s="1"/>
      <c r="L69" s="1">
        <f t="shared" ref="L69:L72" si="38">+D69-H69</f>
        <v>4547.3000000000011</v>
      </c>
      <c r="M69" s="1"/>
      <c r="N69" s="5">
        <f t="shared" ref="N69:N72" si="39">IF(H69=0,0,L69/H69)</f>
        <v>0.34250124654094311</v>
      </c>
      <c r="O69" s="13"/>
      <c r="P69" s="1">
        <f>SUM(OSRRefP22_13x_0)</f>
        <v>112966.77</v>
      </c>
      <c r="Q69" s="1"/>
      <c r="R69" s="5">
        <f t="shared" ref="R69:R72" si="40">IF(P$12=0,0,P69/P$12)</f>
        <v>1.8554688143201964E-2</v>
      </c>
      <c r="S69" s="1"/>
      <c r="T69" s="1">
        <f>SUM(OSRRefT22_13x_0)</f>
        <v>86979.78</v>
      </c>
      <c r="U69" s="1"/>
      <c r="V69" s="5">
        <f t="shared" ref="V69:V72" si="41">IF(T$12=0,0,T69/T$12)</f>
        <v>1.4861805389722708E-2</v>
      </c>
      <c r="W69" s="1"/>
      <c r="X69" s="1">
        <f t="shared" ref="X69:X72" si="42">+P69-T69</f>
        <v>25986.990000000005</v>
      </c>
      <c r="Y69" s="1"/>
      <c r="Z69" s="5">
        <f t="shared" ref="Z69:Z72" si="43">IF(T69=0,0,X69/T69)</f>
        <v>0.29877047286162378</v>
      </c>
    </row>
    <row r="70" spans="1:26" s="24" customFormat="1" hidden="1" outlineLevel="2" x14ac:dyDescent="0.25">
      <c r="A70" s="26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3016.6</v>
      </c>
      <c r="E70" s="2"/>
      <c r="F70" s="7">
        <f t="shared" si="36"/>
        <v>3.7772928850870642E-3</v>
      </c>
      <c r="G70" s="2"/>
      <c r="H70" s="6"/>
      <c r="I70" s="2"/>
      <c r="J70" s="7">
        <f t="shared" si="37"/>
        <v>0</v>
      </c>
      <c r="K70" s="2"/>
      <c r="L70" s="6">
        <f t="shared" si="38"/>
        <v>3016.6</v>
      </c>
      <c r="M70" s="2"/>
      <c r="N70" s="7">
        <f t="shared" si="39"/>
        <v>0</v>
      </c>
      <c r="O70" s="11"/>
      <c r="P70" s="6">
        <v>10828.1</v>
      </c>
      <c r="Q70" s="2"/>
      <c r="R70" s="7">
        <f t="shared" si="40"/>
        <v>1.7785054727457038E-3</v>
      </c>
      <c r="S70" s="2"/>
      <c r="T70" s="6">
        <v>7555.62</v>
      </c>
      <c r="U70" s="2"/>
      <c r="V70" s="7">
        <f t="shared" si="41"/>
        <v>1.2909914699565427E-3</v>
      </c>
      <c r="W70" s="2"/>
      <c r="X70" s="6">
        <f t="shared" si="42"/>
        <v>3272.4800000000005</v>
      </c>
      <c r="Y70" s="2"/>
      <c r="Z70" s="7">
        <f t="shared" si="43"/>
        <v>0.43311865869379357</v>
      </c>
    </row>
    <row r="71" spans="1:26" s="24" customFormat="1" hidden="1" outlineLevel="2" x14ac:dyDescent="0.25">
      <c r="A71" s="26"/>
      <c r="B71" s="11" t="str">
        <f>CONCATENATE("          ", "6285", " - ", "JANITORIAL SERVICES")</f>
        <v xml:space="preserve">          6285 - JANITORIAL SERVICES</v>
      </c>
      <c r="C71" s="11"/>
      <c r="D71" s="6">
        <v>11438.01</v>
      </c>
      <c r="E71" s="2"/>
      <c r="F71" s="7">
        <f t="shared" si="36"/>
        <v>1.4322321087500728E-2</v>
      </c>
      <c r="G71" s="2"/>
      <c r="H71" s="6">
        <v>10617.57</v>
      </c>
      <c r="I71" s="2"/>
      <c r="J71" s="7">
        <f t="shared" si="37"/>
        <v>1.1964670721079103E-2</v>
      </c>
      <c r="K71" s="2"/>
      <c r="L71" s="6">
        <f t="shared" si="38"/>
        <v>820.44000000000051</v>
      </c>
      <c r="M71" s="2"/>
      <c r="N71" s="7">
        <f t="shared" si="39"/>
        <v>7.7271918150763355E-2</v>
      </c>
      <c r="O71" s="11"/>
      <c r="P71" s="6">
        <v>74085.02</v>
      </c>
      <c r="Q71" s="2"/>
      <c r="R71" s="7">
        <f t="shared" si="40"/>
        <v>1.2168396442448345E-2</v>
      </c>
      <c r="S71" s="2"/>
      <c r="T71" s="6">
        <v>57062.33</v>
      </c>
      <c r="U71" s="2"/>
      <c r="V71" s="7">
        <f t="shared" si="41"/>
        <v>9.749958479363087E-3</v>
      </c>
      <c r="W71" s="2"/>
      <c r="X71" s="6">
        <f t="shared" si="42"/>
        <v>17022.690000000002</v>
      </c>
      <c r="Y71" s="2"/>
      <c r="Z71" s="7">
        <f t="shared" si="43"/>
        <v>0.2983174714386882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6">
        <v>3369.43</v>
      </c>
      <c r="E72" s="2"/>
      <c r="F72" s="7">
        <f t="shared" si="36"/>
        <v>4.2190956592849261E-3</v>
      </c>
      <c r="G72" s="2"/>
      <c r="H72" s="6">
        <v>2659.17</v>
      </c>
      <c r="I72" s="2"/>
      <c r="J72" s="7">
        <f t="shared" si="37"/>
        <v>2.9965513240197065E-3</v>
      </c>
      <c r="K72" s="2"/>
      <c r="L72" s="6">
        <f t="shared" si="38"/>
        <v>710.25999999999976</v>
      </c>
      <c r="M72" s="2"/>
      <c r="N72" s="7">
        <f t="shared" si="39"/>
        <v>0.26709838032167921</v>
      </c>
      <c r="O72" s="11"/>
      <c r="P72" s="6">
        <v>28053.649999999998</v>
      </c>
      <c r="Q72" s="2"/>
      <c r="R72" s="7">
        <f t="shared" si="40"/>
        <v>4.6077862280079155E-3</v>
      </c>
      <c r="S72" s="2"/>
      <c r="T72" s="6">
        <v>22361.83</v>
      </c>
      <c r="U72" s="2"/>
      <c r="V72" s="7">
        <f t="shared" si="41"/>
        <v>3.8208554404030796E-3</v>
      </c>
      <c r="W72" s="2"/>
      <c r="X72" s="6">
        <f t="shared" si="42"/>
        <v>5691.8199999999961</v>
      </c>
      <c r="Y72" s="2"/>
      <c r="Z72" s="7">
        <f t="shared" si="43"/>
        <v>0.25453283564001672</v>
      </c>
    </row>
    <row r="73" spans="1:26" s="27" customFormat="1" outlineLevel="1" collapsed="1" x14ac:dyDescent="0.25">
      <c r="A73" s="25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SUM(OSRRefD22_14x_0)</f>
        <v>10267.6</v>
      </c>
      <c r="E73" s="1"/>
      <c r="F73" s="5">
        <f t="shared" ref="F73:F81" si="44">IF(D$12=0,0,D73/D$12)</f>
        <v>1.2856770014890918E-2</v>
      </c>
      <c r="G73" s="1"/>
      <c r="H73" s="1">
        <f>SUM(OSRRefH22_14x_0)</f>
        <v>18118.25</v>
      </c>
      <c r="I73" s="1"/>
      <c r="J73" s="5">
        <f t="shared" ref="J73:J81" si="45">IF(H$12=0,0,H73/H$12)</f>
        <v>2.0416997042844214E-2</v>
      </c>
      <c r="K73" s="1"/>
      <c r="L73" s="1">
        <f t="shared" ref="L73:L81" si="46">+D73-H73</f>
        <v>-7850.65</v>
      </c>
      <c r="M73" s="1"/>
      <c r="N73" s="5">
        <f t="shared" ref="N73:N81" si="47">IF(H73=0,0,L73/H73)</f>
        <v>-0.43330067749368728</v>
      </c>
      <c r="O73" s="13"/>
      <c r="P73" s="1">
        <f>SUM(OSRRefP22_14x_0)</f>
        <v>134596.37</v>
      </c>
      <c r="Q73" s="1"/>
      <c r="R73" s="5">
        <f t="shared" ref="R73:R81" si="48">IF(P$12=0,0,P73/P$12)</f>
        <v>2.2107330063141795E-2</v>
      </c>
      <c r="S73" s="1"/>
      <c r="T73" s="1">
        <f>SUM(OSRRefT22_14x_0)</f>
        <v>131743.33000000002</v>
      </c>
      <c r="U73" s="1"/>
      <c r="V73" s="5">
        <f t="shared" ref="V73:V81" si="49">IF(T$12=0,0,T73/T$12)</f>
        <v>2.2510332077800354E-2</v>
      </c>
      <c r="W73" s="1"/>
      <c r="X73" s="1">
        <f t="shared" ref="X73:X81" si="50">+P73-T73</f>
        <v>2853.039999999979</v>
      </c>
      <c r="Y73" s="1"/>
      <c r="Z73" s="5">
        <f t="shared" ref="Z73:Z81" si="51">IF(T73=0,0,X73/T73)</f>
        <v>2.1656048924829658E-2</v>
      </c>
    </row>
    <row r="74" spans="1:26" s="24" customFormat="1" hidden="1" outlineLevel="2" x14ac:dyDescent="0.25">
      <c r="A74" s="26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100</v>
      </c>
      <c r="Q74" s="2"/>
      <c r="R74" s="7">
        <f t="shared" si="48"/>
        <v>1.6424908088637008E-5</v>
      </c>
      <c r="S74" s="2"/>
      <c r="T74" s="6">
        <v>30.98</v>
      </c>
      <c r="U74" s="2"/>
      <c r="V74" s="7">
        <f t="shared" si="49"/>
        <v>5.2933995806106834E-6</v>
      </c>
      <c r="W74" s="2"/>
      <c r="X74" s="6">
        <f t="shared" si="50"/>
        <v>69.02</v>
      </c>
      <c r="Y74" s="2"/>
      <c r="Z74" s="7">
        <f t="shared" si="51"/>
        <v>2.2278889606197545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6">
        <v>4978.47</v>
      </c>
      <c r="E75" s="2"/>
      <c r="F75" s="7">
        <f t="shared" si="44"/>
        <v>6.2338856028705822E-3</v>
      </c>
      <c r="G75" s="2"/>
      <c r="H75" s="6">
        <v>10986.61</v>
      </c>
      <c r="I75" s="2"/>
      <c r="J75" s="7">
        <f t="shared" si="45"/>
        <v>1.2380532550377805E-2</v>
      </c>
      <c r="K75" s="2"/>
      <c r="L75" s="6">
        <f t="shared" si="46"/>
        <v>-6008.14</v>
      </c>
      <c r="M75" s="2"/>
      <c r="N75" s="7">
        <f t="shared" si="47"/>
        <v>-0.54686022349023033</v>
      </c>
      <c r="O75" s="11"/>
      <c r="P75" s="6">
        <v>50195.19</v>
      </c>
      <c r="Q75" s="2"/>
      <c r="R75" s="7">
        <f t="shared" si="48"/>
        <v>8.2445138224167148E-3</v>
      </c>
      <c r="S75" s="2"/>
      <c r="T75" s="6">
        <v>59610.3</v>
      </c>
      <c r="U75" s="2"/>
      <c r="V75" s="7">
        <f t="shared" si="49"/>
        <v>1.018531752808512E-2</v>
      </c>
      <c r="W75" s="2"/>
      <c r="X75" s="6">
        <f t="shared" si="50"/>
        <v>-9415.11</v>
      </c>
      <c r="Y75" s="2"/>
      <c r="Z75" s="7">
        <f t="shared" si="51"/>
        <v>-0.15794434854379194</v>
      </c>
    </row>
    <row r="76" spans="1:26" s="24" customFormat="1" hidden="1" outlineLevel="2" x14ac:dyDescent="0.25">
      <c r="A76" s="26"/>
      <c r="B76" s="11" t="str">
        <f>CONCATENATE("          ", "6239", " - ", "KITCHEN SUPPLIES")</f>
        <v xml:space="preserve">          6239 - KITCHEN SUPPLIES</v>
      </c>
      <c r="C76" s="11"/>
      <c r="D76" s="6">
        <v>357.36</v>
      </c>
      <c r="E76" s="2"/>
      <c r="F76" s="7">
        <f t="shared" si="44"/>
        <v>4.4747509958718872E-4</v>
      </c>
      <c r="G76" s="2"/>
      <c r="H76" s="6">
        <v>2052.94</v>
      </c>
      <c r="I76" s="2"/>
      <c r="J76" s="7">
        <f t="shared" si="45"/>
        <v>2.3134060910483408E-3</v>
      </c>
      <c r="K76" s="2"/>
      <c r="L76" s="6">
        <f t="shared" si="46"/>
        <v>-1695.58</v>
      </c>
      <c r="M76" s="2"/>
      <c r="N76" s="7">
        <f t="shared" si="47"/>
        <v>-0.82592769394137178</v>
      </c>
      <c r="O76" s="11"/>
      <c r="P76" s="6">
        <v>21628.190000000002</v>
      </c>
      <c r="Q76" s="2"/>
      <c r="R76" s="7">
        <f t="shared" si="48"/>
        <v>3.552410328735781E-3</v>
      </c>
      <c r="S76" s="2"/>
      <c r="T76" s="6">
        <v>14300.49</v>
      </c>
      <c r="U76" s="2"/>
      <c r="V76" s="7">
        <f t="shared" si="49"/>
        <v>2.4434540919472973E-3</v>
      </c>
      <c r="W76" s="2"/>
      <c r="X76" s="6">
        <f t="shared" si="50"/>
        <v>7327.7000000000025</v>
      </c>
      <c r="Y76" s="2"/>
      <c r="Z76" s="7">
        <f t="shared" si="51"/>
        <v>0.51240901535541805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6">
        <v>611.46</v>
      </c>
      <c r="E77" s="2"/>
      <c r="F77" s="7">
        <f t="shared" si="44"/>
        <v>7.656512323527603E-4</v>
      </c>
      <c r="G77" s="2"/>
      <c r="H77" s="6">
        <v>214.14</v>
      </c>
      <c r="I77" s="2"/>
      <c r="J77" s="7">
        <f t="shared" si="45"/>
        <v>2.4130894246158761E-4</v>
      </c>
      <c r="K77" s="2"/>
      <c r="L77" s="6">
        <f t="shared" si="46"/>
        <v>397.32000000000005</v>
      </c>
      <c r="M77" s="2"/>
      <c r="N77" s="7">
        <f t="shared" si="47"/>
        <v>1.8554216867469884</v>
      </c>
      <c r="O77" s="11"/>
      <c r="P77" s="6">
        <v>26706.15</v>
      </c>
      <c r="Q77" s="2"/>
      <c r="R77" s="7">
        <f t="shared" si="48"/>
        <v>4.3864605915135326E-3</v>
      </c>
      <c r="S77" s="2"/>
      <c r="T77" s="6">
        <v>6971.91</v>
      </c>
      <c r="U77" s="2"/>
      <c r="V77" s="7">
        <f t="shared" si="49"/>
        <v>1.1912558253729965E-3</v>
      </c>
      <c r="W77" s="2"/>
      <c r="X77" s="6">
        <f t="shared" si="50"/>
        <v>19734.240000000002</v>
      </c>
      <c r="Y77" s="2"/>
      <c r="Z77" s="7">
        <f t="shared" si="51"/>
        <v>2.8305356781714051</v>
      </c>
    </row>
    <row r="78" spans="1:26" s="24" customFormat="1" hidden="1" outlineLevel="2" x14ac:dyDescent="0.25">
      <c r="A78" s="26"/>
      <c r="B78" s="11" t="str">
        <f>CONCATENATE("          ", "6243", " - ", "PAPER SUPPLIES")</f>
        <v xml:space="preserve">          6243 - PAPER SUPPLIES</v>
      </c>
      <c r="C78" s="11"/>
      <c r="D78" s="6">
        <v>4311.9399999999996</v>
      </c>
      <c r="E78" s="2"/>
      <c r="F78" s="7">
        <f t="shared" si="44"/>
        <v>5.3992774258842125E-3</v>
      </c>
      <c r="G78" s="2"/>
      <c r="H78" s="6">
        <v>4864.5600000000004</v>
      </c>
      <c r="I78" s="2"/>
      <c r="J78" s="7">
        <f t="shared" si="45"/>
        <v>5.4817494589564806E-3</v>
      </c>
      <c r="K78" s="2"/>
      <c r="L78" s="6">
        <f t="shared" si="46"/>
        <v>-552.6200000000008</v>
      </c>
      <c r="M78" s="2"/>
      <c r="N78" s="7">
        <f t="shared" si="47"/>
        <v>-0.11360123012153221</v>
      </c>
      <c r="O78" s="11"/>
      <c r="P78" s="6">
        <v>37832.97</v>
      </c>
      <c r="Q78" s="2"/>
      <c r="R78" s="7">
        <f t="shared" si="48"/>
        <v>6.2140305497016129E-3</v>
      </c>
      <c r="S78" s="2"/>
      <c r="T78" s="6">
        <v>40868.230000000003</v>
      </c>
      <c r="U78" s="2"/>
      <c r="V78" s="7">
        <f t="shared" si="49"/>
        <v>6.9829525998160412E-3</v>
      </c>
      <c r="W78" s="2"/>
      <c r="X78" s="6">
        <f t="shared" si="50"/>
        <v>-3035.260000000002</v>
      </c>
      <c r="Y78" s="2"/>
      <c r="Z78" s="7">
        <f t="shared" si="51"/>
        <v>-7.4269426397962468E-2</v>
      </c>
    </row>
    <row r="79" spans="1:26" s="24" customFormat="1" hidden="1" outlineLevel="2" x14ac:dyDescent="0.25">
      <c r="A79" s="26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1"/>
      <c r="P79" s="6">
        <v>1351.44</v>
      </c>
      <c r="Q79" s="2"/>
      <c r="R79" s="7">
        <f t="shared" si="48"/>
        <v>2.2197277787307598E-4</v>
      </c>
      <c r="S79" s="2"/>
      <c r="T79" s="6">
        <v>1828.87</v>
      </c>
      <c r="U79" s="2"/>
      <c r="V79" s="7">
        <f t="shared" si="49"/>
        <v>3.1248998356976952E-4</v>
      </c>
      <c r="W79" s="2"/>
      <c r="X79" s="6">
        <f t="shared" si="50"/>
        <v>-477.42999999999984</v>
      </c>
      <c r="Y79" s="2"/>
      <c r="Z79" s="7">
        <f t="shared" si="51"/>
        <v>-0.26105190636841319</v>
      </c>
    </row>
    <row r="80" spans="1:26" s="24" customFormat="1" hidden="1" outlineLevel="2" x14ac:dyDescent="0.25">
      <c r="A80" s="26"/>
      <c r="B80" s="11" t="str">
        <f>CONCATENATE("          ", "6247", " - ", "STORE SUPPLIES")</f>
        <v xml:space="preserve">          6247 - STORE SUPPLIES</v>
      </c>
      <c r="C80" s="11"/>
      <c r="D80" s="6">
        <v>8.3699999999999992</v>
      </c>
      <c r="E80" s="2"/>
      <c r="F80" s="7">
        <f t="shared" si="44"/>
        <v>1.0480654196174079E-5</v>
      </c>
      <c r="G80" s="2"/>
      <c r="H80" s="6"/>
      <c r="I80" s="2"/>
      <c r="J80" s="7">
        <f t="shared" si="45"/>
        <v>0</v>
      </c>
      <c r="K80" s="2"/>
      <c r="L80" s="6">
        <f t="shared" si="46"/>
        <v>8.3699999999999992</v>
      </c>
      <c r="M80" s="2"/>
      <c r="N80" s="7">
        <f t="shared" si="47"/>
        <v>0</v>
      </c>
      <c r="O80" s="11"/>
      <c r="P80" s="6">
        <v>667.78</v>
      </c>
      <c r="Q80" s="2"/>
      <c r="R80" s="7">
        <f t="shared" si="48"/>
        <v>1.0968225123430021E-4</v>
      </c>
      <c r="S80" s="2"/>
      <c r="T80" s="6">
        <v>-2030.04</v>
      </c>
      <c r="U80" s="2"/>
      <c r="V80" s="7">
        <f t="shared" si="49"/>
        <v>-3.4686290783159817E-4</v>
      </c>
      <c r="W80" s="2"/>
      <c r="X80" s="6">
        <f t="shared" si="50"/>
        <v>2697.8199999999997</v>
      </c>
      <c r="Y80" s="2"/>
      <c r="Z80" s="7">
        <f t="shared" si="51"/>
        <v>-1.3289491832673246</v>
      </c>
    </row>
    <row r="81" spans="1:26" s="24" customFormat="1" hidden="1" outlineLevel="2" x14ac:dyDescent="0.25">
      <c r="A81" s="26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-3885.35</v>
      </c>
      <c r="Q81" s="2"/>
      <c r="R81" s="7">
        <f t="shared" si="48"/>
        <v>-6.3816516642185796E-4</v>
      </c>
      <c r="S81" s="2"/>
      <c r="T81" s="6">
        <v>10162.59</v>
      </c>
      <c r="U81" s="2"/>
      <c r="V81" s="7">
        <f t="shared" si="49"/>
        <v>1.7364315572601138E-3</v>
      </c>
      <c r="W81" s="2"/>
      <c r="X81" s="6">
        <f t="shared" si="50"/>
        <v>-14047.94</v>
      </c>
      <c r="Y81" s="2"/>
      <c r="Z81" s="7">
        <f t="shared" si="51"/>
        <v>-1.3823188773727957</v>
      </c>
    </row>
    <row r="82" spans="1:26" s="27" customFormat="1" outlineLevel="1" collapsed="1" x14ac:dyDescent="0.25">
      <c r="A82" s="25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SUM(OSRRefD22_15x_0)</f>
        <v>738.55</v>
      </c>
      <c r="E82" s="1"/>
      <c r="F82" s="5">
        <f t="shared" ref="F82:F88" si="52">IF(D$12=0,0,D82/D$12)</f>
        <v>9.2478938549395053E-4</v>
      </c>
      <c r="G82" s="1"/>
      <c r="H82" s="1">
        <f>SUM(OSRRefH22_15x_0)</f>
        <v>747.8</v>
      </c>
      <c r="I82" s="1"/>
      <c r="J82" s="5">
        <f t="shared" ref="J82:J88" si="53">IF(H$12=0,0,H82/H$12)</f>
        <v>8.4267688041830217E-4</v>
      </c>
      <c r="K82" s="1"/>
      <c r="L82" s="1">
        <f t="shared" ref="L82:L88" si="54">+D82-H82</f>
        <v>-9.25</v>
      </c>
      <c r="M82" s="1"/>
      <c r="N82" s="5">
        <f t="shared" ref="N82:N88" si="55">IF(H82=0,0,L82/H82)</f>
        <v>-1.2369617544798076E-2</v>
      </c>
      <c r="O82" s="13"/>
      <c r="P82" s="1">
        <f>SUM(OSRRefP22_15x_0)</f>
        <v>3691.05</v>
      </c>
      <c r="Q82" s="1"/>
      <c r="R82" s="5">
        <f t="shared" ref="R82:R88" si="56">IF(P$12=0,0,P82/P$12)</f>
        <v>6.0625157000563626E-4</v>
      </c>
      <c r="S82" s="1"/>
      <c r="T82" s="1">
        <f>SUM(OSRRefT22_15x_0)</f>
        <v>4204.6499999999996</v>
      </c>
      <c r="U82" s="1"/>
      <c r="V82" s="5">
        <f t="shared" ref="V82:V88" si="57">IF(T$12=0,0,T82/T$12)</f>
        <v>7.184277774891772E-4</v>
      </c>
      <c r="W82" s="1"/>
      <c r="X82" s="1">
        <f t="shared" ref="X82:X88" si="58">+P82-T82</f>
        <v>-513.59999999999945</v>
      </c>
      <c r="Y82" s="1"/>
      <c r="Z82" s="5">
        <f t="shared" ref="Z82:Z88" si="59">IF(T82=0,0,X82/T82)</f>
        <v>-0.12215047625842805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6">
        <v>738.55</v>
      </c>
      <c r="E83" s="2"/>
      <c r="F83" s="7">
        <f t="shared" si="52"/>
        <v>9.2478938549395053E-4</v>
      </c>
      <c r="G83" s="2"/>
      <c r="H83" s="6">
        <v>747.8</v>
      </c>
      <c r="I83" s="2"/>
      <c r="J83" s="7">
        <f t="shared" si="53"/>
        <v>8.4267688041830217E-4</v>
      </c>
      <c r="K83" s="2"/>
      <c r="L83" s="6">
        <f t="shared" si="54"/>
        <v>-9.25</v>
      </c>
      <c r="M83" s="2"/>
      <c r="N83" s="7">
        <f t="shared" si="55"/>
        <v>-1.2369617544798076E-2</v>
      </c>
      <c r="O83" s="11"/>
      <c r="P83" s="6">
        <v>3691.05</v>
      </c>
      <c r="Q83" s="2"/>
      <c r="R83" s="7">
        <f t="shared" si="56"/>
        <v>6.0625157000563626E-4</v>
      </c>
      <c r="S83" s="2"/>
      <c r="T83" s="6">
        <v>4204.6499999999996</v>
      </c>
      <c r="U83" s="2"/>
      <c r="V83" s="7">
        <f t="shared" si="57"/>
        <v>7.184277774891772E-4</v>
      </c>
      <c r="W83" s="2"/>
      <c r="X83" s="6">
        <f t="shared" si="58"/>
        <v>-513.59999999999945</v>
      </c>
      <c r="Y83" s="2"/>
      <c r="Z83" s="7">
        <f t="shared" si="59"/>
        <v>-0.12215047625842805</v>
      </c>
    </row>
    <row r="84" spans="1:26" s="27" customFormat="1" outlineLevel="1" collapsed="1" x14ac:dyDescent="0.25">
      <c r="A84" s="25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SUM(OSRRefD22_16x_0)</f>
        <v>1504.1</v>
      </c>
      <c r="E84" s="1"/>
      <c r="F84" s="5">
        <f t="shared" si="52"/>
        <v>1.8833873329110434E-3</v>
      </c>
      <c r="G84" s="1"/>
      <c r="H84" s="1">
        <f>SUM(OSRRefH22_16x_0)</f>
        <v>370.86</v>
      </c>
      <c r="I84" s="1"/>
      <c r="J84" s="5">
        <f t="shared" si="53"/>
        <v>4.1791274120343884E-4</v>
      </c>
      <c r="K84" s="1"/>
      <c r="L84" s="1">
        <f t="shared" si="54"/>
        <v>1133.2399999999998</v>
      </c>
      <c r="M84" s="1"/>
      <c r="N84" s="5">
        <f t="shared" si="55"/>
        <v>3.0557083535565974</v>
      </c>
      <c r="O84" s="13"/>
      <c r="P84" s="1">
        <f>SUM(OSRRefP22_16x_0)</f>
        <v>5761.37</v>
      </c>
      <c r="Q84" s="1"/>
      <c r="R84" s="5">
        <f t="shared" si="56"/>
        <v>9.46299727146306E-4</v>
      </c>
      <c r="S84" s="1"/>
      <c r="T84" s="1">
        <f>SUM(OSRRefT22_16x_0)</f>
        <v>6673.2</v>
      </c>
      <c r="U84" s="1"/>
      <c r="V84" s="5">
        <f t="shared" si="57"/>
        <v>1.1402167230900972E-3</v>
      </c>
      <c r="W84" s="1"/>
      <c r="X84" s="1">
        <f t="shared" si="58"/>
        <v>-911.82999999999993</v>
      </c>
      <c r="Y84" s="1"/>
      <c r="Z84" s="5">
        <f t="shared" si="59"/>
        <v>-0.13664059221962477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6">
        <v>1504.1</v>
      </c>
      <c r="E85" s="2"/>
      <c r="F85" s="7">
        <f t="shared" si="52"/>
        <v>1.8833873329110434E-3</v>
      </c>
      <c r="G85" s="2"/>
      <c r="H85" s="6">
        <v>370.86</v>
      </c>
      <c r="I85" s="2"/>
      <c r="J85" s="7">
        <f t="shared" si="53"/>
        <v>4.1791274120343884E-4</v>
      </c>
      <c r="K85" s="2"/>
      <c r="L85" s="6">
        <f t="shared" si="54"/>
        <v>1133.2399999999998</v>
      </c>
      <c r="M85" s="2"/>
      <c r="N85" s="7">
        <f t="shared" si="55"/>
        <v>3.0557083535565974</v>
      </c>
      <c r="O85" s="11"/>
      <c r="P85" s="6">
        <v>5761.37</v>
      </c>
      <c r="Q85" s="2"/>
      <c r="R85" s="7">
        <f t="shared" si="56"/>
        <v>9.46299727146306E-4</v>
      </c>
      <c r="S85" s="2"/>
      <c r="T85" s="6">
        <v>6673.2</v>
      </c>
      <c r="U85" s="2"/>
      <c r="V85" s="7">
        <f t="shared" si="57"/>
        <v>1.1402167230900972E-3</v>
      </c>
      <c r="W85" s="2"/>
      <c r="X85" s="6">
        <f t="shared" si="58"/>
        <v>-911.82999999999993</v>
      </c>
      <c r="Y85" s="2"/>
      <c r="Z85" s="7">
        <f t="shared" si="59"/>
        <v>-0.13664059221962477</v>
      </c>
    </row>
    <row r="86" spans="1:26" s="27" customFormat="1" outlineLevel="1" collapsed="1" x14ac:dyDescent="0.25">
      <c r="A86" s="25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SUM(OSRRefD22_17x_0)</f>
        <v>-267.27999999999997</v>
      </c>
      <c r="E86" s="1"/>
      <c r="F86" s="5">
        <f t="shared" si="52"/>
        <v>-3.3467971965990534E-4</v>
      </c>
      <c r="G86" s="1"/>
      <c r="H86" s="1">
        <f>SUM(OSRRefH22_17x_0)</f>
        <v>76.48</v>
      </c>
      <c r="I86" s="1"/>
      <c r="J86" s="5">
        <f t="shared" si="53"/>
        <v>8.6183374985814059E-5</v>
      </c>
      <c r="K86" s="1"/>
      <c r="L86" s="1">
        <f t="shared" si="54"/>
        <v>-343.76</v>
      </c>
      <c r="M86" s="1"/>
      <c r="N86" s="5">
        <f t="shared" si="55"/>
        <v>-4.4947698744769875</v>
      </c>
      <c r="O86" s="13"/>
      <c r="P86" s="1">
        <f>SUM(OSRRefP22_17x_0)</f>
        <v>1739.28</v>
      </c>
      <c r="Q86" s="1"/>
      <c r="R86" s="5">
        <f t="shared" si="56"/>
        <v>2.8567514140404574E-4</v>
      </c>
      <c r="S86" s="1"/>
      <c r="T86" s="1">
        <f>SUM(OSRRefT22_17x_0)</f>
        <v>1604.0300000000002</v>
      </c>
      <c r="U86" s="1"/>
      <c r="V86" s="5">
        <f t="shared" si="57"/>
        <v>2.7407268332107668E-4</v>
      </c>
      <c r="W86" s="1"/>
      <c r="X86" s="1">
        <f t="shared" si="58"/>
        <v>135.24999999999977</v>
      </c>
      <c r="Y86" s="1"/>
      <c r="Z86" s="5">
        <f t="shared" si="59"/>
        <v>8.4318871841548945E-2</v>
      </c>
    </row>
    <row r="87" spans="1:26" s="24" customFormat="1" hidden="1" outlineLevel="2" x14ac:dyDescent="0.25">
      <c r="A87" s="26"/>
      <c r="B87" s="11" t="str">
        <f>CONCATENATE("          ", "6292", " - ", "TRAVEL/CONFERENCE")</f>
        <v xml:space="preserve">          6292 - TRAVEL/CONFERENCE</v>
      </c>
      <c r="C87" s="11"/>
      <c r="D87" s="6">
        <v>-267.27999999999997</v>
      </c>
      <c r="E87" s="2"/>
      <c r="F87" s="7">
        <f t="shared" si="52"/>
        <v>-3.3467971965990534E-4</v>
      </c>
      <c r="G87" s="2"/>
      <c r="H87" s="6">
        <v>23.98</v>
      </c>
      <c r="I87" s="2"/>
      <c r="J87" s="7">
        <f t="shared" si="53"/>
        <v>2.7022454656901425E-5</v>
      </c>
      <c r="K87" s="2"/>
      <c r="L87" s="6">
        <f t="shared" si="54"/>
        <v>-291.26</v>
      </c>
      <c r="M87" s="2"/>
      <c r="N87" s="7">
        <f t="shared" si="55"/>
        <v>-12.145954962468723</v>
      </c>
      <c r="O87" s="11"/>
      <c r="P87" s="6">
        <v>1739.28</v>
      </c>
      <c r="Q87" s="2"/>
      <c r="R87" s="7">
        <f t="shared" si="56"/>
        <v>2.8567514140404574E-4</v>
      </c>
      <c r="S87" s="2"/>
      <c r="T87" s="6">
        <v>1033.6500000000001</v>
      </c>
      <c r="U87" s="2"/>
      <c r="V87" s="7">
        <f t="shared" si="57"/>
        <v>1.7661466999671508E-4</v>
      </c>
      <c r="W87" s="2"/>
      <c r="X87" s="6">
        <f t="shared" si="58"/>
        <v>705.62999999999988</v>
      </c>
      <c r="Y87" s="2"/>
      <c r="Z87" s="7">
        <f t="shared" si="59"/>
        <v>0.68265854012480032</v>
      </c>
    </row>
    <row r="88" spans="1:26" s="24" customFormat="1" hidden="1" outlineLevel="2" x14ac:dyDescent="0.25">
      <c r="A88" s="26"/>
      <c r="B88" s="11" t="str">
        <f>CONCATENATE("          ", "6294", " - ", "TRAVEL OPERATIONAL")</f>
        <v xml:space="preserve">          6294 - TRAVEL OPERATIONAL</v>
      </c>
      <c r="C88" s="11"/>
      <c r="D88" s="6"/>
      <c r="E88" s="2"/>
      <c r="F88" s="7">
        <f t="shared" si="52"/>
        <v>0</v>
      </c>
      <c r="G88" s="2"/>
      <c r="H88" s="6">
        <v>52.5</v>
      </c>
      <c r="I88" s="2"/>
      <c r="J88" s="7">
        <f t="shared" si="53"/>
        <v>5.916092032891263E-5</v>
      </c>
      <c r="K88" s="2"/>
      <c r="L88" s="6">
        <f t="shared" si="54"/>
        <v>-52.5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570.38</v>
      </c>
      <c r="U88" s="2"/>
      <c r="V88" s="7">
        <f t="shared" si="57"/>
        <v>9.745801332436158E-5</v>
      </c>
      <c r="W88" s="2"/>
      <c r="X88" s="6">
        <f t="shared" si="58"/>
        <v>-570.38</v>
      </c>
      <c r="Y88" s="2"/>
      <c r="Z88" s="7">
        <f t="shared" si="59"/>
        <v>-1</v>
      </c>
    </row>
    <row r="89" spans="1:26" s="61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0">
        <f>+D24-D26+D90</f>
        <v>186146.40000000014</v>
      </c>
      <c r="E92" s="14"/>
      <c r="F92" s="21">
        <f>IF(D$12=0,0,D92/D$12)</f>
        <v>0.23308674411740743</v>
      </c>
      <c r="G92" s="14"/>
      <c r="H92" s="20">
        <f>+H24-H26+H90</f>
        <v>269520.56</v>
      </c>
      <c r="I92" s="14"/>
      <c r="J92" s="21">
        <f>IF(H$12=0,0,H92/H$12)</f>
        <v>0.30371589289836032</v>
      </c>
      <c r="K92" s="15"/>
      <c r="L92" s="20">
        <f>+D92-H92</f>
        <v>-83374.159999999858</v>
      </c>
      <c r="M92" s="15"/>
      <c r="N92" s="21">
        <f>IF(H92=0,0,L92/H92)</f>
        <v>-0.3093424857829023</v>
      </c>
      <c r="O92" s="28"/>
      <c r="P92" s="20">
        <f>+P24-P26+P90</f>
        <v>1679752.7200000011</v>
      </c>
      <c r="Q92" s="14"/>
      <c r="R92" s="21">
        <f>IF(P$12=0,0,P92/P$12)</f>
        <v>0.27589784037638032</v>
      </c>
      <c r="S92" s="14"/>
      <c r="T92" s="20">
        <f>+T24-T26+T90</f>
        <v>1748604.63</v>
      </c>
      <c r="U92" s="14"/>
      <c r="V92" s="21">
        <f>IF(T$12=0,0,T92/T$12)</f>
        <v>0.29877543625228853</v>
      </c>
      <c r="W92" s="15"/>
      <c r="X92" s="20">
        <f>+P92-T92</f>
        <v>-68851.909999998752</v>
      </c>
      <c r="Y92" s="15"/>
      <c r="Z92" s="21">
        <f>IF(T92=0,0,X92/T92)</f>
        <v>-3.9375344671252963E-2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97441.41</v>
      </c>
      <c r="E94" s="4"/>
      <c r="F94" s="12">
        <f>IF(D$12=0,0,D94/D$12)</f>
        <v>0.1220131090319736</v>
      </c>
      <c r="G94" s="4"/>
      <c r="H94" s="4">
        <v>109134.88</v>
      </c>
      <c r="I94" s="4"/>
      <c r="J94" s="12">
        <f>IF(H$12=0,0,H94/H$12)</f>
        <v>0.12298133220543697</v>
      </c>
      <c r="K94" s="4"/>
      <c r="L94" s="4">
        <f>+D94-H94</f>
        <v>-11693.470000000001</v>
      </c>
      <c r="M94" s="4"/>
      <c r="N94" s="12">
        <f>IF(H94=0,0,L94/H94)</f>
        <v>-0.1071469543009531</v>
      </c>
      <c r="O94" s="10"/>
      <c r="P94" s="4">
        <v>657584.82000000007</v>
      </c>
      <c r="Q94" s="4"/>
      <c r="R94" s="12">
        <f>IF(P$12=0,0,P94/P$12)</f>
        <v>0.10800770228982912</v>
      </c>
      <c r="S94" s="4"/>
      <c r="T94" s="4">
        <v>631581.03999999992</v>
      </c>
      <c r="U94" s="4"/>
      <c r="V94" s="12">
        <f>IF(T$12=0,0,T94/T$12)</f>
        <v>0.10791513273911101</v>
      </c>
      <c r="W94" s="4"/>
      <c r="X94" s="4">
        <f>+P94-T94</f>
        <v>26003.780000000144</v>
      </c>
      <c r="Y94" s="4"/>
      <c r="Z94" s="12">
        <f>IF(T94=0,0,X94/T94)</f>
        <v>4.117251524839971E-2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2">
        <f>+D92-D94</f>
        <v>88704.990000000136</v>
      </c>
      <c r="E96" s="14"/>
      <c r="F96" s="30">
        <f>IF(D$12=0,0,D96/D$12)</f>
        <v>0.11107363508543384</v>
      </c>
      <c r="G96" s="14"/>
      <c r="H96" s="32">
        <f>+H92-H94</f>
        <v>160385.68</v>
      </c>
      <c r="I96" s="14"/>
      <c r="J96" s="30">
        <f>IF(H$12=0,0,H96/H$12)</f>
        <v>0.18073456069292335</v>
      </c>
      <c r="K96" s="15"/>
      <c r="L96" s="32">
        <f>D96-H96</f>
        <v>-71680.689999999857</v>
      </c>
      <c r="M96" s="15"/>
      <c r="N96" s="30">
        <f>IF(H96=0,0,L96/H96)</f>
        <v>-0.44692699497860322</v>
      </c>
      <c r="O96" s="28"/>
      <c r="P96" s="32">
        <f>+P92-P94</f>
        <v>1022167.9000000011</v>
      </c>
      <c r="Q96" s="14"/>
      <c r="R96" s="30">
        <f>IF(P$12=0,0,P96/P$12)</f>
        <v>0.1678901380865512</v>
      </c>
      <c r="S96" s="14"/>
      <c r="T96" s="32">
        <f>+T92-T94</f>
        <v>1117023.5899999999</v>
      </c>
      <c r="U96" s="14"/>
      <c r="V96" s="30">
        <f>IF(T$12=0,0,T96/T$12)</f>
        <v>0.19086030351317751</v>
      </c>
      <c r="W96" s="15"/>
      <c r="X96" s="32">
        <f>P96-T96</f>
        <v>-94855.68999999878</v>
      </c>
      <c r="Y96" s="15"/>
      <c r="Z96" s="30">
        <f>IF(T96=0,0,X96/T96)</f>
        <v>-8.4918251368351849E-2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6">
        <f>SUM(D96:D98)</f>
        <v>88704.990000000136</v>
      </c>
      <c r="E99" s="14"/>
      <c r="F99" s="31">
        <f>IF(D$12=0,0,D99/D$12)</f>
        <v>0.11107363508543384</v>
      </c>
      <c r="G99" s="14"/>
      <c r="H99" s="36">
        <f>SUM(H96:H98)</f>
        <v>160385.68</v>
      </c>
      <c r="I99" s="14"/>
      <c r="J99" s="31">
        <f>IF(H$12=0,0,H99/H$12)</f>
        <v>0.18073456069292335</v>
      </c>
      <c r="K99" s="15"/>
      <c r="L99" s="36">
        <f>+D99-H99</f>
        <v>-71680.689999999857</v>
      </c>
      <c r="M99" s="15"/>
      <c r="N99" s="31">
        <f>IF(H99=0,0,L99/H99)</f>
        <v>-0.44692699497860322</v>
      </c>
      <c r="O99" s="28"/>
      <c r="P99" s="36">
        <f>SUM(P96:P98)</f>
        <v>1022167.9000000011</v>
      </c>
      <c r="Q99" s="14"/>
      <c r="R99" s="31">
        <f>IF(P$12=0,0,P99/P$12)</f>
        <v>0.1678901380865512</v>
      </c>
      <c r="S99" s="14"/>
      <c r="T99" s="36">
        <f>SUM(T96:T98)</f>
        <v>1117023.5899999999</v>
      </c>
      <c r="U99" s="14"/>
      <c r="V99" s="31">
        <f>IF(T$12=0,0,T99/T$12)</f>
        <v>0.19086030351317751</v>
      </c>
      <c r="W99" s="15"/>
      <c r="X99" s="36">
        <f>+P99-T99</f>
        <v>-94855.68999999878</v>
      </c>
      <c r="Y99" s="15"/>
      <c r="Z99" s="31">
        <f>IF(T99=0,0,X99/T99)</f>
        <v>-8.4918251368351849E-2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2">
        <v>43847.453386377318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6" t="s">
        <v>313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4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","430", " - ", "Res Hall Management")</f>
        <v>Department 430 - Res Hall Management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14772.26</v>
      </c>
      <c r="E18" s="22"/>
      <c r="F18" s="33">
        <f t="shared" ref="F18:F27" si="0">IF(D$12=0,0,D18/D$12)</f>
        <v>0</v>
      </c>
      <c r="G18" s="22"/>
      <c r="H18" s="22">
        <f>SUM(OSRRefH22x_0)</f>
        <v>13220.830000000002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1551.4299999999985</v>
      </c>
      <c r="M18" s="4"/>
      <c r="N18" s="33">
        <f t="shared" ref="N18:N27" si="3">IF(H18=0,0,L18/H18)</f>
        <v>0.11734739800753798</v>
      </c>
      <c r="O18" s="10"/>
      <c r="P18" s="22">
        <f>SUM(OSRRefP22x_0)</f>
        <v>92531.800000000017</v>
      </c>
      <c r="Q18" s="22"/>
      <c r="R18" s="33">
        <f t="shared" ref="R18:R27" si="4">IF(P$12=0,0,P18/P$12)</f>
        <v>0</v>
      </c>
      <c r="S18" s="22"/>
      <c r="T18" s="22">
        <f>SUM(OSRRefT22x_0)</f>
        <v>85775.38999999997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6756.4100000000471</v>
      </c>
      <c r="Y18" s="4"/>
      <c r="Z18" s="33">
        <f t="shared" ref="Z18:Z27" si="7">IF(T18=0,0,X18/T18)</f>
        <v>7.8768630489468472E-2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5667.8899999999994</v>
      </c>
      <c r="E19" s="1"/>
      <c r="F19" s="5">
        <f t="shared" si="0"/>
        <v>0</v>
      </c>
      <c r="G19" s="1"/>
      <c r="H19" s="1">
        <f>SUM(OSRRefH22_0x_0)</f>
        <v>5614.4000000000005</v>
      </c>
      <c r="I19" s="1"/>
      <c r="J19" s="5">
        <f t="shared" si="1"/>
        <v>0</v>
      </c>
      <c r="K19" s="1"/>
      <c r="L19" s="1">
        <f t="shared" si="2"/>
        <v>53.489999999998872</v>
      </c>
      <c r="M19" s="1"/>
      <c r="N19" s="5">
        <f t="shared" si="3"/>
        <v>9.5272869763463365E-3</v>
      </c>
      <c r="O19" s="13"/>
      <c r="P19" s="1">
        <f>SUM(OSRRefP22_0x_0)</f>
        <v>35410.550000000003</v>
      </c>
      <c r="Q19" s="1"/>
      <c r="R19" s="5">
        <f t="shared" si="4"/>
        <v>0</v>
      </c>
      <c r="S19" s="1"/>
      <c r="T19" s="1">
        <f>SUM(OSRRefT22_0x_0)</f>
        <v>33098.07</v>
      </c>
      <c r="U19" s="1"/>
      <c r="V19" s="5">
        <f t="shared" si="5"/>
        <v>0</v>
      </c>
      <c r="W19" s="1"/>
      <c r="X19" s="1">
        <f t="shared" si="6"/>
        <v>2312.4800000000032</v>
      </c>
      <c r="Y19" s="1"/>
      <c r="Z19" s="5">
        <f t="shared" si="7"/>
        <v>6.9867517954974506E-2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637.97</v>
      </c>
      <c r="E20" s="2"/>
      <c r="F20" s="7">
        <f t="shared" si="0"/>
        <v>0</v>
      </c>
      <c r="G20" s="2"/>
      <c r="H20" s="6">
        <v>604.94000000000005</v>
      </c>
      <c r="I20" s="2"/>
      <c r="J20" s="7">
        <f t="shared" si="1"/>
        <v>0</v>
      </c>
      <c r="K20" s="2"/>
      <c r="L20" s="6">
        <f t="shared" si="2"/>
        <v>33.029999999999973</v>
      </c>
      <c r="M20" s="2"/>
      <c r="N20" s="7">
        <f t="shared" si="3"/>
        <v>5.4600456243594359E-2</v>
      </c>
      <c r="O20" s="11"/>
      <c r="P20" s="6">
        <v>4915.54</v>
      </c>
      <c r="Q20" s="2"/>
      <c r="R20" s="7">
        <f t="shared" si="4"/>
        <v>0</v>
      </c>
      <c r="S20" s="2"/>
      <c r="T20" s="6">
        <v>4772.2</v>
      </c>
      <c r="U20" s="2"/>
      <c r="V20" s="7">
        <f t="shared" si="5"/>
        <v>0</v>
      </c>
      <c r="W20" s="2"/>
      <c r="X20" s="6">
        <f t="shared" si="6"/>
        <v>143.34000000000015</v>
      </c>
      <c r="Y20" s="2"/>
      <c r="Z20" s="7">
        <f t="shared" si="7"/>
        <v>3.003646117094844E-2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474.04</v>
      </c>
      <c r="E21" s="2"/>
      <c r="F21" s="7">
        <f t="shared" si="0"/>
        <v>0</v>
      </c>
      <c r="G21" s="2"/>
      <c r="H21" s="6">
        <v>415.16</v>
      </c>
      <c r="I21" s="2"/>
      <c r="J21" s="7">
        <f t="shared" si="1"/>
        <v>0</v>
      </c>
      <c r="K21" s="2"/>
      <c r="L21" s="6">
        <f t="shared" si="2"/>
        <v>58.879999999999995</v>
      </c>
      <c r="M21" s="2"/>
      <c r="N21" s="7">
        <f t="shared" si="3"/>
        <v>0.14182483861643702</v>
      </c>
      <c r="O21" s="11"/>
      <c r="P21" s="6">
        <v>1902.75</v>
      </c>
      <c r="Q21" s="2"/>
      <c r="R21" s="7">
        <f t="shared" si="4"/>
        <v>0</v>
      </c>
      <c r="S21" s="2"/>
      <c r="T21" s="6">
        <v>2311.17</v>
      </c>
      <c r="U21" s="2"/>
      <c r="V21" s="7">
        <f t="shared" si="5"/>
        <v>0</v>
      </c>
      <c r="W21" s="2"/>
      <c r="X21" s="6">
        <f t="shared" si="6"/>
        <v>-408.42000000000007</v>
      </c>
      <c r="Y21" s="2"/>
      <c r="Z21" s="7">
        <f t="shared" si="7"/>
        <v>-0.17671568945598984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2730.6</v>
      </c>
      <c r="E22" s="2"/>
      <c r="F22" s="7">
        <f t="shared" si="0"/>
        <v>0</v>
      </c>
      <c r="G22" s="2"/>
      <c r="H22" s="6">
        <v>2797.72</v>
      </c>
      <c r="I22" s="2"/>
      <c r="J22" s="7">
        <f t="shared" si="1"/>
        <v>0</v>
      </c>
      <c r="K22" s="2"/>
      <c r="L22" s="6">
        <f t="shared" si="2"/>
        <v>-67.119999999999891</v>
      </c>
      <c r="M22" s="2"/>
      <c r="N22" s="7">
        <f t="shared" si="3"/>
        <v>-2.3990964070743283E-2</v>
      </c>
      <c r="O22" s="11"/>
      <c r="P22" s="6">
        <v>16383.6</v>
      </c>
      <c r="Q22" s="2"/>
      <c r="R22" s="7">
        <f t="shared" si="4"/>
        <v>0</v>
      </c>
      <c r="S22" s="2"/>
      <c r="T22" s="6">
        <v>15038.87</v>
      </c>
      <c r="U22" s="2"/>
      <c r="V22" s="7">
        <f t="shared" si="5"/>
        <v>0</v>
      </c>
      <c r="W22" s="2"/>
      <c r="X22" s="6">
        <f t="shared" si="6"/>
        <v>1344.7299999999996</v>
      </c>
      <c r="Y22" s="2"/>
      <c r="Z22" s="7">
        <f t="shared" si="7"/>
        <v>8.9416957524069265E-2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31.77</v>
      </c>
      <c r="E23" s="2"/>
      <c r="F23" s="7">
        <f t="shared" si="0"/>
        <v>0</v>
      </c>
      <c r="G23" s="2"/>
      <c r="H23" s="6">
        <v>30.84</v>
      </c>
      <c r="I23" s="2"/>
      <c r="J23" s="7">
        <f t="shared" si="1"/>
        <v>0</v>
      </c>
      <c r="K23" s="2"/>
      <c r="L23" s="6">
        <f t="shared" si="2"/>
        <v>0.92999999999999972</v>
      </c>
      <c r="M23" s="2"/>
      <c r="N23" s="7">
        <f t="shared" si="3"/>
        <v>3.0155642023346294E-2</v>
      </c>
      <c r="O23" s="11"/>
      <c r="P23" s="6">
        <v>166.57</v>
      </c>
      <c r="Q23" s="2"/>
      <c r="R23" s="7">
        <f t="shared" si="4"/>
        <v>0</v>
      </c>
      <c r="S23" s="2"/>
      <c r="T23" s="6">
        <v>171.69</v>
      </c>
      <c r="U23" s="2"/>
      <c r="V23" s="7">
        <f t="shared" si="5"/>
        <v>0</v>
      </c>
      <c r="W23" s="2"/>
      <c r="X23" s="6">
        <f t="shared" si="6"/>
        <v>-5.1200000000000045</v>
      </c>
      <c r="Y23" s="2"/>
      <c r="Z23" s="7">
        <f t="shared" si="7"/>
        <v>-2.9821189352903517E-2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568.92999999999995</v>
      </c>
      <c r="E24" s="2"/>
      <c r="F24" s="7">
        <f t="shared" si="0"/>
        <v>0</v>
      </c>
      <c r="G24" s="2"/>
      <c r="H24" s="6">
        <v>541.04999999999995</v>
      </c>
      <c r="I24" s="2"/>
      <c r="J24" s="7">
        <f t="shared" si="1"/>
        <v>0</v>
      </c>
      <c r="K24" s="2"/>
      <c r="L24" s="6">
        <f t="shared" si="2"/>
        <v>27.879999999999995</v>
      </c>
      <c r="M24" s="2"/>
      <c r="N24" s="7">
        <f t="shared" si="3"/>
        <v>5.1529433508917838E-2</v>
      </c>
      <c r="O24" s="11"/>
      <c r="P24" s="6">
        <v>3413.58</v>
      </c>
      <c r="Q24" s="2"/>
      <c r="R24" s="7">
        <f t="shared" si="4"/>
        <v>0</v>
      </c>
      <c r="S24" s="2"/>
      <c r="T24" s="6">
        <v>3508.95</v>
      </c>
      <c r="U24" s="2"/>
      <c r="V24" s="7">
        <f t="shared" si="5"/>
        <v>0</v>
      </c>
      <c r="W24" s="2"/>
      <c r="X24" s="6">
        <f t="shared" si="6"/>
        <v>-95.369999999999891</v>
      </c>
      <c r="Y24" s="2"/>
      <c r="Z24" s="7">
        <f t="shared" si="7"/>
        <v>-2.7179070662163865E-2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752.4</v>
      </c>
      <c r="E25" s="2"/>
      <c r="F25" s="7">
        <f t="shared" si="0"/>
        <v>0</v>
      </c>
      <c r="G25" s="2"/>
      <c r="H25" s="6">
        <v>730.48</v>
      </c>
      <c r="I25" s="2"/>
      <c r="J25" s="7">
        <f t="shared" si="1"/>
        <v>0</v>
      </c>
      <c r="K25" s="2"/>
      <c r="L25" s="6">
        <f t="shared" si="2"/>
        <v>21.919999999999959</v>
      </c>
      <c r="M25" s="2"/>
      <c r="N25" s="7">
        <f t="shared" si="3"/>
        <v>3.0007666192092813E-2</v>
      </c>
      <c r="O25" s="11"/>
      <c r="P25" s="6">
        <v>5231.05</v>
      </c>
      <c r="Q25" s="2"/>
      <c r="R25" s="7">
        <f t="shared" si="4"/>
        <v>0</v>
      </c>
      <c r="S25" s="2"/>
      <c r="T25" s="6">
        <v>3960.52</v>
      </c>
      <c r="U25" s="2"/>
      <c r="V25" s="7">
        <f t="shared" si="5"/>
        <v>0</v>
      </c>
      <c r="W25" s="2"/>
      <c r="X25" s="6">
        <f t="shared" si="6"/>
        <v>1270.5300000000002</v>
      </c>
      <c r="Y25" s="2"/>
      <c r="Z25" s="7">
        <f t="shared" si="7"/>
        <v>0.32079878399806089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375.68</v>
      </c>
      <c r="E26" s="2"/>
      <c r="F26" s="7">
        <f t="shared" si="0"/>
        <v>0</v>
      </c>
      <c r="G26" s="2"/>
      <c r="H26" s="6">
        <v>364.74</v>
      </c>
      <c r="I26" s="2"/>
      <c r="J26" s="7">
        <f t="shared" si="1"/>
        <v>0</v>
      </c>
      <c r="K26" s="2"/>
      <c r="L26" s="6">
        <f t="shared" si="2"/>
        <v>10.939999999999998</v>
      </c>
      <c r="M26" s="2"/>
      <c r="N26" s="7">
        <f t="shared" si="3"/>
        <v>2.9993968306190704E-2</v>
      </c>
      <c r="O26" s="11"/>
      <c r="P26" s="6">
        <v>2672.42</v>
      </c>
      <c r="Q26" s="2"/>
      <c r="R26" s="7">
        <f t="shared" si="4"/>
        <v>0</v>
      </c>
      <c r="S26" s="2"/>
      <c r="T26" s="6">
        <v>2491.0300000000002</v>
      </c>
      <c r="U26" s="2"/>
      <c r="V26" s="7">
        <f t="shared" si="5"/>
        <v>0</v>
      </c>
      <c r="W26" s="2"/>
      <c r="X26" s="6">
        <f t="shared" si="6"/>
        <v>181.38999999999987</v>
      </c>
      <c r="Y26" s="2"/>
      <c r="Z26" s="7">
        <f t="shared" si="7"/>
        <v>7.2817268358871576E-2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96.5</v>
      </c>
      <c r="E27" s="2"/>
      <c r="F27" s="7">
        <f t="shared" si="0"/>
        <v>0</v>
      </c>
      <c r="G27" s="2"/>
      <c r="H27" s="6">
        <v>129.47</v>
      </c>
      <c r="I27" s="2"/>
      <c r="J27" s="7">
        <f t="shared" si="1"/>
        <v>0</v>
      </c>
      <c r="K27" s="2"/>
      <c r="L27" s="6">
        <f t="shared" si="2"/>
        <v>-32.97</v>
      </c>
      <c r="M27" s="2"/>
      <c r="N27" s="7">
        <f t="shared" si="3"/>
        <v>-0.25465358770371516</v>
      </c>
      <c r="O27" s="11"/>
      <c r="P27" s="6">
        <v>725.04</v>
      </c>
      <c r="Q27" s="2"/>
      <c r="R27" s="7">
        <f t="shared" si="4"/>
        <v>0</v>
      </c>
      <c r="S27" s="2"/>
      <c r="T27" s="6">
        <v>843.64</v>
      </c>
      <c r="U27" s="2"/>
      <c r="V27" s="7">
        <f t="shared" si="5"/>
        <v>0</v>
      </c>
      <c r="W27" s="2"/>
      <c r="X27" s="6">
        <f t="shared" si="6"/>
        <v>-118.60000000000002</v>
      </c>
      <c r="Y27" s="2"/>
      <c r="Z27" s="7">
        <f t="shared" si="7"/>
        <v>-0.14058129059788538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7330.54</v>
      </c>
      <c r="E28" s="1"/>
      <c r="F28" s="5">
        <f t="shared" ref="F28:F40" si="8">IF(D$12=0,0,D28/D$12)</f>
        <v>0</v>
      </c>
      <c r="G28" s="1"/>
      <c r="H28" s="1">
        <f>SUM(OSRRefH22_1x_0)</f>
        <v>7512.41</v>
      </c>
      <c r="I28" s="1"/>
      <c r="J28" s="5">
        <f t="shared" ref="J28:J40" si="9">IF(H$12=0,0,H28/H$12)</f>
        <v>0</v>
      </c>
      <c r="K28" s="1"/>
      <c r="L28" s="1">
        <f t="shared" ref="L28:L40" si="10">+D28-H28</f>
        <v>-181.86999999999989</v>
      </c>
      <c r="M28" s="1"/>
      <c r="N28" s="5">
        <f t="shared" ref="N28:N40" si="11">IF(H28=0,0,L28/H28)</f>
        <v>-2.4209275052879155E-2</v>
      </c>
      <c r="O28" s="13"/>
      <c r="P28" s="1">
        <f>SUM(OSRRefP22_1x_0)</f>
        <v>45612.24</v>
      </c>
      <c r="Q28" s="1"/>
      <c r="R28" s="5">
        <f t="shared" ref="R28:R40" si="12">IF(P$12=0,0,P28/P$12)</f>
        <v>0</v>
      </c>
      <c r="S28" s="1"/>
      <c r="T28" s="1">
        <f>SUM(OSRRefT22_1x_0)</f>
        <v>47051.409999999996</v>
      </c>
      <c r="U28" s="1"/>
      <c r="V28" s="5">
        <f t="shared" ref="V28:V40" si="13">IF(T$12=0,0,T28/T$12)</f>
        <v>0</v>
      </c>
      <c r="W28" s="1"/>
      <c r="X28" s="1">
        <f t="shared" ref="X28:X40" si="14">+P28-T28</f>
        <v>-1439.1699999999983</v>
      </c>
      <c r="Y28" s="1"/>
      <c r="Z28" s="5">
        <f t="shared" ref="Z28:Z40" si="15">IF(T28=0,0,X28/T28)</f>
        <v>-3.0587181128046925E-2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7330.54</v>
      </c>
      <c r="E29" s="2"/>
      <c r="F29" s="7">
        <f t="shared" si="8"/>
        <v>0</v>
      </c>
      <c r="G29" s="2"/>
      <c r="H29" s="6">
        <v>7512.41</v>
      </c>
      <c r="I29" s="2"/>
      <c r="J29" s="7">
        <f t="shared" si="9"/>
        <v>0</v>
      </c>
      <c r="K29" s="2"/>
      <c r="L29" s="6">
        <f t="shared" si="10"/>
        <v>-181.86999999999989</v>
      </c>
      <c r="M29" s="2"/>
      <c r="N29" s="7">
        <f t="shared" si="11"/>
        <v>-2.4209275052879155E-2</v>
      </c>
      <c r="O29" s="11"/>
      <c r="P29" s="6">
        <v>45612.24</v>
      </c>
      <c r="Q29" s="2"/>
      <c r="R29" s="7">
        <f t="shared" si="12"/>
        <v>0</v>
      </c>
      <c r="S29" s="2"/>
      <c r="T29" s="6">
        <v>47051.409999999996</v>
      </c>
      <c r="U29" s="2"/>
      <c r="V29" s="7">
        <f t="shared" si="13"/>
        <v>0</v>
      </c>
      <c r="W29" s="2"/>
      <c r="X29" s="6">
        <f t="shared" si="14"/>
        <v>-1439.1699999999983</v>
      </c>
      <c r="Y29" s="2"/>
      <c r="Z29" s="7">
        <f t="shared" si="15"/>
        <v>-3.0587181128046925E-2</v>
      </c>
    </row>
    <row r="30" spans="1:26" s="27" customFormat="1" outlineLevel="1" collapsed="1" x14ac:dyDescent="0.25">
      <c r="A30" s="25"/>
      <c r="B30" s="13" t="str">
        <f>CONCATENATE("     ","Donations                                         ")</f>
        <v xml:space="preserve">     Donations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276</v>
      </c>
      <c r="U30" s="1"/>
      <c r="V30" s="5">
        <f t="shared" si="13"/>
        <v>0</v>
      </c>
      <c r="W30" s="1"/>
      <c r="X30" s="1">
        <f t="shared" si="14"/>
        <v>-276</v>
      </c>
      <c r="Y30" s="1"/>
      <c r="Z30" s="5">
        <f t="shared" si="15"/>
        <v>-1</v>
      </c>
    </row>
    <row r="31" spans="1:26" s="24" customFormat="1" hidden="1" outlineLevel="2" x14ac:dyDescent="0.25">
      <c r="A31" s="26"/>
      <c r="B31" s="11" t="str">
        <f>CONCATENATE("          ", "6399", " - ", "DONATION-ON CAMPUS")</f>
        <v xml:space="preserve">          6399 - DONATION-ON CAMPUS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276</v>
      </c>
      <c r="U31" s="2"/>
      <c r="V31" s="7">
        <f t="shared" si="13"/>
        <v>0</v>
      </c>
      <c r="W31" s="2"/>
      <c r="X31" s="6">
        <f t="shared" si="14"/>
        <v>-276</v>
      </c>
      <c r="Y31" s="2"/>
      <c r="Z31" s="7">
        <f t="shared" si="15"/>
        <v>-1</v>
      </c>
    </row>
    <row r="32" spans="1:26" s="27" customFormat="1" outlineLevel="1" collapsed="1" x14ac:dyDescent="0.25">
      <c r="A32" s="25"/>
      <c r="B32" s="13" t="str">
        <f>CONCATENATE("     ","Employees' Appreciation                           ")</f>
        <v xml:space="preserve">     Employees' Appreciation                           </v>
      </c>
      <c r="C32" s="13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40.9</v>
      </c>
      <c r="U32" s="1"/>
      <c r="V32" s="5">
        <f t="shared" si="13"/>
        <v>0</v>
      </c>
      <c r="W32" s="1"/>
      <c r="X32" s="1">
        <f t="shared" si="14"/>
        <v>-40.9</v>
      </c>
      <c r="Y32" s="1"/>
      <c r="Z32" s="5">
        <f t="shared" si="15"/>
        <v>-1</v>
      </c>
    </row>
    <row r="33" spans="1:26" s="24" customFormat="1" hidden="1" outlineLevel="2" x14ac:dyDescent="0.25">
      <c r="A33" s="26"/>
      <c r="B33" s="11" t="str">
        <f>CONCATENATE("          ", "6277", " - ", "EMPLOYEE APPRECIATION")</f>
        <v xml:space="preserve">          6277 - EMPLOYEE APPRECIATION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40.9</v>
      </c>
      <c r="U33" s="2"/>
      <c r="V33" s="7">
        <f t="shared" si="13"/>
        <v>0</v>
      </c>
      <c r="W33" s="2"/>
      <c r="X33" s="6">
        <f t="shared" si="14"/>
        <v>-40.9</v>
      </c>
      <c r="Y33" s="2"/>
      <c r="Z33" s="7">
        <f t="shared" si="15"/>
        <v>-1</v>
      </c>
    </row>
    <row r="34" spans="1:26" s="27" customFormat="1" outlineLevel="1" collapsed="1" x14ac:dyDescent="0.25">
      <c r="A34" s="25"/>
      <c r="B34" s="13" t="str">
        <f>CONCATENATE("     ","General                                           ")</f>
        <v xml:space="preserve">     General                                           </v>
      </c>
      <c r="C34" s="13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20.04</v>
      </c>
      <c r="I34" s="1"/>
      <c r="J34" s="5">
        <f t="shared" si="9"/>
        <v>0</v>
      </c>
      <c r="K34" s="1"/>
      <c r="L34" s="1">
        <f t="shared" si="10"/>
        <v>-20.04</v>
      </c>
      <c r="M34" s="1"/>
      <c r="N34" s="5">
        <f t="shared" si="11"/>
        <v>-1</v>
      </c>
      <c r="O34" s="13"/>
      <c r="P34" s="1">
        <f>SUM(OSRRefP22_4x_0)</f>
        <v>214.55</v>
      </c>
      <c r="Q34" s="1"/>
      <c r="R34" s="5">
        <f t="shared" si="12"/>
        <v>0</v>
      </c>
      <c r="S34" s="1"/>
      <c r="T34" s="1">
        <f>SUM(OSRRefT22_4x_0)</f>
        <v>323.31</v>
      </c>
      <c r="U34" s="1"/>
      <c r="V34" s="5">
        <f t="shared" si="13"/>
        <v>0</v>
      </c>
      <c r="W34" s="1"/>
      <c r="X34" s="1">
        <f t="shared" si="14"/>
        <v>-108.75999999999999</v>
      </c>
      <c r="Y34" s="1"/>
      <c r="Z34" s="5">
        <f t="shared" si="15"/>
        <v>-0.33639540997803963</v>
      </c>
    </row>
    <row r="35" spans="1:26" s="24" customFormat="1" hidden="1" outlineLevel="2" x14ac:dyDescent="0.25">
      <c r="A35" s="26"/>
      <c r="B35" s="11" t="str">
        <f>CONCATENATE("          ", "6279", " - ", "GENERAL EXPENSE")</f>
        <v xml:space="preserve">          6279 - GENERAL EXPENSE</v>
      </c>
      <c r="C35" s="11"/>
      <c r="D35" s="6"/>
      <c r="E35" s="2"/>
      <c r="F35" s="7">
        <f t="shared" si="8"/>
        <v>0</v>
      </c>
      <c r="G35" s="2"/>
      <c r="H35" s="6">
        <v>20.04</v>
      </c>
      <c r="I35" s="2"/>
      <c r="J35" s="7">
        <f t="shared" si="9"/>
        <v>0</v>
      </c>
      <c r="K35" s="2"/>
      <c r="L35" s="6">
        <f t="shared" si="10"/>
        <v>-20.04</v>
      </c>
      <c r="M35" s="2"/>
      <c r="N35" s="7">
        <f t="shared" si="11"/>
        <v>-1</v>
      </c>
      <c r="O35" s="11"/>
      <c r="P35" s="6">
        <v>214.55</v>
      </c>
      <c r="Q35" s="2"/>
      <c r="R35" s="7">
        <f t="shared" si="12"/>
        <v>0</v>
      </c>
      <c r="S35" s="2"/>
      <c r="T35" s="6">
        <v>323.31</v>
      </c>
      <c r="U35" s="2"/>
      <c r="V35" s="7">
        <f t="shared" si="13"/>
        <v>0</v>
      </c>
      <c r="W35" s="2"/>
      <c r="X35" s="6">
        <f t="shared" si="14"/>
        <v>-108.75999999999999</v>
      </c>
      <c r="Y35" s="2"/>
      <c r="Z35" s="7">
        <f t="shared" si="15"/>
        <v>-0.33639540997803963</v>
      </c>
    </row>
    <row r="36" spans="1:26" s="27" customFormat="1" outlineLevel="1" collapsed="1" x14ac:dyDescent="0.25">
      <c r="A36" s="25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3"/>
      <c r="P36" s="1">
        <f>SUM(OSRRefP22_5x_0)</f>
        <v>6340.43</v>
      </c>
      <c r="Q36" s="1"/>
      <c r="R36" s="5">
        <f t="shared" si="12"/>
        <v>0</v>
      </c>
      <c r="S36" s="1"/>
      <c r="T36" s="1">
        <f>SUM(OSRRefT22_5x_0)</f>
        <v>0</v>
      </c>
      <c r="U36" s="1"/>
      <c r="V36" s="5">
        <f t="shared" si="13"/>
        <v>0</v>
      </c>
      <c r="W36" s="1"/>
      <c r="X36" s="1">
        <f t="shared" si="14"/>
        <v>6340.43</v>
      </c>
      <c r="Y36" s="1"/>
      <c r="Z36" s="5">
        <f t="shared" si="15"/>
        <v>0</v>
      </c>
    </row>
    <row r="37" spans="1:26" s="24" customFormat="1" hidden="1" outlineLevel="2" x14ac:dyDescent="0.25">
      <c r="A37" s="26"/>
      <c r="B37" s="11" t="str">
        <f>CONCATENATE("          ", "6371", " - ", "COMPUTER SOFTWARE MAINTENANCE")</f>
        <v xml:space="preserve">          6371 - COMPUTER SOFTWARE MAINTENANCE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6340.43</v>
      </c>
      <c r="Q37" s="2"/>
      <c r="R37" s="7">
        <f t="shared" si="12"/>
        <v>0</v>
      </c>
      <c r="S37" s="2"/>
      <c r="T37" s="6"/>
      <c r="U37" s="2"/>
      <c r="V37" s="7">
        <f t="shared" si="13"/>
        <v>0</v>
      </c>
      <c r="W37" s="2"/>
      <c r="X37" s="6">
        <f t="shared" si="14"/>
        <v>6340.43</v>
      </c>
      <c r="Y37" s="2"/>
      <c r="Z37" s="7">
        <f t="shared" si="15"/>
        <v>0</v>
      </c>
    </row>
    <row r="38" spans="1:26" s="27" customFormat="1" outlineLevel="1" collapsed="1" x14ac:dyDescent="0.25">
      <c r="A38" s="25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SUM(OSRRefD22_6x_0)</f>
        <v>94.73</v>
      </c>
      <c r="E38" s="1"/>
      <c r="F38" s="5">
        <f t="shared" si="8"/>
        <v>0</v>
      </c>
      <c r="G38" s="1"/>
      <c r="H38" s="1">
        <f>SUM(OSRRefH22_6x_0)</f>
        <v>0</v>
      </c>
      <c r="I38" s="1"/>
      <c r="J38" s="5">
        <f t="shared" si="9"/>
        <v>0</v>
      </c>
      <c r="K38" s="1"/>
      <c r="L38" s="1">
        <f t="shared" si="10"/>
        <v>94.73</v>
      </c>
      <c r="M38" s="1"/>
      <c r="N38" s="5">
        <f t="shared" si="11"/>
        <v>0</v>
      </c>
      <c r="O38" s="13"/>
      <c r="P38" s="1">
        <f>SUM(OSRRefP22_6x_0)</f>
        <v>2433.04</v>
      </c>
      <c r="Q38" s="1"/>
      <c r="R38" s="5">
        <f t="shared" si="12"/>
        <v>0</v>
      </c>
      <c r="S38" s="1"/>
      <c r="T38" s="1">
        <f>SUM(OSRRefT22_6x_0)</f>
        <v>706.74</v>
      </c>
      <c r="U38" s="1"/>
      <c r="V38" s="5">
        <f t="shared" si="13"/>
        <v>0</v>
      </c>
      <c r="W38" s="1"/>
      <c r="X38" s="1">
        <f t="shared" si="14"/>
        <v>1726.3</v>
      </c>
      <c r="Y38" s="1"/>
      <c r="Z38" s="5">
        <f t="shared" si="15"/>
        <v>2.4426238786541017</v>
      </c>
    </row>
    <row r="39" spans="1:26" s="24" customFormat="1" hidden="1" outlineLevel="2" x14ac:dyDescent="0.25">
      <c r="A39" s="26"/>
      <c r="B39" s="11" t="str">
        <f>CONCATENATE("          ", "6241", " - ", "OFFICE EXPENSE")</f>
        <v xml:space="preserve">          6241 - OFFICE EXPENSE</v>
      </c>
      <c r="C39" s="11"/>
      <c r="D39" s="6">
        <v>94.73</v>
      </c>
      <c r="E39" s="2"/>
      <c r="F39" s="7">
        <f t="shared" si="8"/>
        <v>0</v>
      </c>
      <c r="G39" s="2"/>
      <c r="H39" s="6"/>
      <c r="I39" s="2"/>
      <c r="J39" s="7">
        <f t="shared" si="9"/>
        <v>0</v>
      </c>
      <c r="K39" s="2"/>
      <c r="L39" s="6">
        <f t="shared" si="10"/>
        <v>94.73</v>
      </c>
      <c r="M39" s="2"/>
      <c r="N39" s="7">
        <f t="shared" si="11"/>
        <v>0</v>
      </c>
      <c r="O39" s="11"/>
      <c r="P39" s="6">
        <v>2433.04</v>
      </c>
      <c r="Q39" s="2"/>
      <c r="R39" s="7">
        <f t="shared" si="12"/>
        <v>0</v>
      </c>
      <c r="S39" s="2"/>
      <c r="T39" s="6">
        <v>399.95</v>
      </c>
      <c r="U39" s="2"/>
      <c r="V39" s="7">
        <f t="shared" si="13"/>
        <v>0</v>
      </c>
      <c r="W39" s="2"/>
      <c r="X39" s="6">
        <f t="shared" si="14"/>
        <v>2033.09</v>
      </c>
      <c r="Y39" s="2"/>
      <c r="Z39" s="7">
        <f t="shared" si="15"/>
        <v>5.0833604200525064</v>
      </c>
    </row>
    <row r="40" spans="1:26" s="24" customFormat="1" hidden="1" outlineLevel="2" x14ac:dyDescent="0.25">
      <c r="A40" s="26"/>
      <c r="B40" s="11" t="str">
        <f>CONCATENATE("          ", "6245", " - ", "PRINTING")</f>
        <v xml:space="preserve">          6245 - PRINTING</v>
      </c>
      <c r="C40" s="11"/>
      <c r="D40" s="6"/>
      <c r="E40" s="2"/>
      <c r="F40" s="7">
        <f t="shared" si="8"/>
        <v>0</v>
      </c>
      <c r="G40" s="2"/>
      <c r="H40" s="6"/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306.79000000000002</v>
      </c>
      <c r="U40" s="2"/>
      <c r="V40" s="7">
        <f t="shared" si="13"/>
        <v>0</v>
      </c>
      <c r="W40" s="2"/>
      <c r="X40" s="6">
        <f t="shared" si="14"/>
        <v>-306.79000000000002</v>
      </c>
      <c r="Y40" s="2"/>
      <c r="Z40" s="7">
        <f t="shared" si="15"/>
        <v>-1</v>
      </c>
    </row>
    <row r="41" spans="1:26" s="27" customFormat="1" outlineLevel="1" collapsed="1" x14ac:dyDescent="0.25">
      <c r="A41" s="25"/>
      <c r="B41" s="13" t="str">
        <f>CONCATENATE("     ","Telephone/Data Lines                              ")</f>
        <v xml:space="preserve">     Telephone/Data Lines                              </v>
      </c>
      <c r="C41" s="13"/>
      <c r="D41" s="1">
        <f>SUM(OSRRefD22_7x_0)</f>
        <v>50</v>
      </c>
      <c r="E41" s="1"/>
      <c r="F41" s="5">
        <f t="shared" ref="F41:F46" si="16">IF(D$12=0,0,D41/D$12)</f>
        <v>0</v>
      </c>
      <c r="G41" s="1"/>
      <c r="H41" s="1">
        <f>SUM(OSRRefH22_7x_0)</f>
        <v>50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0</v>
      </c>
      <c r="M41" s="1"/>
      <c r="N41" s="5">
        <f t="shared" ref="N41:N46" si="19">IF(H41=0,0,L41/H41)</f>
        <v>0</v>
      </c>
      <c r="O41" s="13"/>
      <c r="P41" s="1">
        <f>SUM(OSRRefP22_7x_0)</f>
        <v>-600</v>
      </c>
      <c r="Q41" s="1"/>
      <c r="R41" s="5">
        <f t="shared" ref="R41:R46" si="20">IF(P$12=0,0,P41/P$12)</f>
        <v>0</v>
      </c>
      <c r="S41" s="1"/>
      <c r="T41" s="1">
        <f>SUM(OSRRefT22_7x_0)</f>
        <v>210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-810</v>
      </c>
      <c r="Y41" s="1"/>
      <c r="Z41" s="5">
        <f t="shared" ref="Z41:Z46" si="23">IF(T41=0,0,X41/T41)</f>
        <v>-3.8571428571428572</v>
      </c>
    </row>
    <row r="42" spans="1:26" s="24" customFormat="1" hidden="1" outlineLevel="2" x14ac:dyDescent="0.25">
      <c r="A42" s="26"/>
      <c r="B42" s="11" t="str">
        <f>CONCATENATE("          ", "6309", " - ", "TELEPHONE")</f>
        <v xml:space="preserve">          6309 - TELEPHONE</v>
      </c>
      <c r="C42" s="11"/>
      <c r="D42" s="6">
        <v>50</v>
      </c>
      <c r="E42" s="2"/>
      <c r="F42" s="7">
        <f t="shared" si="16"/>
        <v>0</v>
      </c>
      <c r="G42" s="2"/>
      <c r="H42" s="6">
        <v>50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-600</v>
      </c>
      <c r="Q42" s="2"/>
      <c r="R42" s="7">
        <f t="shared" si="20"/>
        <v>0</v>
      </c>
      <c r="S42" s="2"/>
      <c r="T42" s="6">
        <v>210</v>
      </c>
      <c r="U42" s="2"/>
      <c r="V42" s="7">
        <f t="shared" si="21"/>
        <v>0</v>
      </c>
      <c r="W42" s="2"/>
      <c r="X42" s="6">
        <f t="shared" si="22"/>
        <v>-810</v>
      </c>
      <c r="Y42" s="2"/>
      <c r="Z42" s="7">
        <f t="shared" si="23"/>
        <v>-3.8571428571428572</v>
      </c>
    </row>
    <row r="43" spans="1:26" s="27" customFormat="1" outlineLevel="1" collapsed="1" x14ac:dyDescent="0.25">
      <c r="A43" s="25"/>
      <c r="B43" s="13" t="str">
        <f>CONCATENATE("     ","Training                                          ")</f>
        <v xml:space="preserve">     Training                                          </v>
      </c>
      <c r="C43" s="13"/>
      <c r="D43" s="1">
        <f>SUM(OSRRefD22_8x_0)</f>
        <v>1629.1</v>
      </c>
      <c r="E43" s="1"/>
      <c r="F43" s="5">
        <f t="shared" si="16"/>
        <v>0</v>
      </c>
      <c r="G43" s="1"/>
      <c r="H43" s="1">
        <f>SUM(OSRRefH22_8x_0)</f>
        <v>0</v>
      </c>
      <c r="I43" s="1"/>
      <c r="J43" s="5">
        <f t="shared" si="17"/>
        <v>0</v>
      </c>
      <c r="K43" s="1"/>
      <c r="L43" s="1">
        <f t="shared" si="18"/>
        <v>1629.1</v>
      </c>
      <c r="M43" s="1"/>
      <c r="N43" s="5">
        <f t="shared" si="19"/>
        <v>0</v>
      </c>
      <c r="O43" s="13"/>
      <c r="P43" s="1">
        <f>SUM(OSRRefP22_8x_0)</f>
        <v>2950.22</v>
      </c>
      <c r="Q43" s="1"/>
      <c r="R43" s="5">
        <f t="shared" si="20"/>
        <v>0</v>
      </c>
      <c r="S43" s="1"/>
      <c r="T43" s="1">
        <f>SUM(OSRRefT22_8x_0)</f>
        <v>3035.31</v>
      </c>
      <c r="U43" s="1"/>
      <c r="V43" s="5">
        <f t="shared" si="21"/>
        <v>0</v>
      </c>
      <c r="W43" s="1"/>
      <c r="X43" s="1">
        <f t="shared" si="22"/>
        <v>-85.090000000000146</v>
      </c>
      <c r="Y43" s="1"/>
      <c r="Z43" s="5">
        <f t="shared" si="23"/>
        <v>-2.8033380445489964E-2</v>
      </c>
    </row>
    <row r="44" spans="1:26" s="24" customFormat="1" hidden="1" outlineLevel="2" x14ac:dyDescent="0.25">
      <c r="A44" s="26"/>
      <c r="B44" s="11" t="str">
        <f>CONCATENATE("          ", "6376", " - ", "TRAINING")</f>
        <v xml:space="preserve">          6376 - TRAINING</v>
      </c>
      <c r="C44" s="11"/>
      <c r="D44" s="6">
        <v>1629.1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1629.1</v>
      </c>
      <c r="M44" s="2"/>
      <c r="N44" s="7">
        <f t="shared" si="19"/>
        <v>0</v>
      </c>
      <c r="O44" s="11"/>
      <c r="P44" s="6">
        <v>2950.22</v>
      </c>
      <c r="Q44" s="2"/>
      <c r="R44" s="7">
        <f t="shared" si="20"/>
        <v>0</v>
      </c>
      <c r="S44" s="2"/>
      <c r="T44" s="6">
        <v>3035.31</v>
      </c>
      <c r="U44" s="2"/>
      <c r="V44" s="7">
        <f t="shared" si="21"/>
        <v>0</v>
      </c>
      <c r="W44" s="2"/>
      <c r="X44" s="6">
        <f t="shared" si="22"/>
        <v>-85.090000000000146</v>
      </c>
      <c r="Y44" s="2"/>
      <c r="Z44" s="7">
        <f t="shared" si="23"/>
        <v>-2.8033380445489964E-2</v>
      </c>
    </row>
    <row r="45" spans="1:26" s="27" customFormat="1" outlineLevel="1" collapsed="1" x14ac:dyDescent="0.25">
      <c r="A45" s="25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SUM(OSRRefD22_9x_0)</f>
        <v>0</v>
      </c>
      <c r="E45" s="1"/>
      <c r="F45" s="5">
        <f t="shared" si="16"/>
        <v>0</v>
      </c>
      <c r="G45" s="1"/>
      <c r="H45" s="1">
        <f>SUM(OSRRefH22_9x_0)</f>
        <v>23.98</v>
      </c>
      <c r="I45" s="1"/>
      <c r="J45" s="5">
        <f t="shared" si="17"/>
        <v>0</v>
      </c>
      <c r="K45" s="1"/>
      <c r="L45" s="1">
        <f t="shared" si="18"/>
        <v>-23.98</v>
      </c>
      <c r="M45" s="1"/>
      <c r="N45" s="5">
        <f t="shared" si="19"/>
        <v>-1</v>
      </c>
      <c r="O45" s="13"/>
      <c r="P45" s="1">
        <f>SUM(OSRRefP22_9x_0)</f>
        <v>170.77</v>
      </c>
      <c r="Q45" s="1"/>
      <c r="R45" s="5">
        <f t="shared" si="20"/>
        <v>0</v>
      </c>
      <c r="S45" s="1"/>
      <c r="T45" s="1">
        <f>SUM(OSRRefT22_9x_0)</f>
        <v>1033.6500000000001</v>
      </c>
      <c r="U45" s="1"/>
      <c r="V45" s="5">
        <f t="shared" si="21"/>
        <v>0</v>
      </c>
      <c r="W45" s="1"/>
      <c r="X45" s="1">
        <f t="shared" si="22"/>
        <v>-862.88000000000011</v>
      </c>
      <c r="Y45" s="1"/>
      <c r="Z45" s="5">
        <f t="shared" si="23"/>
        <v>-0.8347893387510279</v>
      </c>
    </row>
    <row r="46" spans="1:26" s="24" customFormat="1" hidden="1" outlineLevel="2" x14ac:dyDescent="0.25">
      <c r="A46" s="26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16"/>
        <v>0</v>
      </c>
      <c r="G46" s="2"/>
      <c r="H46" s="6">
        <v>23.98</v>
      </c>
      <c r="I46" s="2"/>
      <c r="J46" s="7">
        <f t="shared" si="17"/>
        <v>0</v>
      </c>
      <c r="K46" s="2"/>
      <c r="L46" s="6">
        <f t="shared" si="18"/>
        <v>-23.98</v>
      </c>
      <c r="M46" s="2"/>
      <c r="N46" s="7">
        <f t="shared" si="19"/>
        <v>-1</v>
      </c>
      <c r="O46" s="11"/>
      <c r="P46" s="6">
        <v>170.77</v>
      </c>
      <c r="Q46" s="2"/>
      <c r="R46" s="7">
        <f t="shared" si="20"/>
        <v>0</v>
      </c>
      <c r="S46" s="2"/>
      <c r="T46" s="6">
        <v>1033.6500000000001</v>
      </c>
      <c r="U46" s="2"/>
      <c r="V46" s="7">
        <f t="shared" si="21"/>
        <v>0</v>
      </c>
      <c r="W46" s="2"/>
      <c r="X46" s="6">
        <f t="shared" si="22"/>
        <v>-862.88000000000011</v>
      </c>
      <c r="Y46" s="2"/>
      <c r="Z46" s="7">
        <f t="shared" si="23"/>
        <v>-0.8347893387510279</v>
      </c>
    </row>
    <row r="47" spans="1:26" s="61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8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9" t="s">
        <v>3</v>
      </c>
      <c r="C50" s="29"/>
      <c r="D50" s="20">
        <f>+D16-D18+D48</f>
        <v>-14772.26</v>
      </c>
      <c r="E50" s="14"/>
      <c r="F50" s="21">
        <f>IF(D$12=0,0,D50/D$12)</f>
        <v>0</v>
      </c>
      <c r="G50" s="14"/>
      <c r="H50" s="20">
        <f>+H16-H18+H48</f>
        <v>-13220.830000000002</v>
      </c>
      <c r="I50" s="14"/>
      <c r="J50" s="21">
        <f>IF(H$12=0,0,H50/H$12)</f>
        <v>0</v>
      </c>
      <c r="K50" s="15"/>
      <c r="L50" s="20">
        <f>+D50-H50</f>
        <v>-1551.4299999999985</v>
      </c>
      <c r="M50" s="15"/>
      <c r="N50" s="21">
        <f>IF(H50=0,0,L50/H50)</f>
        <v>0.11734739800753798</v>
      </c>
      <c r="O50" s="28"/>
      <c r="P50" s="20">
        <f>+P16-P18+P48</f>
        <v>-92531.800000000017</v>
      </c>
      <c r="Q50" s="14"/>
      <c r="R50" s="21">
        <f>IF(P$12=0,0,P50/P$12)</f>
        <v>0</v>
      </c>
      <c r="S50" s="14"/>
      <c r="T50" s="20">
        <f>+T16-T18+T48</f>
        <v>-85775.38999999997</v>
      </c>
      <c r="U50" s="14"/>
      <c r="V50" s="21">
        <f>IF(T$12=0,0,T50/T$12)</f>
        <v>0</v>
      </c>
      <c r="W50" s="15"/>
      <c r="X50" s="20">
        <f>+P50-T50</f>
        <v>-6756.4100000000471</v>
      </c>
      <c r="Y50" s="15"/>
      <c r="Z50" s="21">
        <f>IF(T50=0,0,X50/T50)</f>
        <v>7.8768630489468472E-2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9" t="s">
        <v>4</v>
      </c>
      <c r="C54" s="29"/>
      <c r="D54" s="32">
        <f>+D50-D52</f>
        <v>-14772.26</v>
      </c>
      <c r="E54" s="14"/>
      <c r="F54" s="30">
        <f>IF(D$12=0,0,D54/D$12)</f>
        <v>0</v>
      </c>
      <c r="G54" s="14"/>
      <c r="H54" s="32">
        <f>+H50-H52</f>
        <v>-13220.830000000002</v>
      </c>
      <c r="I54" s="14"/>
      <c r="J54" s="30">
        <f>IF(H$12=0,0,H54/H$12)</f>
        <v>0</v>
      </c>
      <c r="K54" s="15"/>
      <c r="L54" s="32">
        <f>D54-H54</f>
        <v>-1551.4299999999985</v>
      </c>
      <c r="M54" s="15"/>
      <c r="N54" s="30">
        <f>IF(H54=0,0,L54/H54)</f>
        <v>0.11734739800753798</v>
      </c>
      <c r="O54" s="28"/>
      <c r="P54" s="32">
        <f>+P50-P52</f>
        <v>-92531.800000000017</v>
      </c>
      <c r="Q54" s="14"/>
      <c r="R54" s="30">
        <f>IF(P$12=0,0,P54/P$12)</f>
        <v>0</v>
      </c>
      <c r="S54" s="14"/>
      <c r="T54" s="32">
        <f>+T50-T52</f>
        <v>-85775.38999999997</v>
      </c>
      <c r="U54" s="14"/>
      <c r="V54" s="30">
        <f>IF(T$12=0,0,T54/T$12)</f>
        <v>0</v>
      </c>
      <c r="W54" s="15"/>
      <c r="X54" s="32">
        <f>P54-T54</f>
        <v>-6756.4100000000471</v>
      </c>
      <c r="Y54" s="15"/>
      <c r="Z54" s="30">
        <f>IF(T54=0,0,X54/T54)</f>
        <v>7.8768630489468472E-2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5</v>
      </c>
      <c r="C57" s="29"/>
      <c r="D57" s="36">
        <f>SUM(D54:D56)</f>
        <v>-14772.26</v>
      </c>
      <c r="E57" s="14"/>
      <c r="F57" s="31">
        <f>IF(D$12=0,0,D57/D$12)</f>
        <v>0</v>
      </c>
      <c r="G57" s="14"/>
      <c r="H57" s="36">
        <f>SUM(H54:H56)</f>
        <v>-13220.830000000002</v>
      </c>
      <c r="I57" s="14"/>
      <c r="J57" s="31">
        <f>IF(H$12=0,0,H57/H$12)</f>
        <v>0</v>
      </c>
      <c r="K57" s="15"/>
      <c r="L57" s="36">
        <f>+D57-H57</f>
        <v>-1551.4299999999985</v>
      </c>
      <c r="M57" s="15"/>
      <c r="N57" s="31">
        <f>IF(H57=0,0,L57/H57)</f>
        <v>0.11734739800753798</v>
      </c>
      <c r="O57" s="28"/>
      <c r="P57" s="36">
        <f>SUM(P54:P56)</f>
        <v>-92531.800000000017</v>
      </c>
      <c r="Q57" s="14"/>
      <c r="R57" s="31">
        <f>IF(P$12=0,0,P57/P$12)</f>
        <v>0</v>
      </c>
      <c r="S57" s="14"/>
      <c r="T57" s="36">
        <f>SUM(T54:T56)</f>
        <v>-85775.38999999997</v>
      </c>
      <c r="U57" s="14"/>
      <c r="V57" s="31">
        <f>IF(T$12=0,0,T57/T$12)</f>
        <v>0</v>
      </c>
      <c r="W57" s="15"/>
      <c r="X57" s="36">
        <f>+P57-T57</f>
        <v>-6756.4100000000471</v>
      </c>
      <c r="Y57" s="15"/>
      <c r="Z57" s="31">
        <f>IF(T57=0,0,X57/T57)</f>
        <v>7.8768630489468472E-2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A59" s="9"/>
      <c r="B59" s="62">
        <v>43847.454192395831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6" t="s">
        <v>313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4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","433", " - ", "Hillside Dining Hall")</f>
        <v>Department 433 - Hillside Dining Hall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310266.69</v>
      </c>
      <c r="E12" s="4"/>
      <c r="F12" s="12"/>
      <c r="G12" s="4"/>
      <c r="H12" s="4">
        <f>SUM(OSRRefH13x_0)</f>
        <v>345093.5</v>
      </c>
      <c r="I12" s="4"/>
      <c r="J12" s="12"/>
      <c r="K12" s="4"/>
      <c r="L12" s="4">
        <f t="shared" ref="L12:L16" si="0">+D12-H12</f>
        <v>-34826.81</v>
      </c>
      <c r="M12" s="4"/>
      <c r="N12" s="12">
        <f t="shared" ref="N12:N16" si="1">IF(H12=0,0,L12/H12)</f>
        <v>-0.10091992460014459</v>
      </c>
      <c r="O12" s="10"/>
      <c r="P12" s="4">
        <f>SUM(OSRRefP13x_0)</f>
        <v>2489581.6799999997</v>
      </c>
      <c r="Q12" s="4"/>
      <c r="R12" s="12"/>
      <c r="S12" s="4"/>
      <c r="T12" s="4">
        <f>SUM(OSRRefT13x_0)</f>
        <v>2391498.9399999995</v>
      </c>
      <c r="U12" s="4"/>
      <c r="V12" s="12"/>
      <c r="W12" s="4"/>
      <c r="X12" s="4">
        <f t="shared" ref="X12:X16" si="2">+P12-T12</f>
        <v>98082.740000000224</v>
      </c>
      <c r="Y12" s="4"/>
      <c r="Z12" s="12">
        <f t="shared" ref="Z12:Z16" si="3">IF(T12=0,0,X12/T12)</f>
        <v>4.1013081109707805E-2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--445.47</f>
        <v>445.47</v>
      </c>
      <c r="E13" s="2"/>
      <c r="F13" s="19"/>
      <c r="G13" s="2"/>
      <c r="H13" s="2">
        <f>--939.81</f>
        <v>939.81</v>
      </c>
      <c r="I13" s="2"/>
      <c r="J13" s="19"/>
      <c r="K13" s="2"/>
      <c r="L13" s="2">
        <f t="shared" si="0"/>
        <v>-494.33999999999992</v>
      </c>
      <c r="M13" s="2"/>
      <c r="N13" s="19">
        <f t="shared" si="1"/>
        <v>-0.52599993615730833</v>
      </c>
      <c r="O13" s="11"/>
      <c r="P13" s="2">
        <f>--17975.88</f>
        <v>17975.88</v>
      </c>
      <c r="Q13" s="2"/>
      <c r="R13" s="19"/>
      <c r="S13" s="2"/>
      <c r="T13" s="2">
        <f>--7367.3</f>
        <v>7367.3</v>
      </c>
      <c r="U13" s="2"/>
      <c r="V13" s="19"/>
      <c r="W13" s="2"/>
      <c r="X13" s="2">
        <f t="shared" si="2"/>
        <v>10608.580000000002</v>
      </c>
      <c r="Y13" s="2"/>
      <c r="Z13" s="19">
        <f t="shared" si="3"/>
        <v>1.4399549360009776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--303036.39</f>
        <v>303036.39</v>
      </c>
      <c r="E14" s="2"/>
      <c r="F14" s="19"/>
      <c r="G14" s="2"/>
      <c r="H14" s="2">
        <f>--336645.26</f>
        <v>336645.26</v>
      </c>
      <c r="I14" s="2"/>
      <c r="J14" s="19"/>
      <c r="K14" s="2"/>
      <c r="L14" s="2">
        <f t="shared" si="0"/>
        <v>-33608.869999999995</v>
      </c>
      <c r="M14" s="2"/>
      <c r="N14" s="19">
        <f t="shared" si="1"/>
        <v>-9.9834674636440732E-2</v>
      </c>
      <c r="O14" s="11"/>
      <c r="P14" s="2">
        <f>--2293476.82</f>
        <v>2293476.8199999998</v>
      </c>
      <c r="Q14" s="2"/>
      <c r="R14" s="19"/>
      <c r="S14" s="2"/>
      <c r="T14" s="2">
        <f>--2241900.51</f>
        <v>2241900.5099999998</v>
      </c>
      <c r="U14" s="2"/>
      <c r="V14" s="19"/>
      <c r="W14" s="2"/>
      <c r="X14" s="2">
        <f t="shared" si="2"/>
        <v>51576.310000000056</v>
      </c>
      <c r="Y14" s="2"/>
      <c r="Z14" s="19">
        <f t="shared" si="3"/>
        <v>2.3005619459893011E-2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--6784.83</f>
        <v>6784.83</v>
      </c>
      <c r="E15" s="2"/>
      <c r="F15" s="19"/>
      <c r="G15" s="2"/>
      <c r="H15" s="2">
        <f>--7508.43</f>
        <v>7508.43</v>
      </c>
      <c r="I15" s="2"/>
      <c r="J15" s="19"/>
      <c r="K15" s="2"/>
      <c r="L15" s="2">
        <f t="shared" si="0"/>
        <v>-723.60000000000036</v>
      </c>
      <c r="M15" s="2"/>
      <c r="N15" s="19">
        <f t="shared" si="1"/>
        <v>-9.6371678233665409E-2</v>
      </c>
      <c r="O15" s="11"/>
      <c r="P15" s="2">
        <f>--178128.98</f>
        <v>178128.98</v>
      </c>
      <c r="Q15" s="2"/>
      <c r="R15" s="19"/>
      <c r="S15" s="2"/>
      <c r="T15" s="2">
        <f>--141176.23</f>
        <v>141176.23000000001</v>
      </c>
      <c r="U15" s="2"/>
      <c r="V15" s="19"/>
      <c r="W15" s="2"/>
      <c r="X15" s="2">
        <f t="shared" si="2"/>
        <v>36952.75</v>
      </c>
      <c r="Y15" s="2"/>
      <c r="Z15" s="19">
        <f t="shared" si="3"/>
        <v>0.26174909189741075</v>
      </c>
    </row>
    <row r="16" spans="1:26" s="24" customFormat="1" hidden="1" outlineLevel="1" x14ac:dyDescent="0.2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-1054.9000000000001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78445.31</v>
      </c>
      <c r="E18" s="4"/>
      <c r="F18" s="12">
        <f t="shared" ref="F18:F20" si="4">IF(D$12=0,0,D18/D$12)</f>
        <v>0.25283187827865117</v>
      </c>
      <c r="G18" s="4"/>
      <c r="H18" s="4">
        <f>SUM(OSRRefH16x_0)</f>
        <v>82384.890000000014</v>
      </c>
      <c r="I18" s="4"/>
      <c r="J18" s="12">
        <f t="shared" ref="J18:J20" si="5">IF(H$12=0,0,H18/H$12)</f>
        <v>0.23873208275438398</v>
      </c>
      <c r="K18" s="4"/>
      <c r="L18" s="4">
        <f t="shared" ref="L18:L20" si="6">+D18-H18</f>
        <v>-3939.5800000000163</v>
      </c>
      <c r="M18" s="4"/>
      <c r="N18" s="12">
        <f t="shared" ref="N18:N20" si="7">IF(H18=0,0,L18/H18)</f>
        <v>-4.7819205682012998E-2</v>
      </c>
      <c r="O18" s="10"/>
      <c r="P18" s="4">
        <f>SUM(OSRRefP16x_0)</f>
        <v>594016.91999999993</v>
      </c>
      <c r="Q18" s="4"/>
      <c r="R18" s="12">
        <f t="shared" ref="R18:R20" si="8">IF(P$12=0,0,P18/P$12)</f>
        <v>0.23860109703249424</v>
      </c>
      <c r="S18" s="4"/>
      <c r="T18" s="4">
        <f>SUM(OSRRefT16x_0)</f>
        <v>574791.15</v>
      </c>
      <c r="U18" s="4"/>
      <c r="V18" s="12">
        <f t="shared" ref="V18:V20" si="9">IF(T$12=0,0,T18/T$12)</f>
        <v>0.24034764991365631</v>
      </c>
      <c r="W18" s="4"/>
      <c r="X18" s="4">
        <f t="shared" ref="X18:X20" si="10">+P18-T18</f>
        <v>19225.769999999902</v>
      </c>
      <c r="Y18" s="4"/>
      <c r="Z18" s="12">
        <f t="shared" ref="Z18:Z20" si="11">IF(T18=0,0,X18/T18)</f>
        <v>3.3448270732769458E-2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78445.31</v>
      </c>
      <c r="E19" s="2"/>
      <c r="F19" s="19">
        <f t="shared" si="4"/>
        <v>0.25283187827865117</v>
      </c>
      <c r="G19" s="2"/>
      <c r="H19" s="2">
        <v>64045.890000000007</v>
      </c>
      <c r="I19" s="2"/>
      <c r="J19" s="19">
        <f t="shared" si="5"/>
        <v>0.18558996329980137</v>
      </c>
      <c r="K19" s="2"/>
      <c r="L19" s="2">
        <f t="shared" si="6"/>
        <v>14399.419999999991</v>
      </c>
      <c r="M19" s="2"/>
      <c r="N19" s="19">
        <f t="shared" si="7"/>
        <v>0.22482972755941075</v>
      </c>
      <c r="O19" s="11"/>
      <c r="P19" s="2">
        <v>591909.91999999993</v>
      </c>
      <c r="Q19" s="2"/>
      <c r="R19" s="19">
        <f t="shared" si="8"/>
        <v>0.23775477011061552</v>
      </c>
      <c r="S19" s="2"/>
      <c r="T19" s="2">
        <v>567209.4</v>
      </c>
      <c r="U19" s="2"/>
      <c r="V19" s="19">
        <f t="shared" si="9"/>
        <v>0.23717735789588104</v>
      </c>
      <c r="W19" s="2"/>
      <c r="X19" s="2">
        <f t="shared" si="10"/>
        <v>24700.519999999902</v>
      </c>
      <c r="Y19" s="2"/>
      <c r="Z19" s="19">
        <f t="shared" si="11"/>
        <v>4.3547444735577201E-2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4"/>
        <v>0</v>
      </c>
      <c r="G20" s="2"/>
      <c r="H20" s="2">
        <v>18339</v>
      </c>
      <c r="I20" s="2"/>
      <c r="J20" s="19">
        <f t="shared" si="5"/>
        <v>5.3142119454582595E-2</v>
      </c>
      <c r="K20" s="2"/>
      <c r="L20" s="2">
        <f t="shared" si="6"/>
        <v>-18339</v>
      </c>
      <c r="M20" s="2"/>
      <c r="N20" s="19">
        <f t="shared" si="7"/>
        <v>-1</v>
      </c>
      <c r="O20" s="11"/>
      <c r="P20" s="2">
        <v>2107</v>
      </c>
      <c r="Q20" s="2"/>
      <c r="R20" s="19">
        <f t="shared" si="8"/>
        <v>8.4632692187869903E-4</v>
      </c>
      <c r="S20" s="2"/>
      <c r="T20" s="2">
        <v>7581.75</v>
      </c>
      <c r="U20" s="2"/>
      <c r="V20" s="19">
        <f t="shared" si="9"/>
        <v>3.1702920177752625E-3</v>
      </c>
      <c r="W20" s="2"/>
      <c r="X20" s="2">
        <f t="shared" si="10"/>
        <v>-5474.75</v>
      </c>
      <c r="Y20" s="2"/>
      <c r="Z20" s="19">
        <f t="shared" si="11"/>
        <v>-0.72209582220463608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0">
        <f>D12-D18</f>
        <v>231821.38</v>
      </c>
      <c r="E22" s="14"/>
      <c r="F22" s="21">
        <f>IF(D$12=0,0,D22/D$12)</f>
        <v>0.74716812172134883</v>
      </c>
      <c r="G22" s="14"/>
      <c r="H22" s="20">
        <f>H12-H18</f>
        <v>262708.61</v>
      </c>
      <c r="I22" s="14"/>
      <c r="J22" s="21">
        <f>IF(H$12=0,0,H22/H$12)</f>
        <v>0.76126791724561604</v>
      </c>
      <c r="K22" s="15"/>
      <c r="L22" s="20">
        <f>+D22-H22</f>
        <v>-30887.229999999981</v>
      </c>
      <c r="M22" s="15"/>
      <c r="N22" s="21">
        <f>IF(H22=0,0,L22/H22)</f>
        <v>-0.11757220290572122</v>
      </c>
      <c r="O22" s="28"/>
      <c r="P22" s="20">
        <f>P12-P18</f>
        <v>1895564.7599999998</v>
      </c>
      <c r="Q22" s="14"/>
      <c r="R22" s="21">
        <f>IF(P$12=0,0,P22/P$12)</f>
        <v>0.76139890296750579</v>
      </c>
      <c r="S22" s="14"/>
      <c r="T22" s="20">
        <f>T12-T18</f>
        <v>1816707.7899999996</v>
      </c>
      <c r="U22" s="14"/>
      <c r="V22" s="21">
        <f>IF(T$12=0,0,T22/T$12)</f>
        <v>0.7596523500863438</v>
      </c>
      <c r="W22" s="15"/>
      <c r="X22" s="20">
        <f>+P22-T22</f>
        <v>78856.970000000205</v>
      </c>
      <c r="Y22" s="15"/>
      <c r="Z22" s="21">
        <f>IF(T22=0,0,X22/T22)</f>
        <v>4.3406523841679694E-2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146464.72999999995</v>
      </c>
      <c r="E24" s="22"/>
      <c r="F24" s="33">
        <f t="shared" ref="F24:F34" si="12">IF(D$12=0,0,D24/D$12)</f>
        <v>0.47206076166281319</v>
      </c>
      <c r="G24" s="22"/>
      <c r="H24" s="22">
        <f>SUM(OSRRefH22x_0)</f>
        <v>139351.21000000002</v>
      </c>
      <c r="I24" s="22"/>
      <c r="J24" s="33">
        <f t="shared" ref="J24:J34" si="13">IF(H$12=0,0,H24/H$12)</f>
        <v>0.40380711314469853</v>
      </c>
      <c r="K24" s="4"/>
      <c r="L24" s="22">
        <f t="shared" ref="L24:L34" si="14">+D24-H24</f>
        <v>7113.5199999999313</v>
      </c>
      <c r="M24" s="4"/>
      <c r="N24" s="33">
        <f t="shared" ref="N24:N34" si="15">IF(H24=0,0,L24/H24)</f>
        <v>5.1047421834370367E-2</v>
      </c>
      <c r="O24" s="10"/>
      <c r="P24" s="22">
        <f>SUM(OSRRefP22x_0)</f>
        <v>1017844.9800000001</v>
      </c>
      <c r="Q24" s="22"/>
      <c r="R24" s="33">
        <f t="shared" ref="R24:R34" si="16">IF(P$12=0,0,P24/P$12)</f>
        <v>0.40884176975466829</v>
      </c>
      <c r="S24" s="22"/>
      <c r="T24" s="22">
        <f>SUM(OSRRefT22x_0)</f>
        <v>936091.67</v>
      </c>
      <c r="U24" s="22"/>
      <c r="V24" s="33">
        <f t="shared" ref="V24:V34" si="17">IF(T$12=0,0,T24/T$12)</f>
        <v>0.39142466439897322</v>
      </c>
      <c r="W24" s="4"/>
      <c r="X24" s="22">
        <f t="shared" ref="X24:X34" si="18">+P24-T24</f>
        <v>81753.310000000056</v>
      </c>
      <c r="Y24" s="4"/>
      <c r="Z24" s="33">
        <f t="shared" ref="Z24:Z34" si="19">IF(T24=0,0,X24/T24)</f>
        <v>8.7334726523097955E-2</v>
      </c>
    </row>
    <row r="25" spans="1:26" s="27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28502.87</v>
      </c>
      <c r="E25" s="1"/>
      <c r="F25" s="5">
        <f t="shared" si="12"/>
        <v>9.1865710753545604E-2</v>
      </c>
      <c r="G25" s="1"/>
      <c r="H25" s="1">
        <f>SUM(OSRRefH22_0x_0)</f>
        <v>28833.270000000004</v>
      </c>
      <c r="I25" s="1"/>
      <c r="J25" s="5">
        <f t="shared" si="13"/>
        <v>8.3552051835227278E-2</v>
      </c>
      <c r="K25" s="1"/>
      <c r="L25" s="1">
        <f t="shared" si="14"/>
        <v>-330.40000000000509</v>
      </c>
      <c r="M25" s="1"/>
      <c r="N25" s="5">
        <f t="shared" si="15"/>
        <v>-1.1458984707596643E-2</v>
      </c>
      <c r="O25" s="13"/>
      <c r="P25" s="1">
        <f>SUM(OSRRefP22_0x_0)</f>
        <v>168836.25</v>
      </c>
      <c r="Q25" s="1"/>
      <c r="R25" s="5">
        <f t="shared" si="16"/>
        <v>6.7817116167082345E-2</v>
      </c>
      <c r="S25" s="1"/>
      <c r="T25" s="1">
        <f>SUM(OSRRefT22_0x_0)</f>
        <v>171194.04999999996</v>
      </c>
      <c r="U25" s="1"/>
      <c r="V25" s="5">
        <f t="shared" si="17"/>
        <v>7.1584413915734377E-2</v>
      </c>
      <c r="W25" s="1"/>
      <c r="X25" s="1">
        <f t="shared" si="18"/>
        <v>-2357.7999999999593</v>
      </c>
      <c r="Y25" s="1"/>
      <c r="Z25" s="5">
        <f t="shared" si="19"/>
        <v>-1.3772674926493998E-2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3905.2</v>
      </c>
      <c r="E26" s="2"/>
      <c r="F26" s="7">
        <f t="shared" si="12"/>
        <v>1.2586591232207362E-2</v>
      </c>
      <c r="G26" s="2"/>
      <c r="H26" s="6">
        <v>3135.8</v>
      </c>
      <c r="I26" s="2"/>
      <c r="J26" s="7">
        <f t="shared" si="13"/>
        <v>9.0868127043830151E-3</v>
      </c>
      <c r="K26" s="2"/>
      <c r="L26" s="6">
        <f t="shared" si="14"/>
        <v>769.39999999999964</v>
      </c>
      <c r="M26" s="2"/>
      <c r="N26" s="7">
        <f t="shared" si="15"/>
        <v>0.24536003571656342</v>
      </c>
      <c r="O26" s="11"/>
      <c r="P26" s="6">
        <v>27713.5</v>
      </c>
      <c r="Q26" s="2"/>
      <c r="R26" s="7">
        <f t="shared" si="16"/>
        <v>1.1131789819404521E-2</v>
      </c>
      <c r="S26" s="2"/>
      <c r="T26" s="6">
        <v>23672.57</v>
      </c>
      <c r="U26" s="2"/>
      <c r="V26" s="7">
        <f t="shared" si="17"/>
        <v>9.8986328632869915E-3</v>
      </c>
      <c r="W26" s="2"/>
      <c r="X26" s="6">
        <f t="shared" si="18"/>
        <v>4040.9300000000003</v>
      </c>
      <c r="Y26" s="2"/>
      <c r="Z26" s="7">
        <f t="shared" si="19"/>
        <v>0.1707009420607902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4628.33</v>
      </c>
      <c r="E27" s="2"/>
      <c r="F27" s="7">
        <f t="shared" si="12"/>
        <v>1.4917263596681938E-2</v>
      </c>
      <c r="G27" s="2"/>
      <c r="H27" s="6">
        <v>3151.05</v>
      </c>
      <c r="I27" s="2"/>
      <c r="J27" s="7">
        <f t="shared" si="13"/>
        <v>9.1310036265533842E-3</v>
      </c>
      <c r="K27" s="2"/>
      <c r="L27" s="6">
        <f t="shared" si="14"/>
        <v>1477.2799999999997</v>
      </c>
      <c r="M27" s="2"/>
      <c r="N27" s="7">
        <f t="shared" si="15"/>
        <v>0.46882150394312994</v>
      </c>
      <c r="O27" s="11"/>
      <c r="P27" s="6">
        <v>16055.26</v>
      </c>
      <c r="Q27" s="2"/>
      <c r="R27" s="7">
        <f t="shared" si="16"/>
        <v>6.4489790108031332E-3</v>
      </c>
      <c r="S27" s="2"/>
      <c r="T27" s="6">
        <v>16833.169999999998</v>
      </c>
      <c r="U27" s="2"/>
      <c r="V27" s="7">
        <f t="shared" si="17"/>
        <v>7.0387528584896645E-3</v>
      </c>
      <c r="W27" s="2"/>
      <c r="X27" s="6">
        <f t="shared" si="18"/>
        <v>-777.90999999999804</v>
      </c>
      <c r="Y27" s="2"/>
      <c r="Z27" s="7">
        <f t="shared" si="19"/>
        <v>-4.6212923650150159E-2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>
        <v>12745.03</v>
      </c>
      <c r="E28" s="2"/>
      <c r="F28" s="7">
        <f t="shared" si="12"/>
        <v>4.1077661285521823E-2</v>
      </c>
      <c r="G28" s="2"/>
      <c r="H28" s="6">
        <v>15815.950000000003</v>
      </c>
      <c r="I28" s="2"/>
      <c r="J28" s="7">
        <f t="shared" si="13"/>
        <v>4.5830912491831931E-2</v>
      </c>
      <c r="K28" s="2"/>
      <c r="L28" s="6">
        <f t="shared" si="14"/>
        <v>-3070.9200000000019</v>
      </c>
      <c r="M28" s="2"/>
      <c r="N28" s="7">
        <f t="shared" si="15"/>
        <v>-0.19416601595225083</v>
      </c>
      <c r="O28" s="11"/>
      <c r="P28" s="6">
        <v>76316.17</v>
      </c>
      <c r="Q28" s="2"/>
      <c r="R28" s="7">
        <f t="shared" si="16"/>
        <v>3.0654214165007836E-2</v>
      </c>
      <c r="S28" s="2"/>
      <c r="T28" s="6">
        <v>84684.31</v>
      </c>
      <c r="U28" s="2"/>
      <c r="V28" s="7">
        <f t="shared" si="17"/>
        <v>3.5410557196400017E-2</v>
      </c>
      <c r="W28" s="2"/>
      <c r="X28" s="6">
        <f t="shared" si="18"/>
        <v>-8368.14</v>
      </c>
      <c r="Y28" s="2"/>
      <c r="Z28" s="7">
        <f t="shared" si="19"/>
        <v>-9.8815707419709742E-2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310.14999999999998</v>
      </c>
      <c r="E29" s="2"/>
      <c r="F29" s="7">
        <f t="shared" si="12"/>
        <v>9.9962390419674118E-4</v>
      </c>
      <c r="G29" s="2"/>
      <c r="H29" s="6">
        <v>234.08</v>
      </c>
      <c r="I29" s="2"/>
      <c r="J29" s="7">
        <f t="shared" si="13"/>
        <v>6.7830892207474205E-4</v>
      </c>
      <c r="K29" s="2"/>
      <c r="L29" s="6">
        <f t="shared" si="14"/>
        <v>76.069999999999965</v>
      </c>
      <c r="M29" s="2"/>
      <c r="N29" s="7">
        <f t="shared" si="15"/>
        <v>0.32497436773752547</v>
      </c>
      <c r="O29" s="11"/>
      <c r="P29" s="6">
        <v>1387.08</v>
      </c>
      <c r="Q29" s="2"/>
      <c r="R29" s="7">
        <f t="shared" si="16"/>
        <v>5.5715384280944746E-4</v>
      </c>
      <c r="S29" s="2"/>
      <c r="T29" s="6">
        <v>1250.3900000000001</v>
      </c>
      <c r="U29" s="2"/>
      <c r="V29" s="7">
        <f t="shared" si="17"/>
        <v>5.2284781694279174E-4</v>
      </c>
      <c r="W29" s="2"/>
      <c r="X29" s="6">
        <f t="shared" si="18"/>
        <v>136.68999999999983</v>
      </c>
      <c r="Y29" s="2"/>
      <c r="Z29" s="7">
        <f t="shared" si="19"/>
        <v>0.10931789281744081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1217.31</v>
      </c>
      <c r="E30" s="2"/>
      <c r="F30" s="7">
        <f t="shared" si="12"/>
        <v>3.9234311617531359E-3</v>
      </c>
      <c r="G30" s="2"/>
      <c r="H30" s="6">
        <v>1096.69</v>
      </c>
      <c r="I30" s="2"/>
      <c r="J30" s="7">
        <f t="shared" si="13"/>
        <v>3.17795032360795E-3</v>
      </c>
      <c r="K30" s="2"/>
      <c r="L30" s="6">
        <f t="shared" si="14"/>
        <v>120.61999999999989</v>
      </c>
      <c r="M30" s="2"/>
      <c r="N30" s="7">
        <f t="shared" si="15"/>
        <v>0.10998550182822847</v>
      </c>
      <c r="O30" s="11"/>
      <c r="P30" s="6">
        <v>7717.34</v>
      </c>
      <c r="Q30" s="2"/>
      <c r="R30" s="7">
        <f t="shared" si="16"/>
        <v>3.0998541088236163E-3</v>
      </c>
      <c r="S30" s="2"/>
      <c r="T30" s="6">
        <v>7683.63</v>
      </c>
      <c r="U30" s="2"/>
      <c r="V30" s="7">
        <f t="shared" si="17"/>
        <v>3.2128929147675063E-3</v>
      </c>
      <c r="W30" s="2"/>
      <c r="X30" s="6">
        <f t="shared" si="18"/>
        <v>33.710000000000036</v>
      </c>
      <c r="Y30" s="2"/>
      <c r="Z30" s="7">
        <f t="shared" si="19"/>
        <v>4.387249255885569E-3</v>
      </c>
    </row>
    <row r="31" spans="1:26" s="24" customFormat="1" hidden="1" outlineLevel="2" x14ac:dyDescent="0.25">
      <c r="A31" s="26"/>
      <c r="B31" s="11" t="str">
        <f>CONCATENATE("          ", "6117", " - ", "RETIREMENT STAFF HOURLY")</f>
        <v xml:space="preserve">          6117 - RETIREMENT STAFF HOURLY</v>
      </c>
      <c r="C31" s="11"/>
      <c r="D31" s="6">
        <v>731.23</v>
      </c>
      <c r="E31" s="2"/>
      <c r="F31" s="7">
        <f t="shared" si="12"/>
        <v>2.3567789375005099E-3</v>
      </c>
      <c r="G31" s="2"/>
      <c r="H31" s="6">
        <v>344.31</v>
      </c>
      <c r="I31" s="2"/>
      <c r="J31" s="7">
        <f t="shared" si="13"/>
        <v>9.9772960081832905E-4</v>
      </c>
      <c r="K31" s="2"/>
      <c r="L31" s="6">
        <f t="shared" si="14"/>
        <v>386.92</v>
      </c>
      <c r="M31" s="2"/>
      <c r="N31" s="7">
        <f t="shared" si="15"/>
        <v>1.1237547558885888</v>
      </c>
      <c r="O31" s="11"/>
      <c r="P31" s="6">
        <v>2935.17</v>
      </c>
      <c r="Q31" s="2"/>
      <c r="R31" s="7">
        <f t="shared" si="16"/>
        <v>1.1789812013719512E-3</v>
      </c>
      <c r="S31" s="2"/>
      <c r="T31" s="6">
        <v>2281.1799999999998</v>
      </c>
      <c r="U31" s="2"/>
      <c r="V31" s="7">
        <f t="shared" si="17"/>
        <v>9.5387037888463385E-4</v>
      </c>
      <c r="W31" s="2"/>
      <c r="X31" s="6">
        <f t="shared" si="18"/>
        <v>653.99000000000024</v>
      </c>
      <c r="Y31" s="2"/>
      <c r="Z31" s="7">
        <f t="shared" si="19"/>
        <v>0.28668934498812032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2178.1</v>
      </c>
      <c r="E32" s="2"/>
      <c r="F32" s="7">
        <f t="shared" si="12"/>
        <v>7.0200897170108719E-3</v>
      </c>
      <c r="G32" s="2"/>
      <c r="H32" s="6">
        <v>2275.62</v>
      </c>
      <c r="I32" s="2"/>
      <c r="J32" s="7">
        <f t="shared" si="13"/>
        <v>6.5942128727431836E-3</v>
      </c>
      <c r="K32" s="2"/>
      <c r="L32" s="6">
        <f t="shared" si="14"/>
        <v>-97.519999999999982</v>
      </c>
      <c r="M32" s="2"/>
      <c r="N32" s="7">
        <f t="shared" si="15"/>
        <v>-4.2854255104103491E-2</v>
      </c>
      <c r="O32" s="11"/>
      <c r="P32" s="6">
        <v>15816.369999999999</v>
      </c>
      <c r="Q32" s="2"/>
      <c r="R32" s="7">
        <f t="shared" si="16"/>
        <v>6.3530231311792109E-3</v>
      </c>
      <c r="S32" s="2"/>
      <c r="T32" s="6">
        <v>15899.82</v>
      </c>
      <c r="U32" s="2"/>
      <c r="V32" s="7">
        <f t="shared" si="17"/>
        <v>6.6484746173460577E-3</v>
      </c>
      <c r="W32" s="2"/>
      <c r="X32" s="6">
        <f t="shared" si="18"/>
        <v>-83.450000000000728</v>
      </c>
      <c r="Y32" s="2"/>
      <c r="Z32" s="7">
        <f t="shared" si="19"/>
        <v>-5.2484870897909998E-3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1522.22</v>
      </c>
      <c r="E33" s="2"/>
      <c r="F33" s="7">
        <f t="shared" si="12"/>
        <v>4.9061663693256924E-3</v>
      </c>
      <c r="G33" s="2"/>
      <c r="H33" s="6">
        <v>1554.71</v>
      </c>
      <c r="I33" s="2"/>
      <c r="J33" s="7">
        <f t="shared" si="13"/>
        <v>4.5051848267208747E-3</v>
      </c>
      <c r="K33" s="2"/>
      <c r="L33" s="6">
        <f t="shared" si="14"/>
        <v>-32.490000000000009</v>
      </c>
      <c r="M33" s="2"/>
      <c r="N33" s="7">
        <f t="shared" si="15"/>
        <v>-2.0897788011912194E-2</v>
      </c>
      <c r="O33" s="11"/>
      <c r="P33" s="6">
        <v>14597.88</v>
      </c>
      <c r="Q33" s="2"/>
      <c r="R33" s="7">
        <f t="shared" si="16"/>
        <v>5.8635874923372673E-3</v>
      </c>
      <c r="S33" s="2"/>
      <c r="T33" s="6">
        <v>13197.46</v>
      </c>
      <c r="U33" s="2"/>
      <c r="V33" s="7">
        <f t="shared" si="17"/>
        <v>5.5184887516613332E-3</v>
      </c>
      <c r="W33" s="2"/>
      <c r="X33" s="6">
        <f t="shared" si="18"/>
        <v>1400.42</v>
      </c>
      <c r="Y33" s="2"/>
      <c r="Z33" s="7">
        <f t="shared" si="19"/>
        <v>0.10611284292583574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1265.3</v>
      </c>
      <c r="E34" s="2"/>
      <c r="F34" s="7">
        <f t="shared" si="12"/>
        <v>4.0781045493475301E-3</v>
      </c>
      <c r="G34" s="2"/>
      <c r="H34" s="6">
        <v>1225.06</v>
      </c>
      <c r="I34" s="2"/>
      <c r="J34" s="7">
        <f t="shared" si="13"/>
        <v>3.5499364664938631E-3</v>
      </c>
      <c r="K34" s="2"/>
      <c r="L34" s="6">
        <f t="shared" si="14"/>
        <v>40.240000000000009</v>
      </c>
      <c r="M34" s="2"/>
      <c r="N34" s="7">
        <f t="shared" si="15"/>
        <v>3.2847370741024937E-2</v>
      </c>
      <c r="O34" s="11"/>
      <c r="P34" s="6">
        <v>6297.48</v>
      </c>
      <c r="Q34" s="2"/>
      <c r="R34" s="7">
        <f t="shared" si="16"/>
        <v>2.5295333953453581E-3</v>
      </c>
      <c r="S34" s="2"/>
      <c r="T34" s="6">
        <v>5691.52</v>
      </c>
      <c r="U34" s="2"/>
      <c r="V34" s="7">
        <f t="shared" si="17"/>
        <v>2.379896517955388E-3</v>
      </c>
      <c r="W34" s="2"/>
      <c r="X34" s="6">
        <f t="shared" si="18"/>
        <v>605.95999999999913</v>
      </c>
      <c r="Y34" s="2"/>
      <c r="Z34" s="7">
        <f t="shared" si="19"/>
        <v>0.10646716518610126</v>
      </c>
    </row>
    <row r="35" spans="1:26" s="27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74528.709999999992</v>
      </c>
      <c r="E35" s="1"/>
      <c r="F35" s="5">
        <f t="shared" ref="F35:F41" si="20">IF(D$12=0,0,D35/D$12)</f>
        <v>0.24020854446218506</v>
      </c>
      <c r="G35" s="1"/>
      <c r="H35" s="1">
        <f>SUM(OSRRefH22_1x_0)</f>
        <v>62729.770000000004</v>
      </c>
      <c r="I35" s="1"/>
      <c r="J35" s="5">
        <f t="shared" ref="J35:J41" si="21">IF(H$12=0,0,H35/H$12)</f>
        <v>0.18177615631705613</v>
      </c>
      <c r="K35" s="1"/>
      <c r="L35" s="1">
        <f t="shared" ref="L35:L41" si="22">+D35-H35</f>
        <v>11798.939999999988</v>
      </c>
      <c r="M35" s="1"/>
      <c r="N35" s="5">
        <f t="shared" ref="N35:N41" si="23">IF(H35=0,0,L35/H35)</f>
        <v>0.18809155525358992</v>
      </c>
      <c r="O35" s="13"/>
      <c r="P35" s="1">
        <f>SUM(OSRRefP22_1x_0)</f>
        <v>514350.91000000003</v>
      </c>
      <c r="Q35" s="1"/>
      <c r="R35" s="5">
        <f t="shared" ref="R35:R41" si="24">IF(P$12=0,0,P35/P$12)</f>
        <v>0.20660133954713231</v>
      </c>
      <c r="S35" s="1"/>
      <c r="T35" s="1">
        <f>SUM(OSRRefT22_1x_0)</f>
        <v>436238.73</v>
      </c>
      <c r="U35" s="1"/>
      <c r="V35" s="5">
        <f t="shared" ref="V35:V41" si="25">IF(T$12=0,0,T35/T$12)</f>
        <v>0.18241226149153136</v>
      </c>
      <c r="W35" s="1"/>
      <c r="X35" s="1">
        <f t="shared" ref="X35:X41" si="26">+P35-T35</f>
        <v>78112.180000000051</v>
      </c>
      <c r="Y35" s="1"/>
      <c r="Z35" s="5">
        <f t="shared" ref="Z35:Z41" si="27">IF(T35=0,0,X35/T35)</f>
        <v>0.17905833349551531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>
        <v>12777.77</v>
      </c>
      <c r="E36" s="2"/>
      <c r="F36" s="7">
        <f t="shared" si="20"/>
        <v>4.1183183409085909E-2</v>
      </c>
      <c r="G36" s="2"/>
      <c r="H36" s="6">
        <v>13786.48</v>
      </c>
      <c r="I36" s="2"/>
      <c r="J36" s="7">
        <f t="shared" si="21"/>
        <v>3.9949984569399306E-2</v>
      </c>
      <c r="K36" s="2"/>
      <c r="L36" s="6">
        <f t="shared" si="22"/>
        <v>-1008.7099999999991</v>
      </c>
      <c r="M36" s="2"/>
      <c r="N36" s="7">
        <f t="shared" si="23"/>
        <v>-7.3166609605932714E-2</v>
      </c>
      <c r="O36" s="11"/>
      <c r="P36" s="6">
        <v>88001.900000000009</v>
      </c>
      <c r="Q36" s="2"/>
      <c r="R36" s="7">
        <f t="shared" si="24"/>
        <v>3.5348066989310437E-2</v>
      </c>
      <c r="S36" s="2"/>
      <c r="T36" s="6">
        <v>85375.87</v>
      </c>
      <c r="U36" s="2"/>
      <c r="V36" s="7">
        <f t="shared" si="25"/>
        <v>3.5699731483050549E-2</v>
      </c>
      <c r="W36" s="2"/>
      <c r="X36" s="6">
        <f t="shared" si="26"/>
        <v>2626.0300000000134</v>
      </c>
      <c r="Y36" s="2"/>
      <c r="Z36" s="7">
        <f t="shared" si="27"/>
        <v>3.0758456692740157E-2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6">
        <v>20394.21</v>
      </c>
      <c r="E37" s="2"/>
      <c r="F37" s="7">
        <f t="shared" si="20"/>
        <v>6.5731226255709235E-2</v>
      </c>
      <c r="G37" s="2"/>
      <c r="H37" s="6">
        <v>18468.82</v>
      </c>
      <c r="I37" s="2"/>
      <c r="J37" s="7">
        <f t="shared" si="21"/>
        <v>5.3518307357281435E-2</v>
      </c>
      <c r="K37" s="2"/>
      <c r="L37" s="6">
        <f t="shared" si="22"/>
        <v>1925.3899999999994</v>
      </c>
      <c r="M37" s="2"/>
      <c r="N37" s="7">
        <f t="shared" si="23"/>
        <v>0.10425084006449786</v>
      </c>
      <c r="O37" s="11"/>
      <c r="P37" s="6">
        <v>111178.41</v>
      </c>
      <c r="Q37" s="2"/>
      <c r="R37" s="7">
        <f t="shared" si="24"/>
        <v>4.4657466309761737E-2</v>
      </c>
      <c r="S37" s="2"/>
      <c r="T37" s="6">
        <v>120014.31</v>
      </c>
      <c r="U37" s="2"/>
      <c r="V37" s="7">
        <f t="shared" si="25"/>
        <v>5.0183718668091917E-2</v>
      </c>
      <c r="W37" s="2"/>
      <c r="X37" s="6">
        <f t="shared" si="26"/>
        <v>-8835.8999999999942</v>
      </c>
      <c r="Y37" s="2"/>
      <c r="Z37" s="7">
        <f t="shared" si="27"/>
        <v>-7.3623720371345666E-2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6">
        <v>12088.79</v>
      </c>
      <c r="E38" s="2"/>
      <c r="F38" s="7">
        <f t="shared" si="20"/>
        <v>3.8962577645702157E-2</v>
      </c>
      <c r="G38" s="2"/>
      <c r="H38" s="6">
        <v>7282.13</v>
      </c>
      <c r="I38" s="2"/>
      <c r="J38" s="7">
        <f t="shared" si="21"/>
        <v>2.1101904266524869E-2</v>
      </c>
      <c r="K38" s="2"/>
      <c r="L38" s="6">
        <f t="shared" si="22"/>
        <v>4806.6600000000008</v>
      </c>
      <c r="M38" s="2"/>
      <c r="N38" s="7">
        <f t="shared" si="23"/>
        <v>0.66006237186098038</v>
      </c>
      <c r="O38" s="11"/>
      <c r="P38" s="6">
        <v>88958.34</v>
      </c>
      <c r="Q38" s="2"/>
      <c r="R38" s="7">
        <f t="shared" si="24"/>
        <v>3.5732243980844208E-2</v>
      </c>
      <c r="S38" s="2"/>
      <c r="T38" s="6">
        <v>49450.39</v>
      </c>
      <c r="U38" s="2"/>
      <c r="V38" s="7">
        <f t="shared" si="25"/>
        <v>2.0677571364509997E-2</v>
      </c>
      <c r="W38" s="2"/>
      <c r="X38" s="6">
        <f t="shared" si="26"/>
        <v>39507.949999999997</v>
      </c>
      <c r="Y38" s="2"/>
      <c r="Z38" s="7">
        <f t="shared" si="27"/>
        <v>0.7989411205857021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6">
        <v>660</v>
      </c>
      <c r="E39" s="2"/>
      <c r="F39" s="7">
        <f t="shared" si="20"/>
        <v>2.1272022465576306E-3</v>
      </c>
      <c r="G39" s="2"/>
      <c r="H39" s="6"/>
      <c r="I39" s="2"/>
      <c r="J39" s="7">
        <f t="shared" si="21"/>
        <v>0</v>
      </c>
      <c r="K39" s="2"/>
      <c r="L39" s="6">
        <f t="shared" si="22"/>
        <v>660</v>
      </c>
      <c r="M39" s="2"/>
      <c r="N39" s="7">
        <f t="shared" si="23"/>
        <v>0</v>
      </c>
      <c r="O39" s="11"/>
      <c r="P39" s="6">
        <v>10133.07</v>
      </c>
      <c r="Q39" s="2"/>
      <c r="R39" s="7">
        <f t="shared" si="24"/>
        <v>4.0701898159854711E-3</v>
      </c>
      <c r="S39" s="2"/>
      <c r="T39" s="6"/>
      <c r="U39" s="2"/>
      <c r="V39" s="7">
        <f t="shared" si="25"/>
        <v>0</v>
      </c>
      <c r="W39" s="2"/>
      <c r="X39" s="6">
        <f t="shared" si="26"/>
        <v>10133.07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6">
        <v>25717.439999999999</v>
      </c>
      <c r="E40" s="2"/>
      <c r="F40" s="7">
        <f t="shared" si="20"/>
        <v>8.2888175975319806E-2</v>
      </c>
      <c r="G40" s="2"/>
      <c r="H40" s="6">
        <v>20860.34</v>
      </c>
      <c r="I40" s="2"/>
      <c r="J40" s="7">
        <f t="shared" si="21"/>
        <v>6.0448371238519413E-2</v>
      </c>
      <c r="K40" s="2"/>
      <c r="L40" s="6">
        <f t="shared" si="22"/>
        <v>4857.0999999999985</v>
      </c>
      <c r="M40" s="2"/>
      <c r="N40" s="7">
        <f t="shared" si="23"/>
        <v>0.23283896619134675</v>
      </c>
      <c r="O40" s="11"/>
      <c r="P40" s="6">
        <v>197939.69</v>
      </c>
      <c r="Q40" s="2"/>
      <c r="R40" s="7">
        <f t="shared" si="24"/>
        <v>7.95072086166701E-2</v>
      </c>
      <c r="S40" s="2"/>
      <c r="T40" s="6">
        <v>160429.41</v>
      </c>
      <c r="U40" s="2"/>
      <c r="V40" s="7">
        <f t="shared" si="25"/>
        <v>6.7083203474052153E-2</v>
      </c>
      <c r="W40" s="2"/>
      <c r="X40" s="6">
        <f t="shared" si="26"/>
        <v>37510.28</v>
      </c>
      <c r="Y40" s="2"/>
      <c r="Z40" s="7">
        <f t="shared" si="27"/>
        <v>0.23381174312116462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6">
        <v>2890.5</v>
      </c>
      <c r="E41" s="2"/>
      <c r="F41" s="7">
        <f t="shared" si="20"/>
        <v>9.3161789298103516E-3</v>
      </c>
      <c r="G41" s="2"/>
      <c r="H41" s="6">
        <v>2332</v>
      </c>
      <c r="I41" s="2"/>
      <c r="J41" s="7">
        <f t="shared" si="21"/>
        <v>6.7575888853310768E-3</v>
      </c>
      <c r="K41" s="2"/>
      <c r="L41" s="6">
        <f t="shared" si="22"/>
        <v>558.5</v>
      </c>
      <c r="M41" s="2"/>
      <c r="N41" s="7">
        <f t="shared" si="23"/>
        <v>0.23949399656946826</v>
      </c>
      <c r="O41" s="11"/>
      <c r="P41" s="6">
        <v>18139.5</v>
      </c>
      <c r="Q41" s="2"/>
      <c r="R41" s="7">
        <f t="shared" si="24"/>
        <v>7.2861638345603514E-3</v>
      </c>
      <c r="S41" s="2"/>
      <c r="T41" s="6">
        <v>20968.75</v>
      </c>
      <c r="U41" s="2"/>
      <c r="V41" s="7">
        <f t="shared" si="25"/>
        <v>8.7680365018267606E-3</v>
      </c>
      <c r="W41" s="2"/>
      <c r="X41" s="6">
        <f t="shared" si="26"/>
        <v>-2829.25</v>
      </c>
      <c r="Y41" s="2"/>
      <c r="Z41" s="7">
        <f t="shared" si="27"/>
        <v>-0.13492697466467959</v>
      </c>
    </row>
    <row r="42" spans="1:26" s="27" customFormat="1" outlineLevel="1" collapsed="1" x14ac:dyDescent="0.25">
      <c r="A42" s="25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61" si="28">IF(D$12=0,0,D42/D$12)</f>
        <v>0</v>
      </c>
      <c r="G42" s="1"/>
      <c r="H42" s="1">
        <f>SUM(OSRRefH22_2x_0)</f>
        <v>0</v>
      </c>
      <c r="I42" s="1"/>
      <c r="J42" s="5">
        <f t="shared" ref="J42:J61" si="29">IF(H$12=0,0,H42/H$12)</f>
        <v>0</v>
      </c>
      <c r="K42" s="1"/>
      <c r="L42" s="1">
        <f t="shared" ref="L42:L61" si="30">+D42-H42</f>
        <v>0</v>
      </c>
      <c r="M42" s="1"/>
      <c r="N42" s="5">
        <f t="shared" ref="N42:N61" si="31">IF(H42=0,0,L42/H42)</f>
        <v>0</v>
      </c>
      <c r="O42" s="13"/>
      <c r="P42" s="1">
        <f>SUM(OSRRefP22_2x_0)</f>
        <v>2683.18</v>
      </c>
      <c r="Q42" s="1"/>
      <c r="R42" s="5">
        <f t="shared" ref="R42:R61" si="32">IF(P$12=0,0,P42/P$12)</f>
        <v>1.0777633935673886E-3</v>
      </c>
      <c r="S42" s="1"/>
      <c r="T42" s="1">
        <f>SUM(OSRRefT22_2x_0)</f>
        <v>4565.3599999999997</v>
      </c>
      <c r="U42" s="1"/>
      <c r="V42" s="5">
        <f t="shared" ref="V42:V61" si="33">IF(T$12=0,0,T42/T$12)</f>
        <v>1.9089952011435978E-3</v>
      </c>
      <c r="W42" s="1"/>
      <c r="X42" s="1">
        <f t="shared" ref="X42:X61" si="34">+P42-T42</f>
        <v>-1882.1799999999998</v>
      </c>
      <c r="Y42" s="1"/>
      <c r="Z42" s="5">
        <f t="shared" ref="Z42:Z61" si="35">IF(T42=0,0,X42/T42)</f>
        <v>-0.41227416895929347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>
        <v>2683.18</v>
      </c>
      <c r="Q43" s="2"/>
      <c r="R43" s="7">
        <f t="shared" si="32"/>
        <v>1.0777633935673886E-3</v>
      </c>
      <c r="S43" s="2"/>
      <c r="T43" s="6">
        <v>4565.3599999999997</v>
      </c>
      <c r="U43" s="2"/>
      <c r="V43" s="7">
        <f t="shared" si="33"/>
        <v>1.9089952011435978E-3</v>
      </c>
      <c r="W43" s="2"/>
      <c r="X43" s="6">
        <f t="shared" si="34"/>
        <v>-1882.1799999999998</v>
      </c>
      <c r="Y43" s="2"/>
      <c r="Z43" s="7">
        <f t="shared" si="35"/>
        <v>-0.41227416895929347</v>
      </c>
    </row>
    <row r="44" spans="1:26" s="27" customFormat="1" outlineLevel="1" collapsed="1" x14ac:dyDescent="0.25">
      <c r="A44" s="25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0.15</v>
      </c>
      <c r="I44" s="1"/>
      <c r="J44" s="5">
        <f t="shared" si="29"/>
        <v>4.3466480823313102E-7</v>
      </c>
      <c r="K44" s="1"/>
      <c r="L44" s="1">
        <f t="shared" si="30"/>
        <v>-0.15</v>
      </c>
      <c r="M44" s="1"/>
      <c r="N44" s="5">
        <f t="shared" si="31"/>
        <v>-1</v>
      </c>
      <c r="O44" s="13"/>
      <c r="P44" s="1">
        <f>SUM(OSRRefP22_3x_0)</f>
        <v>1.05</v>
      </c>
      <c r="Q44" s="1"/>
      <c r="R44" s="5">
        <f t="shared" si="32"/>
        <v>4.217576022651324E-7</v>
      </c>
      <c r="S44" s="1"/>
      <c r="T44" s="1">
        <f>SUM(OSRRefT22_3x_0)</f>
        <v>16.510000000000002</v>
      </c>
      <c r="U44" s="1"/>
      <c r="V44" s="5">
        <f t="shared" si="33"/>
        <v>6.9036200367289334E-6</v>
      </c>
      <c r="W44" s="1"/>
      <c r="X44" s="1">
        <f t="shared" si="34"/>
        <v>-15.46</v>
      </c>
      <c r="Y44" s="1"/>
      <c r="Z44" s="5">
        <f t="shared" si="35"/>
        <v>-0.93640218049666868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6"/>
      <c r="E45" s="2"/>
      <c r="F45" s="7">
        <f t="shared" si="28"/>
        <v>0</v>
      </c>
      <c r="G45" s="2"/>
      <c r="H45" s="6">
        <v>0.15</v>
      </c>
      <c r="I45" s="2"/>
      <c r="J45" s="7">
        <f t="shared" si="29"/>
        <v>4.3466480823313102E-7</v>
      </c>
      <c r="K45" s="2"/>
      <c r="L45" s="6">
        <f t="shared" si="30"/>
        <v>-0.15</v>
      </c>
      <c r="M45" s="2"/>
      <c r="N45" s="7">
        <f t="shared" si="31"/>
        <v>-1</v>
      </c>
      <c r="O45" s="11"/>
      <c r="P45" s="6">
        <v>1.05</v>
      </c>
      <c r="Q45" s="2"/>
      <c r="R45" s="7">
        <f t="shared" si="32"/>
        <v>4.217576022651324E-7</v>
      </c>
      <c r="S45" s="2"/>
      <c r="T45" s="6">
        <v>16.510000000000002</v>
      </c>
      <c r="U45" s="2"/>
      <c r="V45" s="7">
        <f t="shared" si="33"/>
        <v>6.9036200367289334E-6</v>
      </c>
      <c r="W45" s="2"/>
      <c r="X45" s="6">
        <f t="shared" si="34"/>
        <v>-15.46</v>
      </c>
      <c r="Y45" s="2"/>
      <c r="Z45" s="7">
        <f t="shared" si="35"/>
        <v>-0.93640218049666868</v>
      </c>
    </row>
    <row r="46" spans="1:26" s="27" customFormat="1" outlineLevel="1" collapsed="1" x14ac:dyDescent="0.25">
      <c r="A46" s="25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133.88</v>
      </c>
      <c r="E46" s="1"/>
      <c r="F46" s="5">
        <f t="shared" si="28"/>
        <v>4.3149975268050848E-4</v>
      </c>
      <c r="G46" s="1"/>
      <c r="H46" s="1">
        <f>SUM(OSRRefH22_4x_0)</f>
        <v>175.92</v>
      </c>
      <c r="I46" s="1"/>
      <c r="J46" s="5">
        <f t="shared" si="29"/>
        <v>5.0977488709581602E-4</v>
      </c>
      <c r="K46" s="1"/>
      <c r="L46" s="1">
        <f t="shared" si="30"/>
        <v>-42.039999999999992</v>
      </c>
      <c r="M46" s="1"/>
      <c r="N46" s="5">
        <f t="shared" si="31"/>
        <v>-0.23897226011823552</v>
      </c>
      <c r="O46" s="13"/>
      <c r="P46" s="1">
        <f>SUM(OSRRefP22_4x_0)</f>
        <v>1529</v>
      </c>
      <c r="Q46" s="1"/>
      <c r="R46" s="5">
        <f t="shared" si="32"/>
        <v>6.1415940367941658E-4</v>
      </c>
      <c r="S46" s="1"/>
      <c r="T46" s="1">
        <f>SUM(OSRRefT22_4x_0)</f>
        <v>1259.6099999999999</v>
      </c>
      <c r="U46" s="1"/>
      <c r="V46" s="5">
        <f t="shared" si="33"/>
        <v>5.2670313957989886E-4</v>
      </c>
      <c r="W46" s="1"/>
      <c r="X46" s="1">
        <f t="shared" si="34"/>
        <v>269.3900000000001</v>
      </c>
      <c r="Y46" s="1"/>
      <c r="Z46" s="5">
        <f t="shared" si="35"/>
        <v>0.21386778447297189</v>
      </c>
    </row>
    <row r="47" spans="1:26" s="24" customFormat="1" hidden="1" outlineLevel="2" x14ac:dyDescent="0.25">
      <c r="A47" s="26"/>
      <c r="B47" s="11" t="str">
        <f>CONCATENATE("          ", "6381", " - ", "BANK/CREDIT CARD FEES")</f>
        <v xml:space="preserve">          6381 - BANK/CREDIT CARD FEES</v>
      </c>
      <c r="C47" s="11"/>
      <c r="D47" s="6">
        <v>133.88</v>
      </c>
      <c r="E47" s="2"/>
      <c r="F47" s="7">
        <f t="shared" si="28"/>
        <v>4.3149975268050848E-4</v>
      </c>
      <c r="G47" s="2"/>
      <c r="H47" s="6">
        <v>175.92</v>
      </c>
      <c r="I47" s="2"/>
      <c r="J47" s="7">
        <f t="shared" si="29"/>
        <v>5.0977488709581602E-4</v>
      </c>
      <c r="K47" s="2"/>
      <c r="L47" s="6">
        <f t="shared" si="30"/>
        <v>-42.039999999999992</v>
      </c>
      <c r="M47" s="2"/>
      <c r="N47" s="7">
        <f t="shared" si="31"/>
        <v>-0.23897226011823552</v>
      </c>
      <c r="O47" s="11"/>
      <c r="P47" s="6">
        <v>1529</v>
      </c>
      <c r="Q47" s="2"/>
      <c r="R47" s="7">
        <f t="shared" si="32"/>
        <v>6.1415940367941658E-4</v>
      </c>
      <c r="S47" s="2"/>
      <c r="T47" s="6">
        <v>1259.6099999999999</v>
      </c>
      <c r="U47" s="2"/>
      <c r="V47" s="7">
        <f t="shared" si="33"/>
        <v>5.2670313957989886E-4</v>
      </c>
      <c r="W47" s="2"/>
      <c r="X47" s="6">
        <f t="shared" si="34"/>
        <v>269.3900000000001</v>
      </c>
      <c r="Y47" s="2"/>
      <c r="Z47" s="7">
        <f t="shared" si="35"/>
        <v>0.21386778447297189</v>
      </c>
    </row>
    <row r="48" spans="1:26" s="27" customFormat="1" outlineLevel="1" collapsed="1" x14ac:dyDescent="0.25">
      <c r="A48" s="25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SUM(OSRRefD22_5x_0)</f>
        <v>6677.17</v>
      </c>
      <c r="E48" s="1"/>
      <c r="F48" s="5">
        <f t="shared" si="28"/>
        <v>2.1520743976738206E-2</v>
      </c>
      <c r="G48" s="1"/>
      <c r="H48" s="1">
        <f>SUM(OSRRefH22_5x_0)</f>
        <v>7269.88</v>
      </c>
      <c r="I48" s="1"/>
      <c r="J48" s="5">
        <f t="shared" si="29"/>
        <v>2.1066406640519165E-2</v>
      </c>
      <c r="K48" s="1"/>
      <c r="L48" s="1">
        <f t="shared" si="30"/>
        <v>-592.71</v>
      </c>
      <c r="M48" s="1"/>
      <c r="N48" s="5">
        <f t="shared" si="31"/>
        <v>-8.1529543816404121E-2</v>
      </c>
      <c r="O48" s="13"/>
      <c r="P48" s="1">
        <f>SUM(OSRRefP22_5x_0)</f>
        <v>46247.68</v>
      </c>
      <c r="Q48" s="1"/>
      <c r="R48" s="5">
        <f t="shared" si="32"/>
        <v>1.8576486311547732E-2</v>
      </c>
      <c r="S48" s="1"/>
      <c r="T48" s="1">
        <f>SUM(OSRRefT22_5x_0)</f>
        <v>42210.060000000005</v>
      </c>
      <c r="U48" s="1"/>
      <c r="V48" s="5">
        <f t="shared" si="33"/>
        <v>1.7650043365689309E-2</v>
      </c>
      <c r="W48" s="1"/>
      <c r="X48" s="1">
        <f t="shared" si="34"/>
        <v>4037.6199999999953</v>
      </c>
      <c r="Y48" s="1"/>
      <c r="Z48" s="5">
        <f t="shared" si="35"/>
        <v>9.5655395893774961E-2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>
        <v>6677.17</v>
      </c>
      <c r="E49" s="2"/>
      <c r="F49" s="7">
        <f t="shared" si="28"/>
        <v>2.1520743976738206E-2</v>
      </c>
      <c r="G49" s="2"/>
      <c r="H49" s="6">
        <v>7269.88</v>
      </c>
      <c r="I49" s="2"/>
      <c r="J49" s="7">
        <f t="shared" si="29"/>
        <v>2.1066406640519165E-2</v>
      </c>
      <c r="K49" s="2"/>
      <c r="L49" s="6">
        <f t="shared" si="30"/>
        <v>-592.71</v>
      </c>
      <c r="M49" s="2"/>
      <c r="N49" s="7">
        <f t="shared" si="31"/>
        <v>-8.1529543816404121E-2</v>
      </c>
      <c r="O49" s="11"/>
      <c r="P49" s="6">
        <v>46247.68</v>
      </c>
      <c r="Q49" s="2"/>
      <c r="R49" s="7">
        <f t="shared" si="32"/>
        <v>1.8576486311547732E-2</v>
      </c>
      <c r="S49" s="2"/>
      <c r="T49" s="6">
        <v>42210.060000000005</v>
      </c>
      <c r="U49" s="2"/>
      <c r="V49" s="7">
        <f t="shared" si="33"/>
        <v>1.7650043365689309E-2</v>
      </c>
      <c r="W49" s="2"/>
      <c r="X49" s="6">
        <f t="shared" si="34"/>
        <v>4037.6199999999953</v>
      </c>
      <c r="Y49" s="2"/>
      <c r="Z49" s="7">
        <f t="shared" si="35"/>
        <v>9.5655395893774961E-2</v>
      </c>
    </row>
    <row r="50" spans="1:26" s="27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SUM(OSRRefD22_6x_0)</f>
        <v>65.040000000000006</v>
      </c>
      <c r="E50" s="1"/>
      <c r="F50" s="5">
        <f t="shared" si="28"/>
        <v>2.0962611229713381E-4</v>
      </c>
      <c r="G50" s="1"/>
      <c r="H50" s="1">
        <f>SUM(OSRRefH22_6x_0)</f>
        <v>161.30000000000001</v>
      </c>
      <c r="I50" s="1"/>
      <c r="J50" s="5">
        <f t="shared" si="29"/>
        <v>4.6740955712002693E-4</v>
      </c>
      <c r="K50" s="1"/>
      <c r="L50" s="1">
        <f t="shared" si="30"/>
        <v>-96.26</v>
      </c>
      <c r="M50" s="1"/>
      <c r="N50" s="5">
        <f t="shared" si="31"/>
        <v>-0.59677619342839427</v>
      </c>
      <c r="O50" s="13"/>
      <c r="P50" s="1">
        <f>SUM(OSRRefP22_6x_0)</f>
        <v>86.37</v>
      </c>
      <c r="Q50" s="1"/>
      <c r="R50" s="5">
        <f t="shared" si="32"/>
        <v>3.4692575340609037E-5</v>
      </c>
      <c r="S50" s="1"/>
      <c r="T50" s="1">
        <f>SUM(OSRRefT22_6x_0)</f>
        <v>161.30000000000001</v>
      </c>
      <c r="U50" s="1"/>
      <c r="V50" s="5">
        <f t="shared" si="33"/>
        <v>6.744723875980478E-5</v>
      </c>
      <c r="W50" s="1"/>
      <c r="X50" s="1">
        <f t="shared" si="34"/>
        <v>-74.930000000000007</v>
      </c>
      <c r="Y50" s="1"/>
      <c r="Z50" s="5">
        <f t="shared" si="35"/>
        <v>-0.46453812771233727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>
        <v>65.040000000000006</v>
      </c>
      <c r="E51" s="2"/>
      <c r="F51" s="7">
        <f t="shared" si="28"/>
        <v>2.0962611229713381E-4</v>
      </c>
      <c r="G51" s="2"/>
      <c r="H51" s="6">
        <v>161.30000000000001</v>
      </c>
      <c r="I51" s="2"/>
      <c r="J51" s="7">
        <f t="shared" si="29"/>
        <v>4.6740955712002693E-4</v>
      </c>
      <c r="K51" s="2"/>
      <c r="L51" s="6">
        <f t="shared" si="30"/>
        <v>-96.26</v>
      </c>
      <c r="M51" s="2"/>
      <c r="N51" s="7">
        <f t="shared" si="31"/>
        <v>-0.59677619342839427</v>
      </c>
      <c r="O51" s="11"/>
      <c r="P51" s="6">
        <v>86.37</v>
      </c>
      <c r="Q51" s="2"/>
      <c r="R51" s="7">
        <f t="shared" si="32"/>
        <v>3.4692575340609037E-5</v>
      </c>
      <c r="S51" s="2"/>
      <c r="T51" s="6">
        <v>161.30000000000001</v>
      </c>
      <c r="U51" s="2"/>
      <c r="V51" s="7">
        <f t="shared" si="33"/>
        <v>6.744723875980478E-5</v>
      </c>
      <c r="W51" s="2"/>
      <c r="X51" s="6">
        <f t="shared" si="34"/>
        <v>-74.930000000000007</v>
      </c>
      <c r="Y51" s="2"/>
      <c r="Z51" s="7">
        <f t="shared" si="35"/>
        <v>-0.46453812771233727</v>
      </c>
    </row>
    <row r="52" spans="1:26" s="27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SUM(OSRRefD22_7x_0)</f>
        <v>83.78</v>
      </c>
      <c r="E52" s="1"/>
      <c r="F52" s="5">
        <f t="shared" si="28"/>
        <v>2.700257639645429E-4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83.78</v>
      </c>
      <c r="M52" s="1"/>
      <c r="N52" s="5">
        <f t="shared" si="31"/>
        <v>0</v>
      </c>
      <c r="O52" s="13"/>
      <c r="P52" s="1">
        <f>SUM(OSRRefP22_7x_0)</f>
        <v>1280.06</v>
      </c>
      <c r="Q52" s="1"/>
      <c r="R52" s="5">
        <f t="shared" si="32"/>
        <v>5.1416670129095753E-4</v>
      </c>
      <c r="S52" s="1"/>
      <c r="T52" s="1">
        <f>SUM(OSRRefT22_7x_0)</f>
        <v>1232.3599999999999</v>
      </c>
      <c r="U52" s="1"/>
      <c r="V52" s="5">
        <f t="shared" si="33"/>
        <v>5.1530861226306882E-4</v>
      </c>
      <c r="W52" s="1"/>
      <c r="X52" s="1">
        <f t="shared" si="34"/>
        <v>47.700000000000045</v>
      </c>
      <c r="Y52" s="1"/>
      <c r="Z52" s="5">
        <f t="shared" si="35"/>
        <v>3.8706222207796466E-2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83.78</v>
      </c>
      <c r="E53" s="2"/>
      <c r="F53" s="7">
        <f t="shared" si="28"/>
        <v>2.700257639645429E-4</v>
      </c>
      <c r="G53" s="2"/>
      <c r="H53" s="6"/>
      <c r="I53" s="2"/>
      <c r="J53" s="7">
        <f t="shared" si="29"/>
        <v>0</v>
      </c>
      <c r="K53" s="2"/>
      <c r="L53" s="6">
        <f t="shared" si="30"/>
        <v>83.78</v>
      </c>
      <c r="M53" s="2"/>
      <c r="N53" s="7">
        <f t="shared" si="31"/>
        <v>0</v>
      </c>
      <c r="O53" s="11"/>
      <c r="P53" s="6">
        <v>1280.06</v>
      </c>
      <c r="Q53" s="2"/>
      <c r="R53" s="7">
        <f t="shared" si="32"/>
        <v>5.1416670129095753E-4</v>
      </c>
      <c r="S53" s="2"/>
      <c r="T53" s="6">
        <v>1232.3599999999999</v>
      </c>
      <c r="U53" s="2"/>
      <c r="V53" s="7">
        <f t="shared" si="33"/>
        <v>5.1530861226306882E-4</v>
      </c>
      <c r="W53" s="2"/>
      <c r="X53" s="6">
        <f t="shared" si="34"/>
        <v>47.700000000000045</v>
      </c>
      <c r="Y53" s="2"/>
      <c r="Z53" s="7">
        <f t="shared" si="35"/>
        <v>3.8706222207796466E-2</v>
      </c>
    </row>
    <row r="54" spans="1:26" s="27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351.39</v>
      </c>
      <c r="E54" s="1"/>
      <c r="F54" s="5">
        <f t="shared" si="28"/>
        <v>1.1325418142695239E-3</v>
      </c>
      <c r="G54" s="1"/>
      <c r="H54" s="1">
        <f>SUM(OSRRefH22_8x_0)</f>
        <v>235</v>
      </c>
      <c r="I54" s="1"/>
      <c r="J54" s="5">
        <f t="shared" si="29"/>
        <v>6.8097486623190531E-4</v>
      </c>
      <c r="K54" s="1"/>
      <c r="L54" s="1">
        <f t="shared" si="30"/>
        <v>116.38999999999999</v>
      </c>
      <c r="M54" s="1"/>
      <c r="N54" s="5">
        <f t="shared" si="31"/>
        <v>0.4952765957446808</v>
      </c>
      <c r="O54" s="13"/>
      <c r="P54" s="1">
        <f>SUM(OSRRefP22_8x_0)</f>
        <v>1850.94</v>
      </c>
      <c r="Q54" s="1"/>
      <c r="R54" s="5">
        <f t="shared" si="32"/>
        <v>7.4347430127297547E-4</v>
      </c>
      <c r="S54" s="1"/>
      <c r="T54" s="1">
        <f>SUM(OSRRefT22_8x_0)</f>
        <v>1936.05</v>
      </c>
      <c r="U54" s="1"/>
      <c r="V54" s="5">
        <f t="shared" si="33"/>
        <v>8.0955503162380676E-4</v>
      </c>
      <c r="W54" s="1"/>
      <c r="X54" s="1">
        <f t="shared" si="34"/>
        <v>-85.1099999999999</v>
      </c>
      <c r="Y54" s="1"/>
      <c r="Z54" s="5">
        <f t="shared" si="35"/>
        <v>-4.3960641512357582E-2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>
        <v>351.39</v>
      </c>
      <c r="E55" s="2"/>
      <c r="F55" s="7">
        <f t="shared" si="28"/>
        <v>1.1325418142695239E-3</v>
      </c>
      <c r="G55" s="2"/>
      <c r="H55" s="6">
        <v>235</v>
      </c>
      <c r="I55" s="2"/>
      <c r="J55" s="7">
        <f t="shared" si="29"/>
        <v>6.8097486623190531E-4</v>
      </c>
      <c r="K55" s="2"/>
      <c r="L55" s="6">
        <f t="shared" si="30"/>
        <v>116.38999999999999</v>
      </c>
      <c r="M55" s="2"/>
      <c r="N55" s="7">
        <f t="shared" si="31"/>
        <v>0.4952765957446808</v>
      </c>
      <c r="O55" s="11"/>
      <c r="P55" s="6">
        <v>1850.94</v>
      </c>
      <c r="Q55" s="2"/>
      <c r="R55" s="7">
        <f t="shared" si="32"/>
        <v>7.4347430127297547E-4</v>
      </c>
      <c r="S55" s="2"/>
      <c r="T55" s="6">
        <v>1936.05</v>
      </c>
      <c r="U55" s="2"/>
      <c r="V55" s="7">
        <f t="shared" si="33"/>
        <v>8.0955503162380676E-4</v>
      </c>
      <c r="W55" s="2"/>
      <c r="X55" s="6">
        <f t="shared" si="34"/>
        <v>-85.1099999999999</v>
      </c>
      <c r="Y55" s="2"/>
      <c r="Z55" s="7">
        <f t="shared" si="35"/>
        <v>-4.3960641512357582E-2</v>
      </c>
    </row>
    <row r="56" spans="1:26" s="27" customFormat="1" outlineLevel="1" collapsed="1" x14ac:dyDescent="0.25">
      <c r="A56" s="25"/>
      <c r="B56" s="13" t="str">
        <f>CONCATENATE("     ","R/H Commissions                                   ")</f>
        <v xml:space="preserve">     R/H Commissions                                   </v>
      </c>
      <c r="C56" s="13"/>
      <c r="D56" s="1">
        <f>SUM(OSRRefD22_9x_0)</f>
        <v>25751.68</v>
      </c>
      <c r="E56" s="1"/>
      <c r="F56" s="5">
        <f t="shared" si="28"/>
        <v>8.2998532649444262E-2</v>
      </c>
      <c r="G56" s="1"/>
      <c r="H56" s="1">
        <f>SUM(OSRRefH22_9x_0)</f>
        <v>27334.870000000003</v>
      </c>
      <c r="I56" s="1"/>
      <c r="J56" s="5">
        <f t="shared" si="29"/>
        <v>7.9210040177517121E-2</v>
      </c>
      <c r="K56" s="1"/>
      <c r="L56" s="1">
        <f t="shared" si="30"/>
        <v>-1583.1900000000023</v>
      </c>
      <c r="M56" s="1"/>
      <c r="N56" s="5">
        <f t="shared" si="31"/>
        <v>-5.7918329225637513E-2</v>
      </c>
      <c r="O56" s="13"/>
      <c r="P56" s="1">
        <f>SUM(OSRRefP22_9x_0)</f>
        <v>191505.72</v>
      </c>
      <c r="Q56" s="1"/>
      <c r="R56" s="5">
        <f t="shared" si="32"/>
        <v>7.6922850749769345E-2</v>
      </c>
      <c r="S56" s="1"/>
      <c r="T56" s="1">
        <f>SUM(OSRRefT22_9x_0)</f>
        <v>181930.27000000002</v>
      </c>
      <c r="U56" s="1"/>
      <c r="V56" s="5">
        <f t="shared" si="33"/>
        <v>7.6073740597183817E-2</v>
      </c>
      <c r="W56" s="1"/>
      <c r="X56" s="1">
        <f t="shared" si="34"/>
        <v>9575.4499999999825</v>
      </c>
      <c r="Y56" s="1"/>
      <c r="Z56" s="5">
        <f t="shared" si="35"/>
        <v>5.2632527836076873E-2</v>
      </c>
    </row>
    <row r="57" spans="1:26" s="24" customFormat="1" hidden="1" outlineLevel="2" x14ac:dyDescent="0.25">
      <c r="A57" s="26"/>
      <c r="B57" s="11" t="str">
        <f>CONCATENATE("          ", "6387", " - ", "COMMISSION DUE HOUSING")</f>
        <v xml:space="preserve">          6387 - COMMISSION DUE HOUSING</v>
      </c>
      <c r="C57" s="11"/>
      <c r="D57" s="6">
        <v>25751.68</v>
      </c>
      <c r="E57" s="2"/>
      <c r="F57" s="7">
        <f t="shared" si="28"/>
        <v>8.2998532649444262E-2</v>
      </c>
      <c r="G57" s="2"/>
      <c r="H57" s="6">
        <v>27334.870000000003</v>
      </c>
      <c r="I57" s="2"/>
      <c r="J57" s="7">
        <f t="shared" si="29"/>
        <v>7.9210040177517121E-2</v>
      </c>
      <c r="K57" s="2"/>
      <c r="L57" s="6">
        <f t="shared" si="30"/>
        <v>-1583.1900000000023</v>
      </c>
      <c r="M57" s="2"/>
      <c r="N57" s="7">
        <f t="shared" si="31"/>
        <v>-5.7918329225637513E-2</v>
      </c>
      <c r="O57" s="11"/>
      <c r="P57" s="6">
        <v>191505.72</v>
      </c>
      <c r="Q57" s="2"/>
      <c r="R57" s="7">
        <f t="shared" si="32"/>
        <v>7.6922850749769345E-2</v>
      </c>
      <c r="S57" s="2"/>
      <c r="T57" s="6">
        <v>181930.27000000002</v>
      </c>
      <c r="U57" s="2"/>
      <c r="V57" s="7">
        <f t="shared" si="33"/>
        <v>7.6073740597183817E-2</v>
      </c>
      <c r="W57" s="2"/>
      <c r="X57" s="6">
        <f t="shared" si="34"/>
        <v>9575.4499999999825</v>
      </c>
      <c r="Y57" s="2"/>
      <c r="Z57" s="7">
        <f t="shared" si="35"/>
        <v>5.2632527836076873E-2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71.36</v>
      </c>
      <c r="E58" s="1"/>
      <c r="F58" s="5">
        <f t="shared" si="28"/>
        <v>2.2999568532477657E-4</v>
      </c>
      <c r="G58" s="1"/>
      <c r="H58" s="1">
        <f>SUM(OSRRefH22_10x_0)</f>
        <v>157.07999999999998</v>
      </c>
      <c r="I58" s="1"/>
      <c r="J58" s="5">
        <f t="shared" si="29"/>
        <v>4.5518098718173476E-4</v>
      </c>
      <c r="K58" s="1"/>
      <c r="L58" s="1">
        <f t="shared" si="30"/>
        <v>-85.719999999999985</v>
      </c>
      <c r="M58" s="1"/>
      <c r="N58" s="5">
        <f t="shared" si="31"/>
        <v>-0.54570919276801622</v>
      </c>
      <c r="O58" s="13"/>
      <c r="P58" s="1">
        <f>SUM(OSRRefP22_10x_0)</f>
        <v>8530.3700000000008</v>
      </c>
      <c r="Q58" s="1"/>
      <c r="R58" s="5">
        <f t="shared" si="32"/>
        <v>3.426427045366112E-3</v>
      </c>
      <c r="S58" s="1"/>
      <c r="T58" s="1">
        <f>SUM(OSRRefT22_10x_0)</f>
        <v>9174.9700000000012</v>
      </c>
      <c r="U58" s="1"/>
      <c r="V58" s="5">
        <f t="shared" si="33"/>
        <v>3.8364934420585623E-3</v>
      </c>
      <c r="W58" s="1"/>
      <c r="X58" s="1">
        <f t="shared" si="34"/>
        <v>-644.60000000000036</v>
      </c>
      <c r="Y58" s="1"/>
      <c r="Z58" s="5">
        <f t="shared" si="35"/>
        <v>-7.0256360511260552E-2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8238.75</v>
      </c>
      <c r="Q59" s="2"/>
      <c r="R59" s="7">
        <f t="shared" si="32"/>
        <v>3.3092909006303423E-3</v>
      </c>
      <c r="S59" s="2"/>
      <c r="T59" s="6">
        <v>8950.42</v>
      </c>
      <c r="U59" s="2"/>
      <c r="V59" s="7">
        <f t="shared" si="33"/>
        <v>3.7425983554899679E-3</v>
      </c>
      <c r="W59" s="2"/>
      <c r="X59" s="6">
        <f t="shared" si="34"/>
        <v>-711.67000000000007</v>
      </c>
      <c r="Y59" s="2"/>
      <c r="Z59" s="7">
        <f t="shared" si="35"/>
        <v>-7.9512469805886207E-2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>
        <v>71.36</v>
      </c>
      <c r="E60" s="2"/>
      <c r="F60" s="7">
        <f t="shared" si="28"/>
        <v>2.2999568532477657E-4</v>
      </c>
      <c r="G60" s="2"/>
      <c r="H60" s="6">
        <v>67.47</v>
      </c>
      <c r="I60" s="2"/>
      <c r="J60" s="7">
        <f t="shared" si="29"/>
        <v>1.9551223074326234E-4</v>
      </c>
      <c r="K60" s="2"/>
      <c r="L60" s="6">
        <f t="shared" si="30"/>
        <v>3.8900000000000006</v>
      </c>
      <c r="M60" s="2"/>
      <c r="N60" s="7">
        <f t="shared" si="31"/>
        <v>5.7655254187046104E-2</v>
      </c>
      <c r="O60" s="11"/>
      <c r="P60" s="6">
        <v>139.84</v>
      </c>
      <c r="Q60" s="2"/>
      <c r="R60" s="7">
        <f t="shared" si="32"/>
        <v>5.6170079143577257E-5</v>
      </c>
      <c r="S60" s="2"/>
      <c r="T60" s="6">
        <v>134.94</v>
      </c>
      <c r="U60" s="2"/>
      <c r="V60" s="7">
        <f t="shared" si="33"/>
        <v>5.6424862977359305E-5</v>
      </c>
      <c r="W60" s="2"/>
      <c r="X60" s="6">
        <f t="shared" si="34"/>
        <v>4.9000000000000057</v>
      </c>
      <c r="Y60" s="2"/>
      <c r="Z60" s="7">
        <f t="shared" si="35"/>
        <v>3.6312435156365834E-2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8"/>
        <v>0</v>
      </c>
      <c r="G61" s="2"/>
      <c r="H61" s="6">
        <v>89.61</v>
      </c>
      <c r="I61" s="2"/>
      <c r="J61" s="7">
        <f t="shared" si="29"/>
        <v>2.5966875643847247E-4</v>
      </c>
      <c r="K61" s="2"/>
      <c r="L61" s="6">
        <f t="shared" si="30"/>
        <v>-89.61</v>
      </c>
      <c r="M61" s="2"/>
      <c r="N61" s="7">
        <f t="shared" si="31"/>
        <v>-1</v>
      </c>
      <c r="O61" s="11"/>
      <c r="P61" s="6">
        <v>151.78</v>
      </c>
      <c r="Q61" s="2"/>
      <c r="R61" s="7">
        <f t="shared" si="32"/>
        <v>6.0966065592192185E-5</v>
      </c>
      <c r="S61" s="2"/>
      <c r="T61" s="6">
        <v>89.61</v>
      </c>
      <c r="U61" s="2"/>
      <c r="V61" s="7">
        <f t="shared" si="33"/>
        <v>3.747022359123438E-5</v>
      </c>
      <c r="W61" s="2"/>
      <c r="X61" s="6">
        <f t="shared" si="34"/>
        <v>62.17</v>
      </c>
      <c r="Y61" s="2"/>
      <c r="Z61" s="7">
        <f t="shared" si="35"/>
        <v>0.69378417587322849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SUM(OSRRefD22_11x_0)</f>
        <v>5871.89</v>
      </c>
      <c r="E62" s="1"/>
      <c r="F62" s="5">
        <f t="shared" ref="F62:F65" si="36">IF(D$12=0,0,D62/D$12)</f>
        <v>1.8925299393241345E-2</v>
      </c>
      <c r="G62" s="1"/>
      <c r="H62" s="1">
        <f>SUM(OSRRefH22_11x_0)</f>
        <v>4633.6499999999996</v>
      </c>
      <c r="I62" s="1"/>
      <c r="J62" s="5">
        <f t="shared" ref="J62:J65" si="37">IF(H$12=0,0,H62/H$12)</f>
        <v>1.3427230591129649E-2</v>
      </c>
      <c r="K62" s="1"/>
      <c r="L62" s="1">
        <f t="shared" ref="L62:L65" si="38">+D62-H62</f>
        <v>1238.2400000000007</v>
      </c>
      <c r="M62" s="1"/>
      <c r="N62" s="5">
        <f t="shared" ref="N62:N65" si="39">IF(H62=0,0,L62/H62)</f>
        <v>0.26722777939637238</v>
      </c>
      <c r="O62" s="13"/>
      <c r="P62" s="1">
        <f>SUM(OSRRefP22_11x_0)</f>
        <v>38108.210000000006</v>
      </c>
      <c r="Q62" s="1"/>
      <c r="R62" s="5">
        <f t="shared" ref="R62:R65" si="40">IF(P$12=0,0,P62/P$12)</f>
        <v>1.5307073596396327E-2</v>
      </c>
      <c r="S62" s="1"/>
      <c r="T62" s="1">
        <f>SUM(OSRRefT22_11x_0)</f>
        <v>35243.14</v>
      </c>
      <c r="U62" s="1"/>
      <c r="V62" s="5">
        <f t="shared" ref="V62:V65" si="41">IF(T$12=0,0,T62/T$12)</f>
        <v>1.4736841154527129E-2</v>
      </c>
      <c r="W62" s="1"/>
      <c r="X62" s="1">
        <f t="shared" ref="X62:X65" si="42">+P62-T62</f>
        <v>2865.070000000007</v>
      </c>
      <c r="Y62" s="1"/>
      <c r="Z62" s="5">
        <f t="shared" ref="Z62:Z65" si="43">IF(T62=0,0,X62/T62)</f>
        <v>8.1294402258141787E-2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834.64</v>
      </c>
      <c r="E63" s="2"/>
      <c r="F63" s="7">
        <f t="shared" si="36"/>
        <v>2.6900728531316074E-3</v>
      </c>
      <c r="G63" s="2"/>
      <c r="H63" s="6"/>
      <c r="I63" s="2"/>
      <c r="J63" s="7">
        <f t="shared" si="37"/>
        <v>0</v>
      </c>
      <c r="K63" s="2"/>
      <c r="L63" s="6">
        <f t="shared" si="38"/>
        <v>834.64</v>
      </c>
      <c r="M63" s="2"/>
      <c r="N63" s="7">
        <f t="shared" si="39"/>
        <v>0</v>
      </c>
      <c r="O63" s="11"/>
      <c r="P63" s="6">
        <v>3041.24</v>
      </c>
      <c r="Q63" s="2"/>
      <c r="R63" s="7">
        <f t="shared" si="40"/>
        <v>1.2215867526788678E-3</v>
      </c>
      <c r="S63" s="2"/>
      <c r="T63" s="6">
        <v>2086.6</v>
      </c>
      <c r="U63" s="2"/>
      <c r="V63" s="7">
        <f t="shared" si="41"/>
        <v>8.7250718162559598E-4</v>
      </c>
      <c r="W63" s="2"/>
      <c r="X63" s="6">
        <f t="shared" si="42"/>
        <v>954.63999999999987</v>
      </c>
      <c r="Y63" s="2"/>
      <c r="Z63" s="7">
        <f t="shared" si="43"/>
        <v>0.45750982459503492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>
        <v>3882.07</v>
      </c>
      <c r="E64" s="2"/>
      <c r="F64" s="7">
        <f t="shared" si="36"/>
        <v>1.2512042462566639E-2</v>
      </c>
      <c r="G64" s="2"/>
      <c r="H64" s="6">
        <v>3603.61</v>
      </c>
      <c r="I64" s="2"/>
      <c r="J64" s="7">
        <f t="shared" si="37"/>
        <v>1.0442416330646622E-2</v>
      </c>
      <c r="K64" s="2"/>
      <c r="L64" s="6">
        <f t="shared" si="38"/>
        <v>278.46000000000004</v>
      </c>
      <c r="M64" s="2"/>
      <c r="N64" s="7">
        <f t="shared" si="39"/>
        <v>7.727251284128972E-2</v>
      </c>
      <c r="O64" s="11"/>
      <c r="P64" s="6">
        <v>24549.38</v>
      </c>
      <c r="Q64" s="2"/>
      <c r="R64" s="7">
        <f t="shared" si="40"/>
        <v>9.860845377043426E-3</v>
      </c>
      <c r="S64" s="2"/>
      <c r="T64" s="6">
        <v>23369.66</v>
      </c>
      <c r="U64" s="2"/>
      <c r="V64" s="7">
        <f t="shared" si="41"/>
        <v>9.7719717157809007E-3</v>
      </c>
      <c r="W64" s="2"/>
      <c r="X64" s="6">
        <f t="shared" si="42"/>
        <v>1179.7200000000012</v>
      </c>
      <c r="Y64" s="2"/>
      <c r="Z64" s="7">
        <f t="shared" si="43"/>
        <v>5.0480837119581595E-2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>
        <v>1155.18</v>
      </c>
      <c r="E65" s="2"/>
      <c r="F65" s="7">
        <f t="shared" si="36"/>
        <v>3.723184077543097E-3</v>
      </c>
      <c r="G65" s="2"/>
      <c r="H65" s="6">
        <v>1030.04</v>
      </c>
      <c r="I65" s="2"/>
      <c r="J65" s="7">
        <f t="shared" si="37"/>
        <v>2.9848142604830285E-3</v>
      </c>
      <c r="K65" s="2"/>
      <c r="L65" s="6">
        <f t="shared" si="38"/>
        <v>125.1400000000001</v>
      </c>
      <c r="M65" s="2"/>
      <c r="N65" s="7">
        <f t="shared" si="39"/>
        <v>0.12149042755621151</v>
      </c>
      <c r="O65" s="11"/>
      <c r="P65" s="6">
        <v>10517.59</v>
      </c>
      <c r="Q65" s="2"/>
      <c r="R65" s="7">
        <f t="shared" si="40"/>
        <v>4.2246414666740322E-3</v>
      </c>
      <c r="S65" s="2"/>
      <c r="T65" s="6">
        <v>9786.8799999999992</v>
      </c>
      <c r="U65" s="2"/>
      <c r="V65" s="7">
        <f t="shared" si="41"/>
        <v>4.0923622571206334E-3</v>
      </c>
      <c r="W65" s="2"/>
      <c r="X65" s="6">
        <f t="shared" si="42"/>
        <v>730.71000000000095</v>
      </c>
      <c r="Y65" s="2"/>
      <c r="Z65" s="7">
        <f t="shared" si="43"/>
        <v>7.4662200823960342E-2</v>
      </c>
    </row>
    <row r="66" spans="1:26" s="27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4237.66</v>
      </c>
      <c r="E66" s="1"/>
      <c r="F66" s="5">
        <f t="shared" ref="F66:F73" si="44">IF(D$12=0,0,D66/D$12)</f>
        <v>1.3658121018405165E-2</v>
      </c>
      <c r="G66" s="1"/>
      <c r="H66" s="1">
        <f>SUM(OSRRefH22_12x_0)</f>
        <v>7383.6100000000006</v>
      </c>
      <c r="I66" s="1"/>
      <c r="J66" s="5">
        <f t="shared" ref="J66:J73" si="45">IF(H$12=0,0,H66/H$12)</f>
        <v>2.1395969498121524E-2</v>
      </c>
      <c r="K66" s="1"/>
      <c r="L66" s="1">
        <f t="shared" ref="L66:L73" si="46">+D66-H66</f>
        <v>-3145.9500000000007</v>
      </c>
      <c r="M66" s="1"/>
      <c r="N66" s="5">
        <f t="shared" ref="N66:N73" si="47">IF(H66=0,0,L66/H66)</f>
        <v>-0.42607207043708978</v>
      </c>
      <c r="O66" s="13"/>
      <c r="P66" s="1">
        <f>SUM(OSRRefP22_12x_0)</f>
        <v>39664.76</v>
      </c>
      <c r="Q66" s="1"/>
      <c r="R66" s="5">
        <f t="shared" ref="R66:R73" si="48">IF(P$12=0,0,P66/P$12)</f>
        <v>1.5932299116211364E-2</v>
      </c>
      <c r="S66" s="1"/>
      <c r="T66" s="1">
        <f>SUM(OSRRefT22_12x_0)</f>
        <v>47962.07</v>
      </c>
      <c r="U66" s="1"/>
      <c r="V66" s="5">
        <f t="shared" ref="V66:V73" si="49">IF(T$12=0,0,T66/T$12)</f>
        <v>2.0055233643549102E-2</v>
      </c>
      <c r="W66" s="1"/>
      <c r="X66" s="1">
        <f t="shared" ref="X66:X73" si="50">+P66-T66</f>
        <v>-8297.3099999999977</v>
      </c>
      <c r="Y66" s="1"/>
      <c r="Z66" s="5">
        <f t="shared" ref="Z66:Z73" si="51">IF(T66=0,0,X66/T66)</f>
        <v>-0.17299732893096562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6">
        <v>2414.9</v>
      </c>
      <c r="E67" s="2"/>
      <c r="F67" s="7">
        <f t="shared" si="44"/>
        <v>7.7833040988060948E-3</v>
      </c>
      <c r="G67" s="2"/>
      <c r="H67" s="6">
        <v>4002.47</v>
      </c>
      <c r="I67" s="2"/>
      <c r="J67" s="7">
        <f t="shared" si="45"/>
        <v>1.1598219033392398E-2</v>
      </c>
      <c r="K67" s="2"/>
      <c r="L67" s="6">
        <f t="shared" si="46"/>
        <v>-1587.5699999999997</v>
      </c>
      <c r="M67" s="2"/>
      <c r="N67" s="7">
        <f t="shared" si="47"/>
        <v>-0.39664757012544749</v>
      </c>
      <c r="O67" s="11"/>
      <c r="P67" s="6">
        <v>18289.47</v>
      </c>
      <c r="Q67" s="2"/>
      <c r="R67" s="7">
        <f t="shared" si="48"/>
        <v>7.3464028703810209E-3</v>
      </c>
      <c r="S67" s="2"/>
      <c r="T67" s="6">
        <v>22708.05</v>
      </c>
      <c r="U67" s="2"/>
      <c r="V67" s="7">
        <f t="shared" si="49"/>
        <v>9.4953209554840962E-3</v>
      </c>
      <c r="W67" s="2"/>
      <c r="X67" s="6">
        <f t="shared" si="50"/>
        <v>-4418.5799999999981</v>
      </c>
      <c r="Y67" s="2"/>
      <c r="Z67" s="7">
        <f t="shared" si="51"/>
        <v>-0.19458209753809766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6">
        <v>76.61</v>
      </c>
      <c r="E68" s="2"/>
      <c r="F68" s="7">
        <f t="shared" si="44"/>
        <v>2.4691661228603044E-4</v>
      </c>
      <c r="G68" s="2"/>
      <c r="H68" s="6">
        <v>889.28</v>
      </c>
      <c r="I68" s="2"/>
      <c r="J68" s="7">
        <f t="shared" si="45"/>
        <v>2.5769248044370582E-3</v>
      </c>
      <c r="K68" s="2"/>
      <c r="L68" s="6">
        <f t="shared" si="46"/>
        <v>-812.67</v>
      </c>
      <c r="M68" s="2"/>
      <c r="N68" s="7">
        <f t="shared" si="47"/>
        <v>-0.91385165527168044</v>
      </c>
      <c r="O68" s="11"/>
      <c r="P68" s="6">
        <v>3195.7</v>
      </c>
      <c r="Q68" s="2"/>
      <c r="R68" s="7">
        <f t="shared" si="48"/>
        <v>1.2836293043416035E-3</v>
      </c>
      <c r="S68" s="2"/>
      <c r="T68" s="6">
        <v>4499.58</v>
      </c>
      <c r="U68" s="2"/>
      <c r="V68" s="7">
        <f t="shared" si="49"/>
        <v>1.8814894394224573E-3</v>
      </c>
      <c r="W68" s="2"/>
      <c r="X68" s="6">
        <f t="shared" si="50"/>
        <v>-1303.8800000000001</v>
      </c>
      <c r="Y68" s="2"/>
      <c r="Z68" s="7">
        <f t="shared" si="51"/>
        <v>-0.28977815707243793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>
        <v>75.650000000000006</v>
      </c>
      <c r="E69" s="2"/>
      <c r="F69" s="7">
        <f t="shared" si="44"/>
        <v>2.4382249992740119E-4</v>
      </c>
      <c r="G69" s="2"/>
      <c r="H69" s="6">
        <v>112.76</v>
      </c>
      <c r="I69" s="2"/>
      <c r="J69" s="7">
        <f t="shared" si="45"/>
        <v>3.267520251757857E-4</v>
      </c>
      <c r="K69" s="2"/>
      <c r="L69" s="6">
        <f t="shared" si="46"/>
        <v>-37.11</v>
      </c>
      <c r="M69" s="2"/>
      <c r="N69" s="7">
        <f t="shared" si="47"/>
        <v>-0.32910606598084424</v>
      </c>
      <c r="O69" s="11"/>
      <c r="P69" s="6">
        <v>1415.25</v>
      </c>
      <c r="Q69" s="2"/>
      <c r="R69" s="7">
        <f t="shared" si="48"/>
        <v>5.6846899676736063E-4</v>
      </c>
      <c r="S69" s="2"/>
      <c r="T69" s="6">
        <v>2164.83</v>
      </c>
      <c r="U69" s="2"/>
      <c r="V69" s="7">
        <f t="shared" si="49"/>
        <v>9.0521888335020565E-4</v>
      </c>
      <c r="W69" s="2"/>
      <c r="X69" s="6">
        <f t="shared" si="50"/>
        <v>-749.57999999999993</v>
      </c>
      <c r="Y69" s="2"/>
      <c r="Z69" s="7">
        <f t="shared" si="51"/>
        <v>-0.3462535164423996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6">
        <v>1670.5</v>
      </c>
      <c r="E70" s="2"/>
      <c r="F70" s="7">
        <f t="shared" si="44"/>
        <v>5.3840778073856394E-3</v>
      </c>
      <c r="G70" s="2"/>
      <c r="H70" s="6">
        <v>2379.1</v>
      </c>
      <c r="I70" s="2"/>
      <c r="J70" s="7">
        <f t="shared" si="45"/>
        <v>6.8940736351162796E-3</v>
      </c>
      <c r="K70" s="2"/>
      <c r="L70" s="6">
        <f t="shared" si="46"/>
        <v>-708.59999999999991</v>
      </c>
      <c r="M70" s="2"/>
      <c r="N70" s="7">
        <f t="shared" si="47"/>
        <v>-0.29784372241603962</v>
      </c>
      <c r="O70" s="11"/>
      <c r="P70" s="6">
        <v>15018.42</v>
      </c>
      <c r="Q70" s="2"/>
      <c r="R70" s="7">
        <f t="shared" si="48"/>
        <v>6.0325074371530571E-3</v>
      </c>
      <c r="S70" s="2"/>
      <c r="T70" s="6">
        <v>13749.1</v>
      </c>
      <c r="U70" s="2"/>
      <c r="V70" s="7">
        <f t="shared" si="49"/>
        <v>5.7491557993331176E-3</v>
      </c>
      <c r="W70" s="2"/>
      <c r="X70" s="6">
        <f t="shared" si="50"/>
        <v>1269.3199999999997</v>
      </c>
      <c r="Y70" s="2"/>
      <c r="Z70" s="7">
        <f t="shared" si="51"/>
        <v>9.2320224596519021E-2</v>
      </c>
    </row>
    <row r="71" spans="1:26" s="24" customFormat="1" hidden="1" outlineLevel="2" x14ac:dyDescent="0.25">
      <c r="A71" s="26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>
        <v>441</v>
      </c>
      <c r="Q71" s="2"/>
      <c r="R71" s="7">
        <f t="shared" si="48"/>
        <v>1.771381929513556E-4</v>
      </c>
      <c r="S71" s="2"/>
      <c r="T71" s="6">
        <v>1522.08</v>
      </c>
      <c r="U71" s="2"/>
      <c r="V71" s="7">
        <f t="shared" si="49"/>
        <v>6.3645439040002259E-4</v>
      </c>
      <c r="W71" s="2"/>
      <c r="X71" s="6">
        <f t="shared" si="50"/>
        <v>-1081.08</v>
      </c>
      <c r="Y71" s="2"/>
      <c r="Z71" s="7">
        <f t="shared" si="51"/>
        <v>-0.71026490066225167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82.5</v>
      </c>
      <c r="Q72" s="2"/>
      <c r="R72" s="7">
        <f t="shared" si="48"/>
        <v>3.3138097320831834E-5</v>
      </c>
      <c r="S72" s="2"/>
      <c r="T72" s="6"/>
      <c r="U72" s="2"/>
      <c r="V72" s="7">
        <f t="shared" si="49"/>
        <v>0</v>
      </c>
      <c r="W72" s="2"/>
      <c r="X72" s="6">
        <f t="shared" si="50"/>
        <v>82.5</v>
      </c>
      <c r="Y72" s="2"/>
      <c r="Z72" s="7">
        <f t="shared" si="51"/>
        <v>0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1222.42</v>
      </c>
      <c r="Q73" s="2"/>
      <c r="R73" s="7">
        <f t="shared" si="48"/>
        <v>4.9101421729613639E-4</v>
      </c>
      <c r="S73" s="2"/>
      <c r="T73" s="6">
        <v>3318.43</v>
      </c>
      <c r="U73" s="2"/>
      <c r="V73" s="7">
        <f t="shared" si="49"/>
        <v>1.3875941755592E-3</v>
      </c>
      <c r="W73" s="2"/>
      <c r="X73" s="6">
        <f t="shared" si="50"/>
        <v>-2096.0099999999998</v>
      </c>
      <c r="Y73" s="2"/>
      <c r="Z73" s="7">
        <f t="shared" si="51"/>
        <v>-0.63162700433638796</v>
      </c>
    </row>
    <row r="74" spans="1:26" s="27" customFormat="1" outlineLevel="1" collapsed="1" x14ac:dyDescent="0.25">
      <c r="A74" s="25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189.3</v>
      </c>
      <c r="E74" s="1"/>
      <c r="F74" s="5">
        <f t="shared" ref="F74:F80" si="52">IF(D$12=0,0,D74/D$12)</f>
        <v>6.1012028071721143E-4</v>
      </c>
      <c r="G74" s="1"/>
      <c r="H74" s="1">
        <f>SUM(OSRRefH22_13x_0)</f>
        <v>173.35</v>
      </c>
      <c r="I74" s="1"/>
      <c r="J74" s="5">
        <f t="shared" ref="J74:J80" si="53">IF(H$12=0,0,H74/H$12)</f>
        <v>5.0232763004808836E-4</v>
      </c>
      <c r="K74" s="1"/>
      <c r="L74" s="1">
        <f t="shared" ref="L74:L80" si="54">+D74-H74</f>
        <v>15.950000000000017</v>
      </c>
      <c r="M74" s="1"/>
      <c r="N74" s="5">
        <f t="shared" ref="N74:N80" si="55">IF(H74=0,0,L74/H74)</f>
        <v>9.2010383616960012E-2</v>
      </c>
      <c r="O74" s="13"/>
      <c r="P74" s="1">
        <f>SUM(OSRRefP22_13x_0)</f>
        <v>1123.25</v>
      </c>
      <c r="Q74" s="1"/>
      <c r="R74" s="5">
        <f t="shared" ref="R74:R80" si="56">IF(P$12=0,0,P74/P$12)</f>
        <v>4.5118021594696189E-4</v>
      </c>
      <c r="S74" s="1"/>
      <c r="T74" s="1">
        <f>SUM(OSRRefT22_13x_0)</f>
        <v>1079.45</v>
      </c>
      <c r="U74" s="1"/>
      <c r="V74" s="5">
        <f t="shared" ref="V74:V80" si="57">IF(T$12=0,0,T74/T$12)</f>
        <v>4.5136963347347346E-4</v>
      </c>
      <c r="W74" s="1"/>
      <c r="X74" s="1">
        <f t="shared" ref="X74:X80" si="58">+P74-T74</f>
        <v>43.799999999999955</v>
      </c>
      <c r="Y74" s="1"/>
      <c r="Z74" s="5">
        <f t="shared" ref="Z74:Z80" si="59">IF(T74=0,0,X74/T74)</f>
        <v>4.0576219370975913E-2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6">
        <v>189.3</v>
      </c>
      <c r="E75" s="2"/>
      <c r="F75" s="7">
        <f t="shared" si="52"/>
        <v>6.1012028071721143E-4</v>
      </c>
      <c r="G75" s="2"/>
      <c r="H75" s="6">
        <v>173.35</v>
      </c>
      <c r="I75" s="2"/>
      <c r="J75" s="7">
        <f t="shared" si="53"/>
        <v>5.0232763004808836E-4</v>
      </c>
      <c r="K75" s="2"/>
      <c r="L75" s="6">
        <f t="shared" si="54"/>
        <v>15.950000000000017</v>
      </c>
      <c r="M75" s="2"/>
      <c r="N75" s="7">
        <f t="shared" si="55"/>
        <v>9.2010383616960012E-2</v>
      </c>
      <c r="O75" s="11"/>
      <c r="P75" s="6">
        <v>1123.25</v>
      </c>
      <c r="Q75" s="2"/>
      <c r="R75" s="7">
        <f t="shared" si="56"/>
        <v>4.5118021594696189E-4</v>
      </c>
      <c r="S75" s="2"/>
      <c r="T75" s="6">
        <v>1079.45</v>
      </c>
      <c r="U75" s="2"/>
      <c r="V75" s="7">
        <f t="shared" si="57"/>
        <v>4.5136963347347346E-4</v>
      </c>
      <c r="W75" s="2"/>
      <c r="X75" s="6">
        <f t="shared" si="58"/>
        <v>43.799999999999955</v>
      </c>
      <c r="Y75" s="2"/>
      <c r="Z75" s="7">
        <f t="shared" si="59"/>
        <v>4.0576219370975913E-2</v>
      </c>
    </row>
    <row r="76" spans="1:26" s="27" customFormat="1" outlineLevel="1" collapsed="1" x14ac:dyDescent="0.25">
      <c r="A76" s="25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SUM(OSRRefD22_14x_0)</f>
        <v>0</v>
      </c>
      <c r="E76" s="1"/>
      <c r="F76" s="5">
        <f t="shared" si="52"/>
        <v>0</v>
      </c>
      <c r="G76" s="1"/>
      <c r="H76" s="1">
        <f>SUM(OSRRefH22_14x_0)</f>
        <v>210.86</v>
      </c>
      <c r="I76" s="1"/>
      <c r="J76" s="5">
        <f t="shared" si="53"/>
        <v>6.1102280976025344E-4</v>
      </c>
      <c r="K76" s="1"/>
      <c r="L76" s="1">
        <f t="shared" si="54"/>
        <v>-210.86</v>
      </c>
      <c r="M76" s="1"/>
      <c r="N76" s="5">
        <f t="shared" si="55"/>
        <v>-1</v>
      </c>
      <c r="O76" s="13"/>
      <c r="P76" s="1">
        <f>SUM(OSRRefP22_14x_0)</f>
        <v>617.37</v>
      </c>
      <c r="Q76" s="1"/>
      <c r="R76" s="5">
        <f t="shared" si="56"/>
        <v>2.479814199146903E-4</v>
      </c>
      <c r="S76" s="1"/>
      <c r="T76" s="1">
        <f>SUM(OSRRefT22_14x_0)</f>
        <v>1537.24</v>
      </c>
      <c r="U76" s="1"/>
      <c r="V76" s="5">
        <f t="shared" si="57"/>
        <v>6.4279351091830312E-4</v>
      </c>
      <c r="W76" s="1"/>
      <c r="X76" s="1">
        <f t="shared" si="58"/>
        <v>-919.87</v>
      </c>
      <c r="Y76" s="1"/>
      <c r="Z76" s="5">
        <f t="shared" si="59"/>
        <v>-0.5983906221539903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52"/>
        <v>0</v>
      </c>
      <c r="G77" s="2"/>
      <c r="H77" s="6">
        <v>210.86</v>
      </c>
      <c r="I77" s="2"/>
      <c r="J77" s="7">
        <f t="shared" si="53"/>
        <v>6.1102280976025344E-4</v>
      </c>
      <c r="K77" s="2"/>
      <c r="L77" s="6">
        <f t="shared" si="54"/>
        <v>-210.86</v>
      </c>
      <c r="M77" s="2"/>
      <c r="N77" s="7">
        <f t="shared" si="55"/>
        <v>-1</v>
      </c>
      <c r="O77" s="11"/>
      <c r="P77" s="6">
        <v>617.37</v>
      </c>
      <c r="Q77" s="2"/>
      <c r="R77" s="7">
        <f t="shared" si="56"/>
        <v>2.479814199146903E-4</v>
      </c>
      <c r="S77" s="2"/>
      <c r="T77" s="6">
        <v>1537.24</v>
      </c>
      <c r="U77" s="2"/>
      <c r="V77" s="7">
        <f t="shared" si="57"/>
        <v>6.4279351091830312E-4</v>
      </c>
      <c r="W77" s="2"/>
      <c r="X77" s="6">
        <f t="shared" si="58"/>
        <v>-919.87</v>
      </c>
      <c r="Y77" s="2"/>
      <c r="Z77" s="7">
        <f t="shared" si="59"/>
        <v>-0.5983906221539903</v>
      </c>
    </row>
    <row r="78" spans="1:26" s="27" customFormat="1" outlineLevel="1" collapsed="1" x14ac:dyDescent="0.25">
      <c r="A78" s="25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SUM(OSRRefD22_15x_0)</f>
        <v>0</v>
      </c>
      <c r="E78" s="1"/>
      <c r="F78" s="5">
        <f t="shared" si="52"/>
        <v>0</v>
      </c>
      <c r="G78" s="1"/>
      <c r="H78" s="1">
        <f>SUM(OSRRefH22_15x_0)</f>
        <v>52.5</v>
      </c>
      <c r="I78" s="1"/>
      <c r="J78" s="5">
        <f t="shared" si="53"/>
        <v>1.5213268288159586E-4</v>
      </c>
      <c r="K78" s="1"/>
      <c r="L78" s="1">
        <f t="shared" si="54"/>
        <v>-52.5</v>
      </c>
      <c r="M78" s="1"/>
      <c r="N78" s="5">
        <f t="shared" si="55"/>
        <v>-1</v>
      </c>
      <c r="O78" s="13"/>
      <c r="P78" s="1">
        <f>SUM(OSRRefP22_15x_0)</f>
        <v>1429.86</v>
      </c>
      <c r="Q78" s="1"/>
      <c r="R78" s="5">
        <f t="shared" si="56"/>
        <v>5.7433745254744967E-4</v>
      </c>
      <c r="S78" s="1"/>
      <c r="T78" s="1">
        <f>SUM(OSRRefT22_15x_0)</f>
        <v>350.5</v>
      </c>
      <c r="U78" s="1"/>
      <c r="V78" s="5">
        <f t="shared" si="57"/>
        <v>1.4656080090087771E-4</v>
      </c>
      <c r="W78" s="1"/>
      <c r="X78" s="1">
        <f t="shared" si="58"/>
        <v>1079.3599999999999</v>
      </c>
      <c r="Y78" s="1"/>
      <c r="Z78" s="5">
        <f t="shared" si="59"/>
        <v>3.0794864479315263</v>
      </c>
    </row>
    <row r="79" spans="1:26" s="24" customFormat="1" hidden="1" outlineLevel="2" x14ac:dyDescent="0.25">
      <c r="A79" s="26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>
        <v>1429.86</v>
      </c>
      <c r="Q79" s="2"/>
      <c r="R79" s="7">
        <f t="shared" si="56"/>
        <v>5.7433745254744967E-4</v>
      </c>
      <c r="S79" s="2"/>
      <c r="T79" s="6"/>
      <c r="U79" s="2"/>
      <c r="V79" s="7">
        <f t="shared" si="57"/>
        <v>0</v>
      </c>
      <c r="W79" s="2"/>
      <c r="X79" s="6">
        <f t="shared" si="58"/>
        <v>1429.86</v>
      </c>
      <c r="Y79" s="2"/>
      <c r="Z79" s="7">
        <f t="shared" si="59"/>
        <v>0</v>
      </c>
    </row>
    <row r="80" spans="1:26" s="24" customFormat="1" hidden="1" outlineLevel="2" x14ac:dyDescent="0.25">
      <c r="A80" s="26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52"/>
        <v>0</v>
      </c>
      <c r="G80" s="2"/>
      <c r="H80" s="6">
        <v>52.5</v>
      </c>
      <c r="I80" s="2"/>
      <c r="J80" s="7">
        <f t="shared" si="53"/>
        <v>1.5213268288159586E-4</v>
      </c>
      <c r="K80" s="2"/>
      <c r="L80" s="6">
        <f t="shared" si="54"/>
        <v>-52.5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350.5</v>
      </c>
      <c r="U80" s="2"/>
      <c r="V80" s="7">
        <f t="shared" si="57"/>
        <v>1.4656080090087771E-4</v>
      </c>
      <c r="W80" s="2"/>
      <c r="X80" s="6">
        <f t="shared" si="58"/>
        <v>-350.5</v>
      </c>
      <c r="Y80" s="2"/>
      <c r="Z80" s="7">
        <f t="shared" si="59"/>
        <v>-1</v>
      </c>
    </row>
    <row r="81" spans="1:26" s="61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8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9" t="s">
        <v>3</v>
      </c>
      <c r="C84" s="29"/>
      <c r="D84" s="20">
        <f>+D22-D24+D82</f>
        <v>85356.650000000052</v>
      </c>
      <c r="E84" s="14"/>
      <c r="F84" s="21">
        <f>IF(D$12=0,0,D84/D$12)</f>
        <v>0.27510736005853559</v>
      </c>
      <c r="G84" s="14"/>
      <c r="H84" s="20">
        <f>+H22-H24+H82</f>
        <v>123357.39999999997</v>
      </c>
      <c r="I84" s="14"/>
      <c r="J84" s="21">
        <f>IF(H$12=0,0,H84/H$12)</f>
        <v>0.35746080410091746</v>
      </c>
      <c r="K84" s="15"/>
      <c r="L84" s="20">
        <f>+D84-H84</f>
        <v>-38000.749999999913</v>
      </c>
      <c r="M84" s="15"/>
      <c r="N84" s="21">
        <f>IF(H84=0,0,L84/H84)</f>
        <v>-0.30805407701524129</v>
      </c>
      <c r="O84" s="28"/>
      <c r="P84" s="20">
        <f>+P22-P24+P82</f>
        <v>877719.77999999968</v>
      </c>
      <c r="Q84" s="14"/>
      <c r="R84" s="21">
        <f>IF(P$12=0,0,P84/P$12)</f>
        <v>0.35255713321283749</v>
      </c>
      <c r="S84" s="14"/>
      <c r="T84" s="20">
        <f>+T22-T24+T82</f>
        <v>880616.11999999953</v>
      </c>
      <c r="U84" s="14"/>
      <c r="V84" s="21">
        <f>IF(T$12=0,0,T84/T$12)</f>
        <v>0.36822768568737052</v>
      </c>
      <c r="W84" s="15"/>
      <c r="X84" s="20">
        <f>+P84-T84</f>
        <v>-2896.339999999851</v>
      </c>
      <c r="Y84" s="15"/>
      <c r="Z84" s="21">
        <f>IF(T84=0,0,X84/T84)</f>
        <v>-3.288992711148477E-3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38119.279999999999</v>
      </c>
      <c r="E86" s="4"/>
      <c r="F86" s="12">
        <f>IF(D$12=0,0,D86/D$12)</f>
        <v>0.12285972432296872</v>
      </c>
      <c r="G86" s="4"/>
      <c r="H86" s="4">
        <v>42751.270000000004</v>
      </c>
      <c r="I86" s="4"/>
      <c r="J86" s="12">
        <f>IF(H$12=0,0,H86/H$12)</f>
        <v>0.12388315050848539</v>
      </c>
      <c r="K86" s="4"/>
      <c r="L86" s="4">
        <f>+D86-H86</f>
        <v>-4631.9900000000052</v>
      </c>
      <c r="M86" s="4"/>
      <c r="N86" s="12">
        <f>IF(H86=0,0,L86/H86)</f>
        <v>-0.10834742453265142</v>
      </c>
      <c r="O86" s="10"/>
      <c r="P86" s="4">
        <v>268893.99</v>
      </c>
      <c r="Q86" s="4"/>
      <c r="R86" s="12">
        <f>IF(P$12=0,0,P86/P$12)</f>
        <v>0.10800769951038522</v>
      </c>
      <c r="S86" s="4"/>
      <c r="T86" s="4">
        <v>258078.94</v>
      </c>
      <c r="U86" s="4"/>
      <c r="V86" s="12">
        <f>IF(T$12=0,0,T86/T$12)</f>
        <v>0.10791513877902871</v>
      </c>
      <c r="W86" s="4"/>
      <c r="X86" s="4">
        <f>+P86-T86</f>
        <v>10815.049999999988</v>
      </c>
      <c r="Y86" s="4"/>
      <c r="Z86" s="12">
        <f>IF(T86=0,0,X86/T86)</f>
        <v>4.1905976520207298E-2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4</v>
      </c>
      <c r="C88" s="29"/>
      <c r="D88" s="32">
        <f>+D84-D86</f>
        <v>47237.370000000054</v>
      </c>
      <c r="E88" s="14"/>
      <c r="F88" s="30">
        <f>IF(D$12=0,0,D88/D$12)</f>
        <v>0.15224763573556688</v>
      </c>
      <c r="G88" s="14"/>
      <c r="H88" s="32">
        <f>+H84-H86</f>
        <v>80606.129999999961</v>
      </c>
      <c r="I88" s="14"/>
      <c r="J88" s="30">
        <f>IF(H$12=0,0,H88/H$12)</f>
        <v>0.23357765359243207</v>
      </c>
      <c r="K88" s="15"/>
      <c r="L88" s="32">
        <f>D88-H88</f>
        <v>-33368.759999999907</v>
      </c>
      <c r="M88" s="15"/>
      <c r="N88" s="30">
        <f>IF(H88=0,0,L88/H88)</f>
        <v>-0.41397298195558979</v>
      </c>
      <c r="O88" s="28"/>
      <c r="P88" s="32">
        <f>+P84-P86</f>
        <v>608825.78999999969</v>
      </c>
      <c r="Q88" s="14"/>
      <c r="R88" s="30">
        <f>IF(P$12=0,0,P88/P$12)</f>
        <v>0.24454943370245227</v>
      </c>
      <c r="S88" s="14"/>
      <c r="T88" s="32">
        <f>+T84-T86</f>
        <v>622537.17999999947</v>
      </c>
      <c r="U88" s="14"/>
      <c r="V88" s="30">
        <f>IF(T$12=0,0,T88/T$12)</f>
        <v>0.26031254690834177</v>
      </c>
      <c r="W88" s="15"/>
      <c r="X88" s="32">
        <f>P88-T88</f>
        <v>-13711.389999999781</v>
      </c>
      <c r="Y88" s="15"/>
      <c r="Z88" s="30">
        <f>IF(T88=0,0,X88/T88)</f>
        <v>-2.2025013831302079E-2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5</v>
      </c>
      <c r="C91" s="29"/>
      <c r="D91" s="36">
        <f>SUM(D88:D90)</f>
        <v>47237.370000000054</v>
      </c>
      <c r="E91" s="14"/>
      <c r="F91" s="31">
        <f>IF(D$12=0,0,D91/D$12)</f>
        <v>0.15224763573556688</v>
      </c>
      <c r="G91" s="14"/>
      <c r="H91" s="36">
        <f>SUM(H88:H90)</f>
        <v>80606.129999999961</v>
      </c>
      <c r="I91" s="14"/>
      <c r="J91" s="31">
        <f>IF(H$12=0,0,H91/H$12)</f>
        <v>0.23357765359243207</v>
      </c>
      <c r="K91" s="15"/>
      <c r="L91" s="36">
        <f>+D91-H91</f>
        <v>-33368.759999999907</v>
      </c>
      <c r="M91" s="15"/>
      <c r="N91" s="31">
        <f>IF(H91=0,0,L91/H91)</f>
        <v>-0.41397298195558979</v>
      </c>
      <c r="O91" s="28"/>
      <c r="P91" s="36">
        <f>SUM(P88:P90)</f>
        <v>608825.78999999969</v>
      </c>
      <c r="Q91" s="14"/>
      <c r="R91" s="31">
        <f>IF(P$12=0,0,P91/P$12)</f>
        <v>0.24454943370245227</v>
      </c>
      <c r="S91" s="14"/>
      <c r="T91" s="36">
        <f>SUM(T88:T90)</f>
        <v>622537.17999999947</v>
      </c>
      <c r="U91" s="14"/>
      <c r="V91" s="31">
        <f>IF(T$12=0,0,T91/T$12)</f>
        <v>0.26031254690834177</v>
      </c>
      <c r="W91" s="15"/>
      <c r="X91" s="36">
        <f>+P91-T91</f>
        <v>-13711.389999999781</v>
      </c>
      <c r="Y91" s="15"/>
      <c r="Z91" s="31">
        <f>IF(T91=0,0,X91/T91)</f>
        <v>-2.2025013831302079E-2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2">
        <v>43847.454207488423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6" t="s">
        <v>313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4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","435", " - ", "Ground Floor Coffee House")</f>
        <v>Department 435 - Ground Floor Coffee House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871.66000000000008</v>
      </c>
      <c r="E12" s="4"/>
      <c r="F12" s="12"/>
      <c r="G12" s="4"/>
      <c r="H12" s="4">
        <f>SUM(OSRRefH13x_0)</f>
        <v>1057.67</v>
      </c>
      <c r="I12" s="4"/>
      <c r="J12" s="12"/>
      <c r="K12" s="4"/>
      <c r="L12" s="4">
        <f t="shared" ref="L12:L15" si="0">+D12-H12</f>
        <v>-186.01</v>
      </c>
      <c r="M12" s="4"/>
      <c r="N12" s="12">
        <f t="shared" ref="N12:N15" si="1">IF(H12=0,0,L12/H12)</f>
        <v>-0.17586770920986694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5298.12</v>
      </c>
      <c r="U12" s="4"/>
      <c r="V12" s="12"/>
      <c r="W12" s="4"/>
      <c r="X12" s="4">
        <f t="shared" ref="X12:X15" si="2">+P12-T12</f>
        <v>-119.09999999999945</v>
      </c>
      <c r="Y12" s="4"/>
      <c r="Z12" s="12">
        <f t="shared" ref="Z12:Z15" si="3">IF(T12=0,0,X12/T12)</f>
        <v>-2.2479672034608399E-2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--169.57</f>
        <v>169.57</v>
      </c>
      <c r="E13" s="2"/>
      <c r="F13" s="19"/>
      <c r="G13" s="2"/>
      <c r="H13" s="2">
        <f>--178.83</f>
        <v>178.83</v>
      </c>
      <c r="I13" s="2"/>
      <c r="J13" s="19"/>
      <c r="K13" s="2"/>
      <c r="L13" s="2">
        <f t="shared" si="0"/>
        <v>-9.2600000000000193</v>
      </c>
      <c r="M13" s="2"/>
      <c r="N13" s="19">
        <f t="shared" si="1"/>
        <v>-5.178102108147413E-2</v>
      </c>
      <c r="O13" s="11"/>
      <c r="P13" s="2">
        <f>--973.49</f>
        <v>973.49</v>
      </c>
      <c r="Q13" s="2"/>
      <c r="R13" s="19"/>
      <c r="S13" s="2"/>
      <c r="T13" s="2">
        <f>--743.79</f>
        <v>743.79</v>
      </c>
      <c r="U13" s="2"/>
      <c r="V13" s="19"/>
      <c r="W13" s="2"/>
      <c r="X13" s="2">
        <f t="shared" si="2"/>
        <v>229.70000000000005</v>
      </c>
      <c r="Y13" s="2"/>
      <c r="Z13" s="19">
        <f t="shared" si="3"/>
        <v>0.30882372712728062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0</f>
        <v>0</v>
      </c>
      <c r="E14" s="2"/>
      <c r="F14" s="19"/>
      <c r="G14" s="2"/>
      <c r="H14" s="2">
        <f>--252.75</f>
        <v>252.75</v>
      </c>
      <c r="I14" s="2"/>
      <c r="J14" s="19"/>
      <c r="K14" s="2"/>
      <c r="L14" s="2">
        <f t="shared" si="0"/>
        <v>-252.75</v>
      </c>
      <c r="M14" s="2"/>
      <c r="N14" s="19">
        <f t="shared" si="1"/>
        <v>-1</v>
      </c>
      <c r="O14" s="11"/>
      <c r="P14" s="2">
        <f>--471.63</f>
        <v>471.63</v>
      </c>
      <c r="Q14" s="2"/>
      <c r="R14" s="19"/>
      <c r="S14" s="2"/>
      <c r="T14" s="2">
        <f>--252.75</f>
        <v>252.75</v>
      </c>
      <c r="U14" s="2"/>
      <c r="V14" s="19"/>
      <c r="W14" s="2"/>
      <c r="X14" s="2">
        <f t="shared" si="2"/>
        <v>218.88</v>
      </c>
      <c r="Y14" s="2"/>
      <c r="Z14" s="19">
        <f t="shared" si="3"/>
        <v>0.86599406528189904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>--702.09</f>
        <v>702.09</v>
      </c>
      <c r="E15" s="2"/>
      <c r="F15" s="19"/>
      <c r="G15" s="2"/>
      <c r="H15" s="2">
        <f>--626.09</f>
        <v>626.09</v>
      </c>
      <c r="I15" s="2"/>
      <c r="J15" s="19"/>
      <c r="K15" s="2"/>
      <c r="L15" s="2">
        <f t="shared" si="0"/>
        <v>76</v>
      </c>
      <c r="M15" s="2"/>
      <c r="N15" s="19">
        <f t="shared" si="1"/>
        <v>0.12138829880688079</v>
      </c>
      <c r="O15" s="11"/>
      <c r="P15" s="2">
        <f>--3733.9</f>
        <v>3733.9</v>
      </c>
      <c r="Q15" s="2"/>
      <c r="R15" s="19"/>
      <c r="S15" s="2"/>
      <c r="T15" s="2">
        <f>--4301.58</f>
        <v>4301.58</v>
      </c>
      <c r="U15" s="2"/>
      <c r="V15" s="19"/>
      <c r="W15" s="2"/>
      <c r="X15" s="2">
        <f t="shared" si="2"/>
        <v>-567.67999999999984</v>
      </c>
      <c r="Y15" s="2"/>
      <c r="Z15" s="19">
        <f t="shared" si="3"/>
        <v>-0.13197011330720337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383</v>
      </c>
      <c r="E17" s="4"/>
      <c r="F17" s="12">
        <f t="shared" ref="F17:F19" si="4">IF(D$12=0,0,D17/D$12)</f>
        <v>0.43939150586237752</v>
      </c>
      <c r="G17" s="4"/>
      <c r="H17" s="4">
        <f>SUM(OSRRefH16x_0)</f>
        <v>773.2</v>
      </c>
      <c r="I17" s="4"/>
      <c r="J17" s="12">
        <f t="shared" ref="J17:J19" si="5">IF(H$12=0,0,H17/H$12)</f>
        <v>0.73104087286204578</v>
      </c>
      <c r="K17" s="4"/>
      <c r="L17" s="4">
        <f t="shared" ref="L17:L19" si="6">+D17-H17</f>
        <v>-390.20000000000005</v>
      </c>
      <c r="M17" s="4"/>
      <c r="N17" s="12">
        <f t="shared" ref="N17:N19" si="7">IF(H17=0,0,L17/H17)</f>
        <v>-0.50465597516813243</v>
      </c>
      <c r="O17" s="10"/>
      <c r="P17" s="4">
        <f>SUM(OSRRefP16x_0)</f>
        <v>1954.47</v>
      </c>
      <c r="Q17" s="4"/>
      <c r="R17" s="12">
        <f t="shared" ref="R17:R19" si="8">IF(P$12=0,0,P17/P$12)</f>
        <v>0.37738220744465167</v>
      </c>
      <c r="S17" s="4"/>
      <c r="T17" s="4">
        <f>SUM(OSRRefT16x_0)</f>
        <v>2882.96</v>
      </c>
      <c r="U17" s="4"/>
      <c r="V17" s="12">
        <f t="shared" ref="V17:V19" si="9">IF(T$12=0,0,T17/T$12)</f>
        <v>0.54414773542313122</v>
      </c>
      <c r="W17" s="4"/>
      <c r="X17" s="4">
        <f t="shared" ref="X17:X19" si="10">+P17-T17</f>
        <v>-928.49</v>
      </c>
      <c r="Y17" s="4"/>
      <c r="Z17" s="12">
        <f t="shared" ref="Z17:Z19" si="11">IF(T17=0,0,X17/T17)</f>
        <v>-0.32206135360879096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4"/>
        <v>0</v>
      </c>
      <c r="G18" s="2"/>
      <c r="H18" s="2">
        <v>279.2</v>
      </c>
      <c r="I18" s="2"/>
      <c r="J18" s="19">
        <f t="shared" si="5"/>
        <v>0.26397647659477907</v>
      </c>
      <c r="K18" s="2"/>
      <c r="L18" s="2">
        <f t="shared" si="6"/>
        <v>-279.2</v>
      </c>
      <c r="M18" s="2"/>
      <c r="N18" s="19">
        <f t="shared" si="7"/>
        <v>-1</v>
      </c>
      <c r="O18" s="11"/>
      <c r="P18" s="2">
        <v>3948.48</v>
      </c>
      <c r="Q18" s="2"/>
      <c r="R18" s="19">
        <f t="shared" si="8"/>
        <v>0.762399063915567</v>
      </c>
      <c r="S18" s="2"/>
      <c r="T18" s="2">
        <v>2138.37</v>
      </c>
      <c r="U18" s="2"/>
      <c r="V18" s="19">
        <f t="shared" si="9"/>
        <v>0.40360920477452378</v>
      </c>
      <c r="W18" s="2"/>
      <c r="X18" s="2">
        <f t="shared" si="10"/>
        <v>1810.1100000000001</v>
      </c>
      <c r="Y18" s="2"/>
      <c r="Z18" s="19">
        <f t="shared" si="11"/>
        <v>0.84649055121424277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383</v>
      </c>
      <c r="E19" s="2"/>
      <c r="F19" s="19">
        <f t="shared" si="4"/>
        <v>0.43939150586237752</v>
      </c>
      <c r="G19" s="2"/>
      <c r="H19" s="2">
        <v>494</v>
      </c>
      <c r="I19" s="2"/>
      <c r="J19" s="19">
        <f t="shared" si="5"/>
        <v>0.4670643962672667</v>
      </c>
      <c r="K19" s="2"/>
      <c r="L19" s="2">
        <f t="shared" si="6"/>
        <v>-111</v>
      </c>
      <c r="M19" s="2"/>
      <c r="N19" s="19">
        <f t="shared" si="7"/>
        <v>-0.22469635627530365</v>
      </c>
      <c r="O19" s="11"/>
      <c r="P19" s="2">
        <v>-1994.01</v>
      </c>
      <c r="Q19" s="2"/>
      <c r="R19" s="19">
        <f t="shared" si="8"/>
        <v>-0.38501685647091533</v>
      </c>
      <c r="S19" s="2"/>
      <c r="T19" s="2">
        <v>744.59</v>
      </c>
      <c r="U19" s="2"/>
      <c r="V19" s="19">
        <f t="shared" si="9"/>
        <v>0.14053853064860744</v>
      </c>
      <c r="W19" s="2"/>
      <c r="X19" s="2">
        <f t="shared" si="10"/>
        <v>-2738.6</v>
      </c>
      <c r="Y19" s="2"/>
      <c r="Z19" s="19">
        <f t="shared" si="11"/>
        <v>-3.6779972870975972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0">
        <f>D12-D17</f>
        <v>488.66000000000008</v>
      </c>
      <c r="E21" s="14"/>
      <c r="F21" s="21">
        <f>IF(D$12=0,0,D21/D$12)</f>
        <v>0.56060849413762248</v>
      </c>
      <c r="G21" s="14"/>
      <c r="H21" s="20">
        <f>H12-H17</f>
        <v>284.47000000000003</v>
      </c>
      <c r="I21" s="14"/>
      <c r="J21" s="21">
        <f>IF(H$12=0,0,H21/H$12)</f>
        <v>0.26895912713795417</v>
      </c>
      <c r="K21" s="15"/>
      <c r="L21" s="20">
        <f>+D21-H21</f>
        <v>204.19000000000005</v>
      </c>
      <c r="M21" s="15"/>
      <c r="N21" s="21">
        <f>IF(H21=0,0,L21/H21)</f>
        <v>0.71779097971666617</v>
      </c>
      <c r="O21" s="28"/>
      <c r="P21" s="20">
        <f>P12-P17</f>
        <v>3224.55</v>
      </c>
      <c r="Q21" s="14"/>
      <c r="R21" s="21">
        <f>IF(P$12=0,0,P21/P$12)</f>
        <v>0.62261779255534833</v>
      </c>
      <c r="S21" s="14"/>
      <c r="T21" s="20">
        <f>T12-T17</f>
        <v>2415.16</v>
      </c>
      <c r="U21" s="14"/>
      <c r="V21" s="21">
        <f>IF(T$12=0,0,T21/T$12)</f>
        <v>0.45585226457686878</v>
      </c>
      <c r="W21" s="15"/>
      <c r="X21" s="20">
        <f>+P21-T21</f>
        <v>809.39000000000033</v>
      </c>
      <c r="Y21" s="15"/>
      <c r="Z21" s="21">
        <f>IF(T21=0,0,X21/T21)</f>
        <v>0.33512893555706469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2577.8000000000002</v>
      </c>
      <c r="E23" s="22"/>
      <c r="F23" s="33">
        <f t="shared" ref="F23:F27" si="12">IF(D$12=0,0,D23/D$12)</f>
        <v>2.9573457540784251</v>
      </c>
      <c r="G23" s="22"/>
      <c r="H23" s="22">
        <f>SUM(OSRRefH22x_0)</f>
        <v>1693.52</v>
      </c>
      <c r="I23" s="22"/>
      <c r="J23" s="33">
        <f t="shared" ref="J23:J27" si="13">IF(H$12=0,0,H23/H$12)</f>
        <v>1.6011799521589909</v>
      </c>
      <c r="K23" s="4"/>
      <c r="L23" s="22">
        <f t="shared" ref="L23:L27" si="14">+D23-H23</f>
        <v>884.2800000000002</v>
      </c>
      <c r="M23" s="4"/>
      <c r="N23" s="33">
        <f t="shared" ref="N23:N27" si="15">IF(H23=0,0,L23/H23)</f>
        <v>0.52215503802730423</v>
      </c>
      <c r="O23" s="10"/>
      <c r="P23" s="22">
        <f>SUM(OSRRefP22x_0)</f>
        <v>15395.689999999999</v>
      </c>
      <c r="Q23" s="22"/>
      <c r="R23" s="33">
        <f t="shared" ref="R23:R27" si="16">IF(P$12=0,0,P23/P$12)</f>
        <v>2.9727033299736236</v>
      </c>
      <c r="S23" s="22"/>
      <c r="T23" s="22">
        <f>SUM(OSRRefT22x_0)</f>
        <v>9140.5500000000029</v>
      </c>
      <c r="U23" s="22"/>
      <c r="V23" s="33">
        <f t="shared" ref="V23:V27" si="17">IF(T$12=0,0,T23/T$12)</f>
        <v>1.7252440488324166</v>
      </c>
      <c r="W23" s="4"/>
      <c r="X23" s="22">
        <f t="shared" ref="X23:X27" si="18">+P23-T23</f>
        <v>6255.1399999999958</v>
      </c>
      <c r="Y23" s="4"/>
      <c r="Z23" s="33">
        <f t="shared" ref="Z23:Z27" si="19">IF(T23=0,0,X23/T23)</f>
        <v>0.68432862355109858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189.89000000000001</v>
      </c>
      <c r="E24" s="1"/>
      <c r="F24" s="5">
        <f t="shared" si="12"/>
        <v>0.21784870247573596</v>
      </c>
      <c r="G24" s="1"/>
      <c r="H24" s="1">
        <f>SUM(OSRRefH22_0x_0)</f>
        <v>106.27</v>
      </c>
      <c r="I24" s="1"/>
      <c r="J24" s="5">
        <f t="shared" si="13"/>
        <v>0.1004755736666446</v>
      </c>
      <c r="K24" s="1"/>
      <c r="L24" s="1">
        <f t="shared" si="14"/>
        <v>83.620000000000019</v>
      </c>
      <c r="M24" s="1"/>
      <c r="N24" s="5">
        <f t="shared" si="15"/>
        <v>0.78686364919544582</v>
      </c>
      <c r="O24" s="13"/>
      <c r="P24" s="1">
        <f>SUM(OSRRefP22_0x_0)</f>
        <v>853.08</v>
      </c>
      <c r="Q24" s="1"/>
      <c r="R24" s="5">
        <f t="shared" si="16"/>
        <v>0.16471842163189174</v>
      </c>
      <c r="S24" s="1"/>
      <c r="T24" s="1">
        <f>SUM(OSRRefT22_0x_0)</f>
        <v>611.83000000000004</v>
      </c>
      <c r="U24" s="1"/>
      <c r="V24" s="5">
        <f t="shared" si="17"/>
        <v>0.11548058556620085</v>
      </c>
      <c r="W24" s="1"/>
      <c r="X24" s="1">
        <f t="shared" si="18"/>
        <v>241.25</v>
      </c>
      <c r="Y24" s="1"/>
      <c r="Z24" s="5">
        <f t="shared" si="19"/>
        <v>0.39430887664874226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123.51</v>
      </c>
      <c r="E25" s="2"/>
      <c r="F25" s="7">
        <f t="shared" si="12"/>
        <v>0.14169515636830873</v>
      </c>
      <c r="G25" s="2"/>
      <c r="H25" s="6">
        <v>78.87</v>
      </c>
      <c r="I25" s="2"/>
      <c r="J25" s="7">
        <f t="shared" si="13"/>
        <v>7.4569572740079609E-2</v>
      </c>
      <c r="K25" s="2"/>
      <c r="L25" s="6">
        <f t="shared" si="14"/>
        <v>44.64</v>
      </c>
      <c r="M25" s="2"/>
      <c r="N25" s="7">
        <f t="shared" si="15"/>
        <v>0.56599467478128562</v>
      </c>
      <c r="O25" s="11"/>
      <c r="P25" s="6">
        <v>602.38</v>
      </c>
      <c r="Q25" s="2"/>
      <c r="R25" s="7">
        <f t="shared" si="16"/>
        <v>0.11631158018312343</v>
      </c>
      <c r="S25" s="2"/>
      <c r="T25" s="6">
        <v>487.09</v>
      </c>
      <c r="U25" s="2"/>
      <c r="V25" s="7">
        <f t="shared" si="17"/>
        <v>9.1936384981842617E-2</v>
      </c>
      <c r="W25" s="2"/>
      <c r="X25" s="6">
        <f t="shared" si="18"/>
        <v>115.29000000000002</v>
      </c>
      <c r="Y25" s="2"/>
      <c r="Z25" s="7">
        <f t="shared" si="19"/>
        <v>0.23669137120450026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58.39</v>
      </c>
      <c r="E26" s="2"/>
      <c r="F26" s="7">
        <f t="shared" si="12"/>
        <v>6.6987128008627217E-2</v>
      </c>
      <c r="G26" s="2"/>
      <c r="H26" s="6">
        <v>22.49</v>
      </c>
      <c r="I26" s="2"/>
      <c r="J26" s="7">
        <f t="shared" si="13"/>
        <v>2.1263721198483455E-2</v>
      </c>
      <c r="K26" s="2"/>
      <c r="L26" s="6">
        <f t="shared" si="14"/>
        <v>35.900000000000006</v>
      </c>
      <c r="M26" s="2"/>
      <c r="N26" s="7">
        <f t="shared" si="15"/>
        <v>1.5962650066696313</v>
      </c>
      <c r="O26" s="11"/>
      <c r="P26" s="6">
        <v>216.46</v>
      </c>
      <c r="Q26" s="2"/>
      <c r="R26" s="7">
        <f t="shared" si="16"/>
        <v>4.1795552054249646E-2</v>
      </c>
      <c r="S26" s="2"/>
      <c r="T26" s="6">
        <v>102.38</v>
      </c>
      <c r="U26" s="2"/>
      <c r="V26" s="7">
        <f t="shared" si="17"/>
        <v>1.9323835624712161E-2</v>
      </c>
      <c r="W26" s="2"/>
      <c r="X26" s="6">
        <f t="shared" si="18"/>
        <v>114.08000000000001</v>
      </c>
      <c r="Y26" s="2"/>
      <c r="Z26" s="7">
        <f t="shared" si="19"/>
        <v>1.1142801328384451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7.99</v>
      </c>
      <c r="E27" s="2"/>
      <c r="F27" s="7">
        <f t="shared" si="12"/>
        <v>9.1664180987999899E-3</v>
      </c>
      <c r="G27" s="2"/>
      <c r="H27" s="6">
        <v>4.91</v>
      </c>
      <c r="I27" s="2"/>
      <c r="J27" s="7">
        <f t="shared" si="13"/>
        <v>4.6422797280815378E-3</v>
      </c>
      <c r="K27" s="2"/>
      <c r="L27" s="6">
        <f t="shared" si="14"/>
        <v>3.08</v>
      </c>
      <c r="M27" s="2"/>
      <c r="N27" s="7">
        <f t="shared" si="15"/>
        <v>0.62729124236252543</v>
      </c>
      <c r="O27" s="11"/>
      <c r="P27" s="6">
        <v>34.24</v>
      </c>
      <c r="Q27" s="2"/>
      <c r="R27" s="7">
        <f t="shared" si="16"/>
        <v>6.6112893945186541E-3</v>
      </c>
      <c r="S27" s="2"/>
      <c r="T27" s="6">
        <v>22.36</v>
      </c>
      <c r="U27" s="2"/>
      <c r="V27" s="7">
        <f t="shared" si="17"/>
        <v>4.220364959646063E-3</v>
      </c>
      <c r="W27" s="2"/>
      <c r="X27" s="6">
        <f t="shared" si="18"/>
        <v>11.880000000000003</v>
      </c>
      <c r="Y27" s="2"/>
      <c r="Z27" s="7">
        <f t="shared" si="19"/>
        <v>0.5313059033989268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2202.8599999999997</v>
      </c>
      <c r="E28" s="1"/>
      <c r="F28" s="5">
        <f t="shared" ref="F28:F31" si="20">IF(D$12=0,0,D28/D$12)</f>
        <v>2.5272009728563885</v>
      </c>
      <c r="G28" s="1"/>
      <c r="H28" s="1">
        <f>SUM(OSRRefH22_1x_0)</f>
        <v>1383.03</v>
      </c>
      <c r="I28" s="1"/>
      <c r="J28" s="5">
        <f t="shared" ref="J28:J31" si="21">IF(H$12=0,0,H28/H$12)</f>
        <v>1.3076195788856637</v>
      </c>
      <c r="K28" s="1"/>
      <c r="L28" s="1">
        <f t="shared" ref="L28:L31" si="22">+D28-H28</f>
        <v>819.8299999999997</v>
      </c>
      <c r="M28" s="1"/>
      <c r="N28" s="5">
        <f t="shared" ref="N28:N31" si="23">IF(H28=0,0,L28/H28)</f>
        <v>0.59277817545534062</v>
      </c>
      <c r="O28" s="13"/>
      <c r="P28" s="1">
        <f>SUM(OSRRefP22_1x_0)</f>
        <v>10914.98</v>
      </c>
      <c r="Q28" s="1"/>
      <c r="R28" s="5">
        <f t="shared" ref="R28:R31" si="24">IF(P$12=0,0,P28/P$12)</f>
        <v>2.1075377194913321</v>
      </c>
      <c r="S28" s="1"/>
      <c r="T28" s="1">
        <f>SUM(OSRRefT22_1x_0)</f>
        <v>8415.7099999999991</v>
      </c>
      <c r="U28" s="1"/>
      <c r="V28" s="5">
        <f t="shared" ref="V28:V31" si="25">IF(T$12=0,0,T28/T$12)</f>
        <v>1.5884332555699001</v>
      </c>
      <c r="W28" s="1"/>
      <c r="X28" s="1">
        <f t="shared" ref="X28:X31" si="26">+P28-T28</f>
        <v>2499.2700000000004</v>
      </c>
      <c r="Y28" s="1"/>
      <c r="Z28" s="5">
        <f t="shared" ref="Z28:Z31" si="27">IF(T28=0,0,X28/T28)</f>
        <v>0.29697672567139322</v>
      </c>
    </row>
    <row r="29" spans="1:26" s="24" customFormat="1" hidden="1" outlineLevel="2" x14ac:dyDescent="0.25">
      <c r="A29" s="26"/>
      <c r="B29" s="11" t="str">
        <f>CONCATENATE("          ", "6005", " - ", "TEMPORARY WAGES-HOURLY")</f>
        <v xml:space="preserve">          6005 - TEMPORARY WAGES-HOURLY</v>
      </c>
      <c r="C29" s="11"/>
      <c r="D29" s="6">
        <v>1601.55</v>
      </c>
      <c r="E29" s="2"/>
      <c r="F29" s="7">
        <f t="shared" si="20"/>
        <v>1.837356308652456</v>
      </c>
      <c r="G29" s="2"/>
      <c r="H29" s="6">
        <v>1031.03</v>
      </c>
      <c r="I29" s="2"/>
      <c r="J29" s="7">
        <f t="shared" si="21"/>
        <v>0.9748125596830769</v>
      </c>
      <c r="K29" s="2"/>
      <c r="L29" s="6">
        <f t="shared" si="22"/>
        <v>570.52</v>
      </c>
      <c r="M29" s="2"/>
      <c r="N29" s="7">
        <f t="shared" si="23"/>
        <v>0.55334956305830096</v>
      </c>
      <c r="O29" s="11"/>
      <c r="P29" s="6">
        <v>7765.17</v>
      </c>
      <c r="Q29" s="2"/>
      <c r="R29" s="7">
        <f t="shared" si="24"/>
        <v>1.4993512286108182</v>
      </c>
      <c r="S29" s="2"/>
      <c r="T29" s="6">
        <v>6366.96</v>
      </c>
      <c r="U29" s="2"/>
      <c r="V29" s="7">
        <f t="shared" si="25"/>
        <v>1.2017394849493783</v>
      </c>
      <c r="W29" s="2"/>
      <c r="X29" s="6">
        <f t="shared" si="26"/>
        <v>1398.21</v>
      </c>
      <c r="Y29" s="2"/>
      <c r="Z29" s="7">
        <f t="shared" si="27"/>
        <v>0.2196040182441856</v>
      </c>
    </row>
    <row r="30" spans="1:26" s="24" customFormat="1" hidden="1" outlineLevel="2" x14ac:dyDescent="0.25">
      <c r="A30" s="26"/>
      <c r="B30" s="11" t="str">
        <f>CONCATENATE("          ", "6006", " - ", "TEMPORARY PART TIME")</f>
        <v xml:space="preserve">          6006 - TEMPORARY PART TIME</v>
      </c>
      <c r="C30" s="11"/>
      <c r="D30" s="6">
        <v>73.31</v>
      </c>
      <c r="E30" s="2"/>
      <c r="F30" s="7">
        <f t="shared" si="20"/>
        <v>8.4103893720028453E-2</v>
      </c>
      <c r="G30" s="2"/>
      <c r="H30" s="6"/>
      <c r="I30" s="2"/>
      <c r="J30" s="7">
        <f t="shared" si="21"/>
        <v>0</v>
      </c>
      <c r="K30" s="2"/>
      <c r="L30" s="6">
        <f t="shared" si="22"/>
        <v>73.31</v>
      </c>
      <c r="M30" s="2"/>
      <c r="N30" s="7">
        <f t="shared" si="23"/>
        <v>0</v>
      </c>
      <c r="O30" s="11"/>
      <c r="P30" s="6">
        <v>73.31</v>
      </c>
      <c r="Q30" s="2"/>
      <c r="R30" s="7">
        <f t="shared" si="24"/>
        <v>1.4155187660986054E-2</v>
      </c>
      <c r="S30" s="2"/>
      <c r="T30" s="6"/>
      <c r="U30" s="2"/>
      <c r="V30" s="7">
        <f t="shared" si="25"/>
        <v>0</v>
      </c>
      <c r="W30" s="2"/>
      <c r="X30" s="6">
        <f t="shared" si="26"/>
        <v>73.31</v>
      </c>
      <c r="Y30" s="2"/>
      <c r="Z30" s="7">
        <f t="shared" si="27"/>
        <v>0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>
        <v>528</v>
      </c>
      <c r="E31" s="2"/>
      <c r="F31" s="7">
        <f t="shared" si="20"/>
        <v>0.60574077048390418</v>
      </c>
      <c r="G31" s="2"/>
      <c r="H31" s="6">
        <v>352</v>
      </c>
      <c r="I31" s="2"/>
      <c r="J31" s="7">
        <f t="shared" si="21"/>
        <v>0.33280701920258682</v>
      </c>
      <c r="K31" s="2"/>
      <c r="L31" s="6">
        <f t="shared" si="22"/>
        <v>176</v>
      </c>
      <c r="M31" s="2"/>
      <c r="N31" s="7">
        <f t="shared" si="23"/>
        <v>0.5</v>
      </c>
      <c r="O31" s="11"/>
      <c r="P31" s="6">
        <v>3076.5</v>
      </c>
      <c r="Q31" s="2"/>
      <c r="R31" s="7">
        <f t="shared" si="24"/>
        <v>0.59403130321952802</v>
      </c>
      <c r="S31" s="2"/>
      <c r="T31" s="6">
        <v>2048.75</v>
      </c>
      <c r="U31" s="2"/>
      <c r="V31" s="7">
        <f t="shared" si="25"/>
        <v>0.38669377062052201</v>
      </c>
      <c r="W31" s="2"/>
      <c r="X31" s="6">
        <f t="shared" si="26"/>
        <v>1027.75</v>
      </c>
      <c r="Y31" s="2"/>
      <c r="Z31" s="7">
        <f t="shared" si="27"/>
        <v>0.50164734594264793</v>
      </c>
    </row>
    <row r="32" spans="1:26" s="27" customFormat="1" outlineLevel="1" collapsed="1" x14ac:dyDescent="0.25">
      <c r="A32" s="25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6" si="28">IF(D$12=0,0,D32/D$12)</f>
        <v>0</v>
      </c>
      <c r="G32" s="1"/>
      <c r="H32" s="1">
        <f>SUM(OSRRefH22_2x_0)</f>
        <v>0</v>
      </c>
      <c r="I32" s="1"/>
      <c r="J32" s="5">
        <f t="shared" ref="J32:J46" si="29">IF(H$12=0,0,H32/H$12)</f>
        <v>0</v>
      </c>
      <c r="K32" s="1"/>
      <c r="L32" s="1">
        <f t="shared" ref="L32:L46" si="30">+D32-H32</f>
        <v>0</v>
      </c>
      <c r="M32" s="1"/>
      <c r="N32" s="5">
        <f t="shared" ref="N32:N46" si="31">IF(H32=0,0,L32/H32)</f>
        <v>0</v>
      </c>
      <c r="O32" s="13"/>
      <c r="P32" s="1">
        <f>SUM(OSRRefP22_2x_0)</f>
        <v>0</v>
      </c>
      <c r="Q32" s="1"/>
      <c r="R32" s="5">
        <f t="shared" ref="R32:R46" si="32">IF(P$12=0,0,P32/P$12)</f>
        <v>0</v>
      </c>
      <c r="S32" s="1"/>
      <c r="T32" s="1">
        <f>SUM(OSRRefT22_2x_0)</f>
        <v>12</v>
      </c>
      <c r="U32" s="1"/>
      <c r="V32" s="5">
        <f t="shared" ref="V32:V46" si="33">IF(T$12=0,0,T32/T$12)</f>
        <v>2.2649543611696224E-3</v>
      </c>
      <c r="W32" s="1"/>
      <c r="X32" s="1">
        <f t="shared" ref="X32:X46" si="34">+P32-T32</f>
        <v>-12</v>
      </c>
      <c r="Y32" s="1"/>
      <c r="Z32" s="5">
        <f t="shared" ref="Z32:Z46" si="35">IF(T32=0,0,X32/T32)</f>
        <v>-1</v>
      </c>
    </row>
    <row r="33" spans="1:26" s="24" customFormat="1" hidden="1" outlineLevel="2" x14ac:dyDescent="0.25">
      <c r="A33" s="26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28"/>
        <v>0</v>
      </c>
      <c r="G33" s="2"/>
      <c r="H33" s="6"/>
      <c r="I33" s="2"/>
      <c r="J33" s="7">
        <f t="shared" si="29"/>
        <v>0</v>
      </c>
      <c r="K33" s="2"/>
      <c r="L33" s="6">
        <f t="shared" si="30"/>
        <v>0</v>
      </c>
      <c r="M33" s="2"/>
      <c r="N33" s="7">
        <f t="shared" si="31"/>
        <v>0</v>
      </c>
      <c r="O33" s="11"/>
      <c r="P33" s="6"/>
      <c r="Q33" s="2"/>
      <c r="R33" s="7">
        <f t="shared" si="32"/>
        <v>0</v>
      </c>
      <c r="S33" s="2"/>
      <c r="T33" s="6">
        <v>12</v>
      </c>
      <c r="U33" s="2"/>
      <c r="V33" s="7">
        <f t="shared" si="33"/>
        <v>2.2649543611696224E-3</v>
      </c>
      <c r="W33" s="2"/>
      <c r="X33" s="6">
        <f t="shared" si="34"/>
        <v>-12</v>
      </c>
      <c r="Y33" s="2"/>
      <c r="Z33" s="7">
        <f t="shared" si="35"/>
        <v>-1</v>
      </c>
    </row>
    <row r="34" spans="1:26" s="27" customFormat="1" outlineLevel="1" collapsed="1" x14ac:dyDescent="0.25">
      <c r="A34" s="25"/>
      <c r="B34" s="13" t="str">
        <f>CONCATENATE("     ","Bad Debts/Over/Short                              ")</f>
        <v xml:space="preserve">     Bad Debts/Over/Short                              </v>
      </c>
      <c r="C34" s="13"/>
      <c r="D34" s="1">
        <f>SUM(OSRRefD22_3x_0)</f>
        <v>-0.45</v>
      </c>
      <c r="E34" s="1"/>
      <c r="F34" s="5">
        <f t="shared" si="28"/>
        <v>-5.162563384806002E-4</v>
      </c>
      <c r="G34" s="1"/>
      <c r="H34" s="1">
        <f>SUM(OSRRefH22_3x_0)</f>
        <v>-0.17</v>
      </c>
      <c r="I34" s="1"/>
      <c r="J34" s="5">
        <f t="shared" si="29"/>
        <v>-1.6073066268306751E-4</v>
      </c>
      <c r="K34" s="1"/>
      <c r="L34" s="1">
        <f t="shared" si="30"/>
        <v>-0.28000000000000003</v>
      </c>
      <c r="M34" s="1"/>
      <c r="N34" s="5">
        <f t="shared" si="31"/>
        <v>1.6470588235294119</v>
      </c>
      <c r="O34" s="13"/>
      <c r="P34" s="1">
        <f>SUM(OSRRefP22_3x_0)</f>
        <v>-1.41</v>
      </c>
      <c r="Q34" s="1"/>
      <c r="R34" s="5">
        <f t="shared" si="32"/>
        <v>-2.7225227938876463E-4</v>
      </c>
      <c r="S34" s="1"/>
      <c r="T34" s="1">
        <f>SUM(OSRRefT22_3x_0)</f>
        <v>-1.76</v>
      </c>
      <c r="U34" s="1"/>
      <c r="V34" s="5">
        <f t="shared" si="33"/>
        <v>-3.3219330630487794E-4</v>
      </c>
      <c r="W34" s="1"/>
      <c r="X34" s="1">
        <f t="shared" si="34"/>
        <v>0.35000000000000009</v>
      </c>
      <c r="Y34" s="1"/>
      <c r="Z34" s="5">
        <f t="shared" si="35"/>
        <v>-0.19886363636363641</v>
      </c>
    </row>
    <row r="35" spans="1:26" s="24" customFormat="1" hidden="1" outlineLevel="2" x14ac:dyDescent="0.25">
      <c r="A35" s="26"/>
      <c r="B35" s="11" t="str">
        <f>CONCATENATE("          ", "6272", " - ", "CASH (OVER/SHORT)")</f>
        <v xml:space="preserve">          6272 - CASH (OVER/SHORT)</v>
      </c>
      <c r="C35" s="11"/>
      <c r="D35" s="6">
        <v>-0.45</v>
      </c>
      <c r="E35" s="2"/>
      <c r="F35" s="7">
        <f t="shared" si="28"/>
        <v>-5.162563384806002E-4</v>
      </c>
      <c r="G35" s="2"/>
      <c r="H35" s="6">
        <v>-0.17</v>
      </c>
      <c r="I35" s="2"/>
      <c r="J35" s="7">
        <f t="shared" si="29"/>
        <v>-1.6073066268306751E-4</v>
      </c>
      <c r="K35" s="2"/>
      <c r="L35" s="6">
        <f t="shared" si="30"/>
        <v>-0.28000000000000003</v>
      </c>
      <c r="M35" s="2"/>
      <c r="N35" s="7">
        <f t="shared" si="31"/>
        <v>1.6470588235294119</v>
      </c>
      <c r="O35" s="11"/>
      <c r="P35" s="6">
        <v>-1.41</v>
      </c>
      <c r="Q35" s="2"/>
      <c r="R35" s="7">
        <f t="shared" si="32"/>
        <v>-2.7225227938876463E-4</v>
      </c>
      <c r="S35" s="2"/>
      <c r="T35" s="6">
        <v>-1.76</v>
      </c>
      <c r="U35" s="2"/>
      <c r="V35" s="7">
        <f t="shared" si="33"/>
        <v>-3.3219330630487794E-4</v>
      </c>
      <c r="W35" s="2"/>
      <c r="X35" s="6">
        <f t="shared" si="34"/>
        <v>0.35000000000000009</v>
      </c>
      <c r="Y35" s="2"/>
      <c r="Z35" s="7">
        <f t="shared" si="35"/>
        <v>-0.19886363636363641</v>
      </c>
    </row>
    <row r="36" spans="1:26" s="27" customFormat="1" outlineLevel="1" collapsed="1" x14ac:dyDescent="0.25">
      <c r="A36" s="25"/>
      <c r="B36" s="13" t="str">
        <f>CONCATENATE("     ","Bank/card Fees                                    ")</f>
        <v xml:space="preserve">     Bank/card Fees                                    </v>
      </c>
      <c r="C36" s="13"/>
      <c r="D36" s="1">
        <f>SUM(OSRRefD22_4x_0)</f>
        <v>18.309999999999999</v>
      </c>
      <c r="E36" s="1"/>
      <c r="F36" s="5">
        <f t="shared" si="28"/>
        <v>2.1005896794621753E-2</v>
      </c>
      <c r="G36" s="1"/>
      <c r="H36" s="1">
        <f>SUM(OSRRefH22_4x_0)</f>
        <v>23.78</v>
      </c>
      <c r="I36" s="1"/>
      <c r="J36" s="5">
        <f t="shared" si="29"/>
        <v>2.248338328590203E-2</v>
      </c>
      <c r="K36" s="1"/>
      <c r="L36" s="1">
        <f t="shared" si="30"/>
        <v>-5.4700000000000024</v>
      </c>
      <c r="M36" s="1"/>
      <c r="N36" s="5">
        <f t="shared" si="31"/>
        <v>-0.23002523128679572</v>
      </c>
      <c r="O36" s="13"/>
      <c r="P36" s="1">
        <f>SUM(OSRRefP22_4x_0)</f>
        <v>125.26</v>
      </c>
      <c r="Q36" s="1"/>
      <c r="R36" s="5">
        <f t="shared" si="32"/>
        <v>2.418604291931678E-2</v>
      </c>
      <c r="S36" s="1"/>
      <c r="T36" s="1">
        <f>SUM(OSRRefT22_4x_0)</f>
        <v>116.84</v>
      </c>
      <c r="U36" s="1"/>
      <c r="V36" s="5">
        <f t="shared" si="33"/>
        <v>2.2053105629921559E-2</v>
      </c>
      <c r="W36" s="1"/>
      <c r="X36" s="1">
        <f t="shared" si="34"/>
        <v>8.4200000000000017</v>
      </c>
      <c r="Y36" s="1"/>
      <c r="Z36" s="5">
        <f t="shared" si="35"/>
        <v>7.2064361520027403E-2</v>
      </c>
    </row>
    <row r="37" spans="1:26" s="24" customFormat="1" hidden="1" outlineLevel="2" x14ac:dyDescent="0.25">
      <c r="A37" s="26"/>
      <c r="B37" s="11" t="str">
        <f>CONCATENATE("          ", "6381", " - ", "BANK/CREDIT CARD FEES")</f>
        <v xml:space="preserve">          6381 - BANK/CREDIT CARD FEES</v>
      </c>
      <c r="C37" s="11"/>
      <c r="D37" s="6">
        <v>18.309999999999999</v>
      </c>
      <c r="E37" s="2"/>
      <c r="F37" s="7">
        <f t="shared" si="28"/>
        <v>2.1005896794621753E-2</v>
      </c>
      <c r="G37" s="2"/>
      <c r="H37" s="6">
        <v>23.78</v>
      </c>
      <c r="I37" s="2"/>
      <c r="J37" s="7">
        <f t="shared" si="29"/>
        <v>2.248338328590203E-2</v>
      </c>
      <c r="K37" s="2"/>
      <c r="L37" s="6">
        <f t="shared" si="30"/>
        <v>-5.4700000000000024</v>
      </c>
      <c r="M37" s="2"/>
      <c r="N37" s="7">
        <f t="shared" si="31"/>
        <v>-0.23002523128679572</v>
      </c>
      <c r="O37" s="11"/>
      <c r="P37" s="6">
        <v>125.26</v>
      </c>
      <c r="Q37" s="2"/>
      <c r="R37" s="7">
        <f t="shared" si="32"/>
        <v>2.418604291931678E-2</v>
      </c>
      <c r="S37" s="2"/>
      <c r="T37" s="6">
        <v>116.84</v>
      </c>
      <c r="U37" s="2"/>
      <c r="V37" s="7">
        <f t="shared" si="33"/>
        <v>2.2053105629921559E-2</v>
      </c>
      <c r="W37" s="2"/>
      <c r="X37" s="6">
        <f t="shared" si="34"/>
        <v>8.4200000000000017</v>
      </c>
      <c r="Y37" s="2"/>
      <c r="Z37" s="7">
        <f t="shared" si="35"/>
        <v>7.2064361520027403E-2</v>
      </c>
    </row>
    <row r="38" spans="1:26" s="27" customFormat="1" outlineLevel="1" collapsed="1" x14ac:dyDescent="0.25">
      <c r="A38" s="25"/>
      <c r="B38" s="13" t="str">
        <f>CONCATENATE("     ","General                                           ")</f>
        <v xml:space="preserve">     General                                           </v>
      </c>
      <c r="C38" s="13"/>
      <c r="D38" s="1">
        <f>SUM(OSRRefD22_5x_0)</f>
        <v>0</v>
      </c>
      <c r="E38" s="1"/>
      <c r="F38" s="5">
        <f t="shared" si="28"/>
        <v>0</v>
      </c>
      <c r="G38" s="1"/>
      <c r="H38" s="1">
        <f>SUM(OSRRefH22_5x_0)</f>
        <v>1.5</v>
      </c>
      <c r="I38" s="1"/>
      <c r="J38" s="5">
        <f t="shared" si="29"/>
        <v>1.4182117295564779E-3</v>
      </c>
      <c r="K38" s="1"/>
      <c r="L38" s="1">
        <f t="shared" si="30"/>
        <v>-1.5</v>
      </c>
      <c r="M38" s="1"/>
      <c r="N38" s="5">
        <f t="shared" si="31"/>
        <v>-1</v>
      </c>
      <c r="O38" s="13"/>
      <c r="P38" s="1">
        <f>SUM(OSRRefP22_5x_0)</f>
        <v>1154.05</v>
      </c>
      <c r="Q38" s="1"/>
      <c r="R38" s="5">
        <f t="shared" si="32"/>
        <v>0.22283173264439987</v>
      </c>
      <c r="S38" s="1"/>
      <c r="T38" s="1">
        <f>SUM(OSRRefT22_5x_0)</f>
        <v>1065.45</v>
      </c>
      <c r="U38" s="1"/>
      <c r="V38" s="5">
        <f t="shared" si="33"/>
        <v>0.20109963534234787</v>
      </c>
      <c r="W38" s="1"/>
      <c r="X38" s="1">
        <f t="shared" si="34"/>
        <v>88.599999999999909</v>
      </c>
      <c r="Y38" s="1"/>
      <c r="Z38" s="5">
        <f t="shared" si="35"/>
        <v>8.3157351353887937E-2</v>
      </c>
    </row>
    <row r="39" spans="1:26" s="24" customFormat="1" hidden="1" outlineLevel="2" x14ac:dyDescent="0.25">
      <c r="A39" s="26"/>
      <c r="B39" s="11" t="str">
        <f>CONCATENATE("          ", "6279", " - ", "GENERAL EXPENSE")</f>
        <v xml:space="preserve">          6279 - GENERAL EXPENSE</v>
      </c>
      <c r="C39" s="11"/>
      <c r="D39" s="6"/>
      <c r="E39" s="2"/>
      <c r="F39" s="7">
        <f t="shared" si="28"/>
        <v>0</v>
      </c>
      <c r="G39" s="2"/>
      <c r="H39" s="6">
        <v>1.5</v>
      </c>
      <c r="I39" s="2"/>
      <c r="J39" s="7">
        <f t="shared" si="29"/>
        <v>1.4182117295564779E-3</v>
      </c>
      <c r="K39" s="2"/>
      <c r="L39" s="6">
        <f t="shared" si="30"/>
        <v>-1.5</v>
      </c>
      <c r="M39" s="2"/>
      <c r="N39" s="7">
        <f t="shared" si="31"/>
        <v>-1</v>
      </c>
      <c r="O39" s="11"/>
      <c r="P39" s="6">
        <v>1154.05</v>
      </c>
      <c r="Q39" s="2"/>
      <c r="R39" s="7">
        <f t="shared" si="32"/>
        <v>0.22283173264439987</v>
      </c>
      <c r="S39" s="2"/>
      <c r="T39" s="6">
        <v>1065.45</v>
      </c>
      <c r="U39" s="2"/>
      <c r="V39" s="7">
        <f t="shared" si="33"/>
        <v>0.20109963534234787</v>
      </c>
      <c r="W39" s="2"/>
      <c r="X39" s="6">
        <f t="shared" si="34"/>
        <v>88.599999999999909</v>
      </c>
      <c r="Y39" s="2"/>
      <c r="Z39" s="7">
        <f t="shared" si="35"/>
        <v>8.3157351353887937E-2</v>
      </c>
    </row>
    <row r="40" spans="1:26" s="27" customFormat="1" outlineLevel="1" collapsed="1" x14ac:dyDescent="0.25">
      <c r="A40" s="25"/>
      <c r="B40" s="13" t="str">
        <f>CONCATENATE("     ","R/H Commissions                                   ")</f>
        <v xml:space="preserve">     R/H Commissions                                   </v>
      </c>
      <c r="C40" s="13"/>
      <c r="D40" s="1">
        <f>SUM(OSRRefD22_6x_0)</f>
        <v>83.32</v>
      </c>
      <c r="E40" s="1"/>
      <c r="F40" s="5">
        <f t="shared" si="28"/>
        <v>9.5587729160452453E-2</v>
      </c>
      <c r="G40" s="1"/>
      <c r="H40" s="1">
        <f>SUM(OSRRefH22_6x_0)</f>
        <v>69.48</v>
      </c>
      <c r="I40" s="1"/>
      <c r="J40" s="5">
        <f t="shared" si="29"/>
        <v>6.569156731305606E-2</v>
      </c>
      <c r="K40" s="1"/>
      <c r="L40" s="1">
        <f t="shared" si="30"/>
        <v>13.839999999999989</v>
      </c>
      <c r="M40" s="1"/>
      <c r="N40" s="5">
        <f t="shared" si="31"/>
        <v>0.19919401266551509</v>
      </c>
      <c r="O40" s="13"/>
      <c r="P40" s="1">
        <f>SUM(OSRRefP22_6x_0)</f>
        <v>344.59</v>
      </c>
      <c r="Q40" s="1"/>
      <c r="R40" s="5">
        <f t="shared" si="32"/>
        <v>6.6535753868492489E-2</v>
      </c>
      <c r="S40" s="1"/>
      <c r="T40" s="1">
        <f>SUM(OSRRefT22_6x_0)</f>
        <v>339.24</v>
      </c>
      <c r="U40" s="1"/>
      <c r="V40" s="5">
        <f t="shared" si="33"/>
        <v>6.4030259790265234E-2</v>
      </c>
      <c r="W40" s="1"/>
      <c r="X40" s="1">
        <f t="shared" si="34"/>
        <v>5.3499999999999659</v>
      </c>
      <c r="Y40" s="1"/>
      <c r="Z40" s="5">
        <f t="shared" si="35"/>
        <v>1.5770545926187849E-2</v>
      </c>
    </row>
    <row r="41" spans="1:26" s="24" customFormat="1" hidden="1" outlineLevel="2" x14ac:dyDescent="0.25">
      <c r="A41" s="26"/>
      <c r="B41" s="11" t="str">
        <f>CONCATENATE("          ", "6387", " - ", "COMMISSION DUE HOUSING")</f>
        <v xml:space="preserve">          6387 - COMMISSION DUE HOUSING</v>
      </c>
      <c r="C41" s="11"/>
      <c r="D41" s="6">
        <v>83.32</v>
      </c>
      <c r="E41" s="2"/>
      <c r="F41" s="7">
        <f t="shared" si="28"/>
        <v>9.5587729160452453E-2</v>
      </c>
      <c r="G41" s="2"/>
      <c r="H41" s="6">
        <v>69.48</v>
      </c>
      <c r="I41" s="2"/>
      <c r="J41" s="7">
        <f t="shared" si="29"/>
        <v>6.569156731305606E-2</v>
      </c>
      <c r="K41" s="2"/>
      <c r="L41" s="6">
        <f t="shared" si="30"/>
        <v>13.839999999999989</v>
      </c>
      <c r="M41" s="2"/>
      <c r="N41" s="7">
        <f t="shared" si="31"/>
        <v>0.19919401266551509</v>
      </c>
      <c r="O41" s="11"/>
      <c r="P41" s="6">
        <v>344.59</v>
      </c>
      <c r="Q41" s="2"/>
      <c r="R41" s="7">
        <f t="shared" si="32"/>
        <v>6.6535753868492489E-2</v>
      </c>
      <c r="S41" s="2"/>
      <c r="T41" s="6">
        <v>339.24</v>
      </c>
      <c r="U41" s="2"/>
      <c r="V41" s="7">
        <f t="shared" si="33"/>
        <v>6.4030259790265234E-2</v>
      </c>
      <c r="W41" s="2"/>
      <c r="X41" s="6">
        <f t="shared" si="34"/>
        <v>5.3499999999999659</v>
      </c>
      <c r="Y41" s="2"/>
      <c r="Z41" s="7">
        <f t="shared" si="35"/>
        <v>1.5770545926187849E-2</v>
      </c>
    </row>
    <row r="42" spans="1:26" s="27" customFormat="1" outlineLevel="1" collapsed="1" x14ac:dyDescent="0.25">
      <c r="A42" s="25"/>
      <c r="B42" s="13" t="str">
        <f>CONCATENATE("     ","Supplies                                          ")</f>
        <v xml:space="preserve">     Supplies                                          </v>
      </c>
      <c r="C42" s="13"/>
      <c r="D42" s="1">
        <f>SUM(OSRRefD22_7x_0)</f>
        <v>8.3699999999999992</v>
      </c>
      <c r="E42" s="1"/>
      <c r="F42" s="5">
        <f t="shared" si="28"/>
        <v>9.6023678957391622E-3</v>
      </c>
      <c r="G42" s="1"/>
      <c r="H42" s="1">
        <f>SUM(OSRRefH22_7x_0)</f>
        <v>34.130000000000003</v>
      </c>
      <c r="I42" s="1"/>
      <c r="J42" s="5">
        <f t="shared" si="29"/>
        <v>3.2269044219841725E-2</v>
      </c>
      <c r="K42" s="1"/>
      <c r="L42" s="1">
        <f t="shared" si="30"/>
        <v>-25.760000000000005</v>
      </c>
      <c r="M42" s="1"/>
      <c r="N42" s="5">
        <f t="shared" si="31"/>
        <v>-0.75476120714913575</v>
      </c>
      <c r="O42" s="13"/>
      <c r="P42" s="1">
        <f>SUM(OSRRefP22_7x_0)</f>
        <v>1592.1399999999999</v>
      </c>
      <c r="Q42" s="1"/>
      <c r="R42" s="5">
        <f t="shared" si="32"/>
        <v>0.30742109511065796</v>
      </c>
      <c r="S42" s="1"/>
      <c r="T42" s="1">
        <f>SUM(OSRRefT22_7x_0)</f>
        <v>-1811.76</v>
      </c>
      <c r="U42" s="1"/>
      <c r="V42" s="5">
        <f t="shared" si="33"/>
        <v>-0.34196280944938962</v>
      </c>
      <c r="W42" s="1"/>
      <c r="X42" s="1">
        <f t="shared" si="34"/>
        <v>3403.8999999999996</v>
      </c>
      <c r="Y42" s="1"/>
      <c r="Z42" s="5">
        <f t="shared" si="35"/>
        <v>-1.8787808539762438</v>
      </c>
    </row>
    <row r="43" spans="1:26" s="24" customFormat="1" hidden="1" outlineLevel="2" x14ac:dyDescent="0.25">
      <c r="A43" s="26"/>
      <c r="B43" s="11" t="str">
        <f>CONCATENATE("          ", "6237", " - ", "JANITORIAL SUPPLIES")</f>
        <v xml:space="preserve">          6237 - JANITORIAL SUPPLIES</v>
      </c>
      <c r="C43" s="11"/>
      <c r="D43" s="6"/>
      <c r="E43" s="2"/>
      <c r="F43" s="7">
        <f t="shared" si="28"/>
        <v>0</v>
      </c>
      <c r="G43" s="2"/>
      <c r="H43" s="6">
        <v>34.130000000000003</v>
      </c>
      <c r="I43" s="2"/>
      <c r="J43" s="7">
        <f t="shared" si="29"/>
        <v>3.2269044219841725E-2</v>
      </c>
      <c r="K43" s="2"/>
      <c r="L43" s="6">
        <f t="shared" si="30"/>
        <v>-34.130000000000003</v>
      </c>
      <c r="M43" s="2"/>
      <c r="N43" s="7">
        <f t="shared" si="31"/>
        <v>-1</v>
      </c>
      <c r="O43" s="11"/>
      <c r="P43" s="6">
        <v>47.13</v>
      </c>
      <c r="Q43" s="2"/>
      <c r="R43" s="7">
        <f t="shared" si="32"/>
        <v>9.1001772536116864E-3</v>
      </c>
      <c r="S43" s="2"/>
      <c r="T43" s="6">
        <v>92.19</v>
      </c>
      <c r="U43" s="2"/>
      <c r="V43" s="7">
        <f t="shared" si="33"/>
        <v>1.7400511879685623E-2</v>
      </c>
      <c r="W43" s="2"/>
      <c r="X43" s="6">
        <f t="shared" si="34"/>
        <v>-45.059999999999995</v>
      </c>
      <c r="Y43" s="2"/>
      <c r="Z43" s="7">
        <f t="shared" si="35"/>
        <v>-0.48877318581191015</v>
      </c>
    </row>
    <row r="44" spans="1:26" s="24" customFormat="1" hidden="1" outlineLevel="2" x14ac:dyDescent="0.25">
      <c r="A44" s="26"/>
      <c r="B44" s="11" t="str">
        <f>CONCATENATE("          ", "6243", " - ", "PAPER SUPPLIES")</f>
        <v xml:space="preserve">          6243 - PAPER SUPPLIES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126.09</v>
      </c>
      <c r="U44" s="2"/>
      <c r="V44" s="7">
        <f t="shared" si="33"/>
        <v>2.379900794998981E-2</v>
      </c>
      <c r="W44" s="2"/>
      <c r="X44" s="6">
        <f t="shared" si="34"/>
        <v>-126.09</v>
      </c>
      <c r="Y44" s="2"/>
      <c r="Z44" s="7">
        <f t="shared" si="35"/>
        <v>-1</v>
      </c>
    </row>
    <row r="45" spans="1:26" s="24" customFormat="1" hidden="1" outlineLevel="2" x14ac:dyDescent="0.25">
      <c r="A45" s="26"/>
      <c r="B45" s="11" t="str">
        <f>CONCATENATE("          ", "6247", " - ", "STORE SUPPLIES")</f>
        <v xml:space="preserve">          6247 - STORE SUPPLIES</v>
      </c>
      <c r="C45" s="11"/>
      <c r="D45" s="6">
        <v>8.3699999999999992</v>
      </c>
      <c r="E45" s="2"/>
      <c r="F45" s="7">
        <f t="shared" si="28"/>
        <v>9.6023678957391622E-3</v>
      </c>
      <c r="G45" s="2"/>
      <c r="H45" s="6"/>
      <c r="I45" s="2"/>
      <c r="J45" s="7">
        <f t="shared" si="29"/>
        <v>0</v>
      </c>
      <c r="K45" s="2"/>
      <c r="L45" s="6">
        <f t="shared" si="30"/>
        <v>8.3699999999999992</v>
      </c>
      <c r="M45" s="2"/>
      <c r="N45" s="7">
        <f t="shared" si="31"/>
        <v>0</v>
      </c>
      <c r="O45" s="11"/>
      <c r="P45" s="6">
        <v>431.41</v>
      </c>
      <c r="Q45" s="2"/>
      <c r="R45" s="7">
        <f t="shared" si="32"/>
        <v>8.3299543156813455E-2</v>
      </c>
      <c r="S45" s="2"/>
      <c r="T45" s="6">
        <v>-2030.04</v>
      </c>
      <c r="U45" s="2"/>
      <c r="V45" s="7">
        <f t="shared" si="33"/>
        <v>-0.38316232927906502</v>
      </c>
      <c r="W45" s="2"/>
      <c r="X45" s="6">
        <f t="shared" si="34"/>
        <v>2461.4499999999998</v>
      </c>
      <c r="Y45" s="2"/>
      <c r="Z45" s="7">
        <f t="shared" si="35"/>
        <v>-1.2125130539299718</v>
      </c>
    </row>
    <row r="46" spans="1:26" s="24" customFormat="1" hidden="1" outlineLevel="2" x14ac:dyDescent="0.25">
      <c r="A46" s="26"/>
      <c r="B46" s="11" t="str">
        <f>CONCATENATE("          ", "6248", " - ", "UNIFORMS")</f>
        <v xml:space="preserve">          6248 - UNIFORMS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1113.5999999999999</v>
      </c>
      <c r="Q46" s="2"/>
      <c r="R46" s="7">
        <f t="shared" si="32"/>
        <v>0.21502137470023283</v>
      </c>
      <c r="S46" s="2"/>
      <c r="T46" s="6"/>
      <c r="U46" s="2"/>
      <c r="V46" s="7">
        <f t="shared" si="33"/>
        <v>0</v>
      </c>
      <c r="W46" s="2"/>
      <c r="X46" s="6">
        <f t="shared" si="34"/>
        <v>1113.5999999999999</v>
      </c>
      <c r="Y46" s="2"/>
      <c r="Z46" s="7">
        <f t="shared" si="35"/>
        <v>0</v>
      </c>
    </row>
    <row r="47" spans="1:26" s="27" customFormat="1" outlineLevel="1" collapsed="1" x14ac:dyDescent="0.25">
      <c r="A47" s="25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SUM(OSRRefD22_8x_0)</f>
        <v>75.5</v>
      </c>
      <c r="E47" s="1"/>
      <c r="F47" s="5">
        <f t="shared" ref="F47:F48" si="36">IF(D$12=0,0,D47/D$12)</f>
        <v>8.6616341233967359E-2</v>
      </c>
      <c r="G47" s="1"/>
      <c r="H47" s="1">
        <f>SUM(OSRRefH22_8x_0)</f>
        <v>75.5</v>
      </c>
      <c r="I47" s="1"/>
      <c r="J47" s="5">
        <f t="shared" ref="J47:J48" si="37">IF(H$12=0,0,H47/H$12)</f>
        <v>7.138332372100939E-2</v>
      </c>
      <c r="K47" s="1"/>
      <c r="L47" s="1">
        <f t="shared" ref="L47:L48" si="38">+D47-H47</f>
        <v>0</v>
      </c>
      <c r="M47" s="1"/>
      <c r="N47" s="5">
        <f t="shared" ref="N47:N48" si="39">IF(H47=0,0,L47/H47)</f>
        <v>0</v>
      </c>
      <c r="O47" s="13"/>
      <c r="P47" s="1">
        <f>SUM(OSRRefP22_8x_0)</f>
        <v>413</v>
      </c>
      <c r="Q47" s="1"/>
      <c r="R47" s="5">
        <f t="shared" ref="R47:R48" si="40">IF(P$12=0,0,P47/P$12)</f>
        <v>7.9744816586921841E-2</v>
      </c>
      <c r="S47" s="1"/>
      <c r="T47" s="1">
        <f>SUM(OSRRefT22_8x_0)</f>
        <v>393</v>
      </c>
      <c r="U47" s="1"/>
      <c r="V47" s="5">
        <f t="shared" ref="V47:V48" si="41">IF(T$12=0,0,T47/T$12)</f>
        <v>7.4177255328305131E-2</v>
      </c>
      <c r="W47" s="1"/>
      <c r="X47" s="1">
        <f t="shared" ref="X47:X48" si="42">+P47-T47</f>
        <v>20</v>
      </c>
      <c r="Y47" s="1"/>
      <c r="Z47" s="5">
        <f t="shared" ref="Z47:Z48" si="43">IF(T47=0,0,X47/T47)</f>
        <v>5.0890585241730277E-2</v>
      </c>
    </row>
    <row r="48" spans="1:26" s="24" customFormat="1" hidden="1" outlineLevel="2" x14ac:dyDescent="0.25">
      <c r="A48" s="26"/>
      <c r="B48" s="11" t="str">
        <f>CONCATENATE("          ", "6309", " - ", "TELEPHONE")</f>
        <v xml:space="preserve">          6309 - TELEPHONE</v>
      </c>
      <c r="C48" s="11"/>
      <c r="D48" s="6">
        <v>75.5</v>
      </c>
      <c r="E48" s="2"/>
      <c r="F48" s="7">
        <f t="shared" si="36"/>
        <v>8.6616341233967359E-2</v>
      </c>
      <c r="G48" s="2"/>
      <c r="H48" s="6">
        <v>75.5</v>
      </c>
      <c r="I48" s="2"/>
      <c r="J48" s="7">
        <f t="shared" si="37"/>
        <v>7.138332372100939E-2</v>
      </c>
      <c r="K48" s="2"/>
      <c r="L48" s="6">
        <f t="shared" si="38"/>
        <v>0</v>
      </c>
      <c r="M48" s="2"/>
      <c r="N48" s="7">
        <f t="shared" si="39"/>
        <v>0</v>
      </c>
      <c r="O48" s="11"/>
      <c r="P48" s="6">
        <v>413</v>
      </c>
      <c r="Q48" s="2"/>
      <c r="R48" s="7">
        <f t="shared" si="40"/>
        <v>7.9744816586921841E-2</v>
      </c>
      <c r="S48" s="2"/>
      <c r="T48" s="6">
        <v>393</v>
      </c>
      <c r="U48" s="2"/>
      <c r="V48" s="7">
        <f t="shared" si="41"/>
        <v>7.4177255328305131E-2</v>
      </c>
      <c r="W48" s="2"/>
      <c r="X48" s="6">
        <f t="shared" si="42"/>
        <v>20</v>
      </c>
      <c r="Y48" s="2"/>
      <c r="Z48" s="7">
        <f t="shared" si="43"/>
        <v>5.0890585241730277E-2</v>
      </c>
    </row>
    <row r="49" spans="1:26" s="61" customFormat="1" x14ac:dyDescent="0.25">
      <c r="A49" s="37"/>
      <c r="B49" s="37"/>
      <c r="C49" s="37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7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8" t="s">
        <v>0</v>
      </c>
      <c r="C50" s="10"/>
      <c r="D50" s="4">
        <f>SUM(0)</f>
        <v>0</v>
      </c>
      <c r="E50" s="4"/>
      <c r="F50" s="12">
        <f>IF(D$12=0,0,D50/D$12)</f>
        <v>0</v>
      </c>
      <c r="G50" s="4"/>
      <c r="H50" s="4">
        <f>SUM(0)</f>
        <v>0</v>
      </c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>
        <f>SUM(0)</f>
        <v>0</v>
      </c>
      <c r="Q50" s="4"/>
      <c r="R50" s="12">
        <f>IF(P$12=0,0,P50/P$12)</f>
        <v>0</v>
      </c>
      <c r="S50" s="4"/>
      <c r="T50" s="4">
        <f>SUM(0)</f>
        <v>0</v>
      </c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3</v>
      </c>
      <c r="C52" s="29"/>
      <c r="D52" s="20">
        <f>+D21-D23+D50</f>
        <v>-2089.1400000000003</v>
      </c>
      <c r="E52" s="14"/>
      <c r="F52" s="21">
        <f>IF(D$12=0,0,D52/D$12)</f>
        <v>-2.3967372599408026</v>
      </c>
      <c r="G52" s="14"/>
      <c r="H52" s="20">
        <f>+H21-H23+H50</f>
        <v>-1409.05</v>
      </c>
      <c r="I52" s="14"/>
      <c r="J52" s="21">
        <f>IF(H$12=0,0,H52/H$12)</f>
        <v>-1.3322208250210368</v>
      </c>
      <c r="K52" s="15"/>
      <c r="L52" s="20">
        <f>+D52-H52</f>
        <v>-680.09000000000037</v>
      </c>
      <c r="M52" s="15"/>
      <c r="N52" s="21">
        <f>IF(H52=0,0,L52/H52)</f>
        <v>0.48265852879599758</v>
      </c>
      <c r="O52" s="28"/>
      <c r="P52" s="20">
        <f>+P21-P23+P50</f>
        <v>-12171.14</v>
      </c>
      <c r="Q52" s="14"/>
      <c r="R52" s="21">
        <f>IF(P$12=0,0,P52/P$12)</f>
        <v>-2.3500855374182756</v>
      </c>
      <c r="S52" s="14"/>
      <c r="T52" s="20">
        <f>+T21-T23+T50</f>
        <v>-6725.3900000000031</v>
      </c>
      <c r="U52" s="14"/>
      <c r="V52" s="21">
        <f>IF(T$12=0,0,T52/T$12)</f>
        <v>-1.2693917842555478</v>
      </c>
      <c r="W52" s="15"/>
      <c r="X52" s="20">
        <f>+P52-T52</f>
        <v>-5445.7499999999964</v>
      </c>
      <c r="Y52" s="15"/>
      <c r="Z52" s="21">
        <f>IF(T52=0,0,X52/T52)</f>
        <v>0.80972999335354434</v>
      </c>
    </row>
    <row r="53" spans="1:26" x14ac:dyDescent="0.25">
      <c r="A53" s="9"/>
      <c r="B53" s="10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51"/>
      <c r="B54" s="10" t="s">
        <v>13</v>
      </c>
      <c r="C54" s="10"/>
      <c r="D54" s="4">
        <v>103.25</v>
      </c>
      <c r="E54" s="4"/>
      <c r="F54" s="12">
        <f>IF(D$12=0,0,D54/D$12)</f>
        <v>0.11845214877360438</v>
      </c>
      <c r="G54" s="4"/>
      <c r="H54" s="4">
        <v>125.56</v>
      </c>
      <c r="I54" s="4"/>
      <c r="J54" s="12">
        <f>IF(H$12=0,0,H54/H$12)</f>
        <v>0.1187137765087409</v>
      </c>
      <c r="K54" s="4"/>
      <c r="L54" s="4">
        <f>+D54-H54</f>
        <v>-22.310000000000002</v>
      </c>
      <c r="M54" s="4"/>
      <c r="N54" s="12">
        <f>IF(H54=0,0,L54/H54)</f>
        <v>-0.17768397578846767</v>
      </c>
      <c r="O54" s="10"/>
      <c r="P54" s="4">
        <v>559.37</v>
      </c>
      <c r="Q54" s="4"/>
      <c r="R54" s="12">
        <f>IF(P$12=0,0,P54/P$12)</f>
        <v>0.10800692022815127</v>
      </c>
      <c r="S54" s="4"/>
      <c r="T54" s="4">
        <v>571.75</v>
      </c>
      <c r="U54" s="4"/>
      <c r="V54" s="12">
        <f>IF(T$12=0,0,T54/T$12)</f>
        <v>0.1079156379998943</v>
      </c>
      <c r="W54" s="4"/>
      <c r="X54" s="4">
        <f>+P54-T54</f>
        <v>-12.379999999999995</v>
      </c>
      <c r="Y54" s="4"/>
      <c r="Z54" s="12">
        <f>IF(T54=0,0,X54/T54)</f>
        <v>-2.165282028858766E-2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9" t="s">
        <v>4</v>
      </c>
      <c r="C56" s="29"/>
      <c r="D56" s="32">
        <f>+D52-D54</f>
        <v>-2192.3900000000003</v>
      </c>
      <c r="E56" s="14"/>
      <c r="F56" s="30">
        <f>IF(D$12=0,0,D56/D$12)</f>
        <v>-2.5151894087144071</v>
      </c>
      <c r="G56" s="14"/>
      <c r="H56" s="32">
        <f>+H52-H54</f>
        <v>-1534.61</v>
      </c>
      <c r="I56" s="14"/>
      <c r="J56" s="30">
        <f>IF(H$12=0,0,H56/H$12)</f>
        <v>-1.4509346015297775</v>
      </c>
      <c r="K56" s="15"/>
      <c r="L56" s="32">
        <f>D56-H56</f>
        <v>-657.78000000000043</v>
      </c>
      <c r="M56" s="15"/>
      <c r="N56" s="30">
        <f>IF(H56=0,0,L56/H56)</f>
        <v>0.42863007539374853</v>
      </c>
      <c r="O56" s="28"/>
      <c r="P56" s="32">
        <f>+P52-P54</f>
        <v>-12730.51</v>
      </c>
      <c r="Q56" s="14"/>
      <c r="R56" s="30">
        <f>IF(P$12=0,0,P56/P$12)</f>
        <v>-2.4580924576464271</v>
      </c>
      <c r="S56" s="14"/>
      <c r="T56" s="32">
        <f>+T52-T54</f>
        <v>-7297.1400000000031</v>
      </c>
      <c r="U56" s="14"/>
      <c r="V56" s="30">
        <f>IF(T$12=0,0,T56/T$12)</f>
        <v>-1.3773074222554422</v>
      </c>
      <c r="W56" s="15"/>
      <c r="X56" s="32">
        <f>P56-T56</f>
        <v>-5433.3699999999972</v>
      </c>
      <c r="Y56" s="15"/>
      <c r="Z56" s="30">
        <f>IF(T56=0,0,X56/T56)</f>
        <v>0.74458897595496243</v>
      </c>
    </row>
    <row r="57" spans="1:26" ht="15.75" thickTop="1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9" t="s">
        <v>5</v>
      </c>
      <c r="C59" s="29"/>
      <c r="D59" s="36">
        <f>SUM(D56:D58)</f>
        <v>-2192.3900000000003</v>
      </c>
      <c r="E59" s="14"/>
      <c r="F59" s="31">
        <f>IF(D$12=0,0,D59/D$12)</f>
        <v>-2.5151894087144071</v>
      </c>
      <c r="G59" s="14"/>
      <c r="H59" s="36">
        <f>SUM(H56:H58)</f>
        <v>-1534.61</v>
      </c>
      <c r="I59" s="14"/>
      <c r="J59" s="31">
        <f>IF(H$12=0,0,H59/H$12)</f>
        <v>-1.4509346015297775</v>
      </c>
      <c r="K59" s="15"/>
      <c r="L59" s="36">
        <f>+D59-H59</f>
        <v>-657.78000000000043</v>
      </c>
      <c r="M59" s="15"/>
      <c r="N59" s="31">
        <f>IF(H59=0,0,L59/H59)</f>
        <v>0.42863007539374853</v>
      </c>
      <c r="O59" s="28"/>
      <c r="P59" s="36">
        <f>SUM(P56:P58)</f>
        <v>-12730.51</v>
      </c>
      <c r="Q59" s="14"/>
      <c r="R59" s="31">
        <f>IF(P$12=0,0,P59/P$12)</f>
        <v>-2.4580924576464271</v>
      </c>
      <c r="S59" s="14"/>
      <c r="T59" s="36">
        <f>SUM(T56:T58)</f>
        <v>-7297.1400000000031</v>
      </c>
      <c r="U59" s="14"/>
      <c r="V59" s="31">
        <f>IF(T$12=0,0,T59/T$12)</f>
        <v>-1.3773074222554422</v>
      </c>
      <c r="W59" s="15"/>
      <c r="X59" s="36">
        <f>+P59-T59</f>
        <v>-5433.3699999999972</v>
      </c>
      <c r="Y59" s="15"/>
      <c r="Z59" s="31">
        <f>IF(T59=0,0,X59/T59)</f>
        <v>0.74458897595496243</v>
      </c>
    </row>
    <row r="60" spans="1:26" ht="15.75" thickTop="1" x14ac:dyDescent="0.25">
      <c r="A60" s="9"/>
      <c r="C60" s="9"/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62">
        <v>43847.454222916669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6" t="s">
        <v>313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54"/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","444", " - ", "Parkside Dining Hall")</f>
        <v>Department 444 - Parkside Dining Hall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297574.2</v>
      </c>
      <c r="E12" s="4"/>
      <c r="F12" s="12"/>
      <c r="G12" s="4"/>
      <c r="H12" s="4">
        <f>SUM(OSRRefH13x_0)</f>
        <v>332635.90999999997</v>
      </c>
      <c r="I12" s="4"/>
      <c r="J12" s="12"/>
      <c r="K12" s="4"/>
      <c r="L12" s="4">
        <f t="shared" ref="L12:L15" si="0">+D12-H12</f>
        <v>-35061.709999999963</v>
      </c>
      <c r="M12" s="4"/>
      <c r="N12" s="12">
        <f t="shared" ref="N12:N15" si="1">IF(H12=0,0,L12/H12)</f>
        <v>-0.10540566711513488</v>
      </c>
      <c r="O12" s="10"/>
      <c r="P12" s="4">
        <f>SUM(OSRRefP13x_0)</f>
        <v>2294675.5299999998</v>
      </c>
      <c r="Q12" s="4"/>
      <c r="R12" s="12"/>
      <c r="S12" s="4"/>
      <c r="T12" s="4">
        <f>SUM(OSRRefT13x_0)</f>
        <v>2220275.7799999998</v>
      </c>
      <c r="U12" s="4"/>
      <c r="V12" s="12"/>
      <c r="W12" s="4"/>
      <c r="X12" s="4">
        <f t="shared" ref="X12:X15" si="2">+P12-T12</f>
        <v>74399.75</v>
      </c>
      <c r="Y12" s="4"/>
      <c r="Z12" s="12">
        <f t="shared" ref="Z12:Z15" si="3">IF(T12=0,0,X12/T12)</f>
        <v>3.3509238208237362E-2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--241.27</f>
        <v>241.27</v>
      </c>
      <c r="E13" s="2"/>
      <c r="F13" s="19"/>
      <c r="G13" s="2"/>
      <c r="H13" s="2">
        <f>--138.62</f>
        <v>138.62</v>
      </c>
      <c r="I13" s="2"/>
      <c r="J13" s="19"/>
      <c r="K13" s="2"/>
      <c r="L13" s="2">
        <f t="shared" si="0"/>
        <v>102.65</v>
      </c>
      <c r="M13" s="2"/>
      <c r="N13" s="19">
        <f t="shared" si="1"/>
        <v>0.740513634396191</v>
      </c>
      <c r="O13" s="11"/>
      <c r="P13" s="2">
        <f>--2227.36</f>
        <v>2227.36</v>
      </c>
      <c r="Q13" s="2"/>
      <c r="R13" s="19"/>
      <c r="S13" s="2"/>
      <c r="T13" s="2">
        <f>--1415.98</f>
        <v>1415.98</v>
      </c>
      <c r="U13" s="2"/>
      <c r="V13" s="19"/>
      <c r="W13" s="2"/>
      <c r="X13" s="2">
        <f t="shared" si="2"/>
        <v>811.38000000000011</v>
      </c>
      <c r="Y13" s="2"/>
      <c r="Z13" s="19">
        <f t="shared" si="3"/>
        <v>0.57301656803062195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--294714.6</f>
        <v>294714.59999999998</v>
      </c>
      <c r="E14" s="2"/>
      <c r="F14" s="19"/>
      <c r="G14" s="2"/>
      <c r="H14" s="2">
        <f>--328506.92</f>
        <v>328506.92</v>
      </c>
      <c r="I14" s="2"/>
      <c r="J14" s="19"/>
      <c r="K14" s="2"/>
      <c r="L14" s="2">
        <f t="shared" si="0"/>
        <v>-33792.320000000007</v>
      </c>
      <c r="M14" s="2"/>
      <c r="N14" s="19">
        <f t="shared" si="1"/>
        <v>-0.10286638710685306</v>
      </c>
      <c r="O14" s="11"/>
      <c r="P14" s="2">
        <f>--2254584.8</f>
        <v>2254584.7999999998</v>
      </c>
      <c r="Q14" s="2"/>
      <c r="R14" s="19"/>
      <c r="S14" s="2"/>
      <c r="T14" s="2">
        <f>--2173692.38</f>
        <v>2173692.38</v>
      </c>
      <c r="U14" s="2"/>
      <c r="V14" s="19"/>
      <c r="W14" s="2"/>
      <c r="X14" s="2">
        <f t="shared" si="2"/>
        <v>80892.419999999925</v>
      </c>
      <c r="Y14" s="2"/>
      <c r="Z14" s="19">
        <f t="shared" si="3"/>
        <v>3.7214290644014644E-2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--2618.33</f>
        <v>2618.33</v>
      </c>
      <c r="E15" s="2"/>
      <c r="F15" s="19"/>
      <c r="G15" s="2"/>
      <c r="H15" s="2">
        <f>--3990.37</f>
        <v>3990.37</v>
      </c>
      <c r="I15" s="2"/>
      <c r="J15" s="19"/>
      <c r="K15" s="2"/>
      <c r="L15" s="2">
        <f t="shared" si="0"/>
        <v>-1372.04</v>
      </c>
      <c r="M15" s="2"/>
      <c r="N15" s="19">
        <f t="shared" si="1"/>
        <v>-0.34383778947816868</v>
      </c>
      <c r="O15" s="11"/>
      <c r="P15" s="2">
        <f>--37863.37</f>
        <v>37863.370000000003</v>
      </c>
      <c r="Q15" s="2"/>
      <c r="R15" s="19"/>
      <c r="S15" s="2"/>
      <c r="T15" s="2">
        <f>--45167.42</f>
        <v>45167.42</v>
      </c>
      <c r="U15" s="2"/>
      <c r="V15" s="19"/>
      <c r="W15" s="2"/>
      <c r="X15" s="2">
        <f t="shared" si="2"/>
        <v>-7304.0499999999956</v>
      </c>
      <c r="Y15" s="2"/>
      <c r="Z15" s="19">
        <f t="shared" si="3"/>
        <v>-0.16171058696733168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63760.89</v>
      </c>
      <c r="E17" s="4"/>
      <c r="F17" s="12">
        <f t="shared" ref="F17:F19" si="4">IF(D$12=0,0,D17/D$12)</f>
        <v>0.21426887814871046</v>
      </c>
      <c r="G17" s="4"/>
      <c r="H17" s="4">
        <f>SUM(OSRRefH16x_0)</f>
        <v>86578.91</v>
      </c>
      <c r="I17" s="4"/>
      <c r="J17" s="12">
        <f t="shared" ref="J17:J19" si="5">IF(H$12=0,0,H17/H$12)</f>
        <v>0.26028130877390843</v>
      </c>
      <c r="K17" s="4"/>
      <c r="L17" s="4">
        <f t="shared" ref="L17:L19" si="6">+D17-H17</f>
        <v>-22818.020000000004</v>
      </c>
      <c r="M17" s="4"/>
      <c r="N17" s="12">
        <f t="shared" ref="N17:N19" si="7">IF(H17=0,0,L17/H17)</f>
        <v>-0.26355171253599752</v>
      </c>
      <c r="O17" s="10"/>
      <c r="P17" s="4">
        <f>SUM(OSRRefP16x_0)</f>
        <v>570350.51</v>
      </c>
      <c r="Q17" s="4"/>
      <c r="R17" s="12">
        <f t="shared" ref="R17:R19" si="8">IF(P$12=0,0,P17/P$12)</f>
        <v>0.24855388160259853</v>
      </c>
      <c r="S17" s="4"/>
      <c r="T17" s="4">
        <f>SUM(OSRRefT16x_0)</f>
        <v>592837.61</v>
      </c>
      <c r="U17" s="4"/>
      <c r="V17" s="12">
        <f t="shared" ref="V17:V19" si="9">IF(T$12=0,0,T17/T$12)</f>
        <v>0.26701079899182617</v>
      </c>
      <c r="W17" s="4"/>
      <c r="X17" s="4">
        <f t="shared" ref="X17:X19" si="10">+P17-T17</f>
        <v>-22487.099999999977</v>
      </c>
      <c r="Y17" s="4"/>
      <c r="Z17" s="12">
        <f t="shared" ref="Z17:Z19" si="11">IF(T17=0,0,X17/T17)</f>
        <v>-3.7931297914786444E-2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56157.89</v>
      </c>
      <c r="E18" s="2"/>
      <c r="F18" s="19">
        <f t="shared" si="4"/>
        <v>0.18871894808084841</v>
      </c>
      <c r="G18" s="2"/>
      <c r="H18" s="2">
        <v>70541.41</v>
      </c>
      <c r="I18" s="2"/>
      <c r="J18" s="19">
        <f t="shared" si="5"/>
        <v>0.21206793337496246</v>
      </c>
      <c r="K18" s="2"/>
      <c r="L18" s="2">
        <f t="shared" si="6"/>
        <v>-14383.520000000004</v>
      </c>
      <c r="M18" s="2"/>
      <c r="N18" s="19">
        <f t="shared" si="7"/>
        <v>-0.20390179328709199</v>
      </c>
      <c r="O18" s="11"/>
      <c r="P18" s="2">
        <v>563400.76</v>
      </c>
      <c r="Q18" s="2"/>
      <c r="R18" s="19">
        <f t="shared" si="8"/>
        <v>0.24552523990178257</v>
      </c>
      <c r="S18" s="2"/>
      <c r="T18" s="2">
        <v>589693.86</v>
      </c>
      <c r="U18" s="2"/>
      <c r="V18" s="19">
        <f t="shared" si="9"/>
        <v>0.26559487128216119</v>
      </c>
      <c r="W18" s="2"/>
      <c r="X18" s="2">
        <f t="shared" si="10"/>
        <v>-26293.099999999977</v>
      </c>
      <c r="Y18" s="2"/>
      <c r="Z18" s="19">
        <f t="shared" si="11"/>
        <v>-4.458771200364877E-2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7603</v>
      </c>
      <c r="E19" s="2"/>
      <c r="F19" s="19">
        <f t="shared" si="4"/>
        <v>2.5549930067862065E-2</v>
      </c>
      <c r="G19" s="2"/>
      <c r="H19" s="2">
        <v>16037.5</v>
      </c>
      <c r="I19" s="2"/>
      <c r="J19" s="19">
        <f t="shared" si="5"/>
        <v>4.8213375398945955E-2</v>
      </c>
      <c r="K19" s="2"/>
      <c r="L19" s="2">
        <f t="shared" si="6"/>
        <v>-8434.5</v>
      </c>
      <c r="M19" s="2"/>
      <c r="N19" s="19">
        <f t="shared" si="7"/>
        <v>-0.5259236165237724</v>
      </c>
      <c r="O19" s="11"/>
      <c r="P19" s="2">
        <v>6949.75</v>
      </c>
      <c r="Q19" s="2"/>
      <c r="R19" s="19">
        <f t="shared" si="8"/>
        <v>3.0286417008159759E-3</v>
      </c>
      <c r="S19" s="2"/>
      <c r="T19" s="2">
        <v>3143.75</v>
      </c>
      <c r="U19" s="2"/>
      <c r="V19" s="19">
        <f t="shared" si="9"/>
        <v>1.4159277096649681E-3</v>
      </c>
      <c r="W19" s="2"/>
      <c r="X19" s="2">
        <f t="shared" si="10"/>
        <v>3806</v>
      </c>
      <c r="Y19" s="2"/>
      <c r="Z19" s="19">
        <f t="shared" si="11"/>
        <v>1.2106560636182904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0">
        <f>D12-D17</f>
        <v>233813.31</v>
      </c>
      <c r="E21" s="14"/>
      <c r="F21" s="21">
        <f>IF(D$12=0,0,D21/D$12)</f>
        <v>0.78573112185128946</v>
      </c>
      <c r="G21" s="14"/>
      <c r="H21" s="20">
        <f>H12-H17</f>
        <v>246056.99999999997</v>
      </c>
      <c r="I21" s="14"/>
      <c r="J21" s="21">
        <f>IF(H$12=0,0,H21/H$12)</f>
        <v>0.73971869122609157</v>
      </c>
      <c r="K21" s="15"/>
      <c r="L21" s="20">
        <f>+D21-H21</f>
        <v>-12243.689999999973</v>
      </c>
      <c r="M21" s="15"/>
      <c r="N21" s="21">
        <f>IF(H21=0,0,L21/H21)</f>
        <v>-4.9759567904997519E-2</v>
      </c>
      <c r="O21" s="28"/>
      <c r="P21" s="20">
        <f>P12-P17</f>
        <v>1724325.0199999998</v>
      </c>
      <c r="Q21" s="14"/>
      <c r="R21" s="21">
        <f>IF(P$12=0,0,P21/P$12)</f>
        <v>0.7514461183974015</v>
      </c>
      <c r="S21" s="14"/>
      <c r="T21" s="20">
        <f>T12-T17</f>
        <v>1627438.17</v>
      </c>
      <c r="U21" s="14"/>
      <c r="V21" s="21">
        <f>IF(T$12=0,0,T21/T$12)</f>
        <v>0.73298920100817389</v>
      </c>
      <c r="W21" s="15"/>
      <c r="X21" s="20">
        <f>+P21-T21</f>
        <v>96886.84999999986</v>
      </c>
      <c r="Y21" s="15"/>
      <c r="Z21" s="21">
        <f>IF(T21=0,0,X21/T21)</f>
        <v>5.9533352348494974E-2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145697.87000000005</v>
      </c>
      <c r="E23" s="22"/>
      <c r="F23" s="33">
        <f t="shared" ref="F23:F33" si="12">IF(D$12=0,0,D23/D$12)</f>
        <v>0.48961862285104035</v>
      </c>
      <c r="G23" s="22"/>
      <c r="H23" s="22">
        <f>SUM(OSRRefH22x_0)</f>
        <v>148763.1</v>
      </c>
      <c r="I23" s="22"/>
      <c r="J23" s="33">
        <f t="shared" ref="J23:J33" si="13">IF(H$12=0,0,H23/H$12)</f>
        <v>0.44722501548314497</v>
      </c>
      <c r="K23" s="4"/>
      <c r="L23" s="22">
        <f t="shared" ref="L23:L33" si="14">+D23-H23</f>
        <v>-3065.2299999999523</v>
      </c>
      <c r="M23" s="4"/>
      <c r="N23" s="33">
        <f t="shared" ref="N23:N33" si="15">IF(H23=0,0,L23/H23)</f>
        <v>-2.0604773630019488E-2</v>
      </c>
      <c r="O23" s="10"/>
      <c r="P23" s="22">
        <f>SUM(OSRRefP22x_0)</f>
        <v>1072301.4400000002</v>
      </c>
      <c r="Q23" s="22"/>
      <c r="R23" s="33">
        <f t="shared" ref="R23:R33" si="16">IF(P$12=0,0,P23/P$12)</f>
        <v>0.46729981035706614</v>
      </c>
      <c r="S23" s="22"/>
      <c r="T23" s="22">
        <f>SUM(OSRRefT22x_0)</f>
        <v>1006152.4399999998</v>
      </c>
      <c r="U23" s="22"/>
      <c r="V23" s="33">
        <f t="shared" ref="V23:V33" si="17">IF(T$12=0,0,T23/T$12)</f>
        <v>0.45316552523038373</v>
      </c>
      <c r="W23" s="4"/>
      <c r="X23" s="22">
        <f t="shared" ref="X23:X33" si="18">+P23-T23</f>
        <v>66149.000000000349</v>
      </c>
      <c r="Y23" s="4"/>
      <c r="Z23" s="33">
        <f t="shared" ref="Z23:Z33" si="19">IF(T23=0,0,X23/T23)</f>
        <v>6.5744510841717341E-2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36747.229999999996</v>
      </c>
      <c r="E24" s="1"/>
      <c r="F24" s="5">
        <f t="shared" si="12"/>
        <v>0.12348930115581255</v>
      </c>
      <c r="G24" s="1"/>
      <c r="H24" s="1">
        <f>SUM(OSRRefH22_0x_0)</f>
        <v>33012.910000000003</v>
      </c>
      <c r="I24" s="1"/>
      <c r="J24" s="5">
        <f t="shared" si="13"/>
        <v>9.9246380223951186E-2</v>
      </c>
      <c r="K24" s="1"/>
      <c r="L24" s="1">
        <f t="shared" si="14"/>
        <v>3734.3199999999924</v>
      </c>
      <c r="M24" s="1"/>
      <c r="N24" s="5">
        <f t="shared" si="15"/>
        <v>0.11311695939558167</v>
      </c>
      <c r="O24" s="13"/>
      <c r="P24" s="1">
        <f>SUM(OSRRefP22_0x_0)</f>
        <v>203698.4</v>
      </c>
      <c r="Q24" s="1"/>
      <c r="R24" s="5">
        <f t="shared" si="16"/>
        <v>8.8770023184933697E-2</v>
      </c>
      <c r="S24" s="1"/>
      <c r="T24" s="1">
        <f>SUM(OSRRefT22_0x_0)</f>
        <v>193602.14999999997</v>
      </c>
      <c r="U24" s="1"/>
      <c r="V24" s="5">
        <f t="shared" si="17"/>
        <v>8.7197343566032134E-2</v>
      </c>
      <c r="W24" s="1"/>
      <c r="X24" s="1">
        <f t="shared" si="18"/>
        <v>10096.250000000029</v>
      </c>
      <c r="Y24" s="1"/>
      <c r="Z24" s="5">
        <f t="shared" si="19"/>
        <v>5.2149472513606028E-2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4102.9799999999996</v>
      </c>
      <c r="E25" s="2"/>
      <c r="F25" s="7">
        <f t="shared" si="12"/>
        <v>1.378809049978123E-2</v>
      </c>
      <c r="G25" s="2"/>
      <c r="H25" s="6">
        <v>3737.94</v>
      </c>
      <c r="I25" s="2"/>
      <c r="J25" s="7">
        <f t="shared" si="13"/>
        <v>1.1237331531643713E-2</v>
      </c>
      <c r="K25" s="2"/>
      <c r="L25" s="6">
        <f t="shared" si="14"/>
        <v>365.03999999999951</v>
      </c>
      <c r="M25" s="2"/>
      <c r="N25" s="7">
        <f t="shared" si="15"/>
        <v>9.7658068347806409E-2</v>
      </c>
      <c r="O25" s="11"/>
      <c r="P25" s="6">
        <v>29846.28</v>
      </c>
      <c r="Q25" s="2"/>
      <c r="R25" s="7">
        <f t="shared" si="16"/>
        <v>1.3006753943987891E-2</v>
      </c>
      <c r="S25" s="2"/>
      <c r="T25" s="6">
        <v>29072.14</v>
      </c>
      <c r="U25" s="2"/>
      <c r="V25" s="7">
        <f t="shared" si="17"/>
        <v>1.3093931961911507E-2</v>
      </c>
      <c r="W25" s="2"/>
      <c r="X25" s="6">
        <f t="shared" si="18"/>
        <v>774.13999999999942</v>
      </c>
      <c r="Y25" s="2"/>
      <c r="Z25" s="7">
        <f t="shared" si="19"/>
        <v>2.6628242709343015E-2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4767.33</v>
      </c>
      <c r="E26" s="2"/>
      <c r="F26" s="7">
        <f t="shared" si="12"/>
        <v>1.6020642918640124E-2</v>
      </c>
      <c r="G26" s="2"/>
      <c r="H26" s="6">
        <v>3915.53</v>
      </c>
      <c r="I26" s="2"/>
      <c r="J26" s="7">
        <f t="shared" si="13"/>
        <v>1.1771218567472166E-2</v>
      </c>
      <c r="K26" s="2"/>
      <c r="L26" s="6">
        <f t="shared" si="14"/>
        <v>851.79999999999973</v>
      </c>
      <c r="M26" s="2"/>
      <c r="N26" s="7">
        <f t="shared" si="15"/>
        <v>0.21754398510546458</v>
      </c>
      <c r="O26" s="11"/>
      <c r="P26" s="6">
        <v>17290.02</v>
      </c>
      <c r="Q26" s="2"/>
      <c r="R26" s="7">
        <f t="shared" si="16"/>
        <v>7.5348430634112366E-3</v>
      </c>
      <c r="S26" s="2"/>
      <c r="T26" s="6">
        <v>19987.05</v>
      </c>
      <c r="U26" s="2"/>
      <c r="V26" s="7">
        <f t="shared" si="17"/>
        <v>9.0020573930685317E-3</v>
      </c>
      <c r="W26" s="2"/>
      <c r="X26" s="6">
        <f t="shared" si="18"/>
        <v>-2697.0299999999988</v>
      </c>
      <c r="Y26" s="2"/>
      <c r="Z26" s="7">
        <f t="shared" si="19"/>
        <v>-0.13493887292021578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19217.98</v>
      </c>
      <c r="E27" s="2"/>
      <c r="F27" s="7">
        <f t="shared" si="12"/>
        <v>6.4582144554198584E-2</v>
      </c>
      <c r="G27" s="2"/>
      <c r="H27" s="6">
        <v>17883</v>
      </c>
      <c r="I27" s="2"/>
      <c r="J27" s="7">
        <f t="shared" si="13"/>
        <v>5.376148353916449E-2</v>
      </c>
      <c r="K27" s="2"/>
      <c r="L27" s="6">
        <f t="shared" si="14"/>
        <v>1334.9799999999996</v>
      </c>
      <c r="M27" s="2"/>
      <c r="N27" s="7">
        <f t="shared" si="15"/>
        <v>7.4650785662360872E-2</v>
      </c>
      <c r="O27" s="11"/>
      <c r="P27" s="6">
        <v>103280.64</v>
      </c>
      <c r="Q27" s="2"/>
      <c r="R27" s="7">
        <f t="shared" si="16"/>
        <v>4.5008820920315482E-2</v>
      </c>
      <c r="S27" s="2"/>
      <c r="T27" s="6">
        <v>94289.78</v>
      </c>
      <c r="U27" s="2"/>
      <c r="V27" s="7">
        <f t="shared" si="17"/>
        <v>4.2467598326906941E-2</v>
      </c>
      <c r="W27" s="2"/>
      <c r="X27" s="6">
        <f t="shared" si="18"/>
        <v>8990.86</v>
      </c>
      <c r="Y27" s="2"/>
      <c r="Z27" s="7">
        <f t="shared" si="19"/>
        <v>9.5353494302351752E-2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321.2</v>
      </c>
      <c r="E28" s="2"/>
      <c r="F28" s="7">
        <f t="shared" si="12"/>
        <v>1.0793946518212936E-3</v>
      </c>
      <c r="G28" s="2"/>
      <c r="H28" s="6">
        <v>293.39999999999998</v>
      </c>
      <c r="I28" s="2"/>
      <c r="J28" s="7">
        <f t="shared" si="13"/>
        <v>8.8204547729077117E-4</v>
      </c>
      <c r="K28" s="2"/>
      <c r="L28" s="6">
        <f t="shared" si="14"/>
        <v>27.800000000000011</v>
      </c>
      <c r="M28" s="2"/>
      <c r="N28" s="7">
        <f t="shared" si="15"/>
        <v>9.4751192910702164E-2</v>
      </c>
      <c r="O28" s="11"/>
      <c r="P28" s="6">
        <v>1536.9</v>
      </c>
      <c r="Q28" s="2"/>
      <c r="R28" s="7">
        <f t="shared" si="16"/>
        <v>6.697678952457388E-4</v>
      </c>
      <c r="S28" s="2"/>
      <c r="T28" s="6">
        <v>1487.24</v>
      </c>
      <c r="U28" s="2"/>
      <c r="V28" s="7">
        <f t="shared" si="17"/>
        <v>6.6984471631717762E-4</v>
      </c>
      <c r="W28" s="2"/>
      <c r="X28" s="6">
        <f t="shared" si="18"/>
        <v>49.660000000000082</v>
      </c>
      <c r="Y28" s="2"/>
      <c r="Z28" s="7">
        <f t="shared" si="19"/>
        <v>3.3390710309028862E-2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1247.53</v>
      </c>
      <c r="E29" s="2"/>
      <c r="F29" s="7">
        <f t="shared" si="12"/>
        <v>4.1923325342049138E-3</v>
      </c>
      <c r="G29" s="2"/>
      <c r="H29" s="6">
        <v>1114.74</v>
      </c>
      <c r="I29" s="2"/>
      <c r="J29" s="7">
        <f t="shared" si="13"/>
        <v>3.3512316815102737E-3</v>
      </c>
      <c r="K29" s="2"/>
      <c r="L29" s="6">
        <f t="shared" si="14"/>
        <v>132.78999999999996</v>
      </c>
      <c r="M29" s="2"/>
      <c r="N29" s="7">
        <f t="shared" si="15"/>
        <v>0.11912194771875052</v>
      </c>
      <c r="O29" s="11"/>
      <c r="P29" s="6">
        <v>7891.74</v>
      </c>
      <c r="Q29" s="2"/>
      <c r="R29" s="7">
        <f t="shared" si="16"/>
        <v>3.43915289844922E-3</v>
      </c>
      <c r="S29" s="2"/>
      <c r="T29" s="6">
        <v>7318.76</v>
      </c>
      <c r="U29" s="2"/>
      <c r="V29" s="7">
        <f t="shared" si="17"/>
        <v>3.2963292514950559E-3</v>
      </c>
      <c r="W29" s="2"/>
      <c r="X29" s="6">
        <f t="shared" si="18"/>
        <v>572.97999999999956</v>
      </c>
      <c r="Y29" s="2"/>
      <c r="Z29" s="7">
        <f t="shared" si="19"/>
        <v>7.8289218392186596E-2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936.51</v>
      </c>
      <c r="E30" s="2"/>
      <c r="F30" s="7">
        <f t="shared" si="12"/>
        <v>3.1471478374133239E-3</v>
      </c>
      <c r="G30" s="2"/>
      <c r="H30" s="6">
        <v>699.21</v>
      </c>
      <c r="I30" s="2"/>
      <c r="J30" s="7">
        <f t="shared" si="13"/>
        <v>2.1020280101447858E-3</v>
      </c>
      <c r="K30" s="2"/>
      <c r="L30" s="6">
        <f t="shared" si="14"/>
        <v>237.29999999999995</v>
      </c>
      <c r="M30" s="2"/>
      <c r="N30" s="7">
        <f t="shared" si="15"/>
        <v>0.33938301797743159</v>
      </c>
      <c r="O30" s="11"/>
      <c r="P30" s="6">
        <v>4625.47</v>
      </c>
      <c r="Q30" s="2"/>
      <c r="R30" s="7">
        <f t="shared" si="16"/>
        <v>2.015740325604989E-3</v>
      </c>
      <c r="S30" s="2"/>
      <c r="T30" s="6">
        <v>4380.74</v>
      </c>
      <c r="U30" s="2"/>
      <c r="V30" s="7">
        <f t="shared" si="17"/>
        <v>1.9730612023340635E-3</v>
      </c>
      <c r="W30" s="2"/>
      <c r="X30" s="6">
        <f t="shared" si="18"/>
        <v>244.73000000000047</v>
      </c>
      <c r="Y30" s="2"/>
      <c r="Z30" s="7">
        <f t="shared" si="19"/>
        <v>5.5864990846295488E-2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2978.4</v>
      </c>
      <c r="E31" s="2"/>
      <c r="F31" s="7">
        <f t="shared" si="12"/>
        <v>1.0008932225979268E-2</v>
      </c>
      <c r="G31" s="2"/>
      <c r="H31" s="6">
        <v>2548.98</v>
      </c>
      <c r="I31" s="2"/>
      <c r="J31" s="7">
        <f t="shared" si="13"/>
        <v>7.6629730085365716E-3</v>
      </c>
      <c r="K31" s="2"/>
      <c r="L31" s="6">
        <f t="shared" si="14"/>
        <v>429.42000000000007</v>
      </c>
      <c r="M31" s="2"/>
      <c r="N31" s="7">
        <f t="shared" si="15"/>
        <v>0.16846738695478194</v>
      </c>
      <c r="O31" s="11"/>
      <c r="P31" s="6">
        <v>18304.190000000002</v>
      </c>
      <c r="Q31" s="2"/>
      <c r="R31" s="7">
        <f t="shared" si="16"/>
        <v>7.9768096886447398E-3</v>
      </c>
      <c r="S31" s="2"/>
      <c r="T31" s="6">
        <v>17173.75</v>
      </c>
      <c r="U31" s="2"/>
      <c r="V31" s="7">
        <f t="shared" si="17"/>
        <v>7.7349625459590433E-3</v>
      </c>
      <c r="W31" s="2"/>
      <c r="X31" s="6">
        <f t="shared" si="18"/>
        <v>1130.4400000000023</v>
      </c>
      <c r="Y31" s="2"/>
      <c r="Z31" s="7">
        <f t="shared" si="19"/>
        <v>6.5823713516267701E-2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1898.95</v>
      </c>
      <c r="E32" s="2"/>
      <c r="F32" s="7">
        <f t="shared" si="12"/>
        <v>6.3814336054671406E-3</v>
      </c>
      <c r="G32" s="2"/>
      <c r="H32" s="6">
        <v>1581.95</v>
      </c>
      <c r="I32" s="2"/>
      <c r="J32" s="7">
        <f t="shared" si="13"/>
        <v>4.7558004185417032E-3</v>
      </c>
      <c r="K32" s="2"/>
      <c r="L32" s="6">
        <f t="shared" si="14"/>
        <v>317</v>
      </c>
      <c r="M32" s="2"/>
      <c r="N32" s="7">
        <f t="shared" si="15"/>
        <v>0.20038560005057049</v>
      </c>
      <c r="O32" s="11"/>
      <c r="P32" s="6">
        <v>12994.92</v>
      </c>
      <c r="Q32" s="2"/>
      <c r="R32" s="7">
        <f t="shared" si="16"/>
        <v>5.6630751625263553E-3</v>
      </c>
      <c r="S32" s="2"/>
      <c r="T32" s="6">
        <v>12050.14</v>
      </c>
      <c r="U32" s="2"/>
      <c r="V32" s="7">
        <f t="shared" si="17"/>
        <v>5.42731678134146E-3</v>
      </c>
      <c r="W32" s="2"/>
      <c r="X32" s="6">
        <f t="shared" si="18"/>
        <v>944.78000000000065</v>
      </c>
      <c r="Y32" s="2"/>
      <c r="Z32" s="7">
        <f t="shared" si="19"/>
        <v>7.8404068334475843E-2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1276.3499999999999</v>
      </c>
      <c r="E33" s="2"/>
      <c r="F33" s="7">
        <f t="shared" si="12"/>
        <v>4.2891823283066873E-3</v>
      </c>
      <c r="G33" s="2"/>
      <c r="H33" s="6">
        <v>1238.1600000000001</v>
      </c>
      <c r="I33" s="2"/>
      <c r="J33" s="7">
        <f t="shared" si="13"/>
        <v>3.7222679896466988E-3</v>
      </c>
      <c r="K33" s="2"/>
      <c r="L33" s="6">
        <f t="shared" si="14"/>
        <v>38.189999999999827</v>
      </c>
      <c r="M33" s="2"/>
      <c r="N33" s="7">
        <f t="shared" si="15"/>
        <v>3.0844155844155702E-2</v>
      </c>
      <c r="O33" s="11"/>
      <c r="P33" s="6">
        <v>7928.24</v>
      </c>
      <c r="Q33" s="2"/>
      <c r="R33" s="7">
        <f t="shared" si="16"/>
        <v>3.4550592867480488E-3</v>
      </c>
      <c r="S33" s="2"/>
      <c r="T33" s="6">
        <v>7842.55</v>
      </c>
      <c r="U33" s="2"/>
      <c r="V33" s="7">
        <f t="shared" si="17"/>
        <v>3.532241386698368E-3</v>
      </c>
      <c r="W33" s="2"/>
      <c r="X33" s="6">
        <f t="shared" si="18"/>
        <v>85.6899999999996</v>
      </c>
      <c r="Y33" s="2"/>
      <c r="Z33" s="7">
        <f t="shared" si="19"/>
        <v>1.0926293106196276E-2</v>
      </c>
    </row>
    <row r="34" spans="1:26" s="27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72407.960000000006</v>
      </c>
      <c r="E34" s="1"/>
      <c r="F34" s="5">
        <f t="shared" ref="F34:F40" si="20">IF(D$12=0,0,D34/D$12)</f>
        <v>0.24332741212107772</v>
      </c>
      <c r="G34" s="1"/>
      <c r="H34" s="1">
        <f>SUM(OSRRefH22_1x_0)</f>
        <v>74567.22</v>
      </c>
      <c r="I34" s="1"/>
      <c r="J34" s="5">
        <f t="shared" ref="J34:J40" si="21">IF(H$12=0,0,H34/H$12)</f>
        <v>0.22417068560036107</v>
      </c>
      <c r="K34" s="1"/>
      <c r="L34" s="1">
        <f t="shared" ref="L34:L40" si="22">+D34-H34</f>
        <v>-2159.2599999999948</v>
      </c>
      <c r="M34" s="1"/>
      <c r="N34" s="5">
        <f t="shared" ref="N34:N40" si="23">IF(H34=0,0,L34/H34)</f>
        <v>-2.8957228122491286E-2</v>
      </c>
      <c r="O34" s="13"/>
      <c r="P34" s="1">
        <f>SUM(OSRRefP22_1x_0)</f>
        <v>557407.13</v>
      </c>
      <c r="Q34" s="1"/>
      <c r="R34" s="5">
        <f t="shared" ref="R34:R40" si="24">IF(P$12=0,0,P34/P$12)</f>
        <v>0.24291326713193306</v>
      </c>
      <c r="S34" s="1"/>
      <c r="T34" s="1">
        <f>SUM(OSRRefT22_1x_0)</f>
        <v>522104.3</v>
      </c>
      <c r="U34" s="1"/>
      <c r="V34" s="5">
        <f t="shared" ref="V34:V40" si="25">IF(T$12=0,0,T34/T$12)</f>
        <v>0.23515290519450699</v>
      </c>
      <c r="W34" s="1"/>
      <c r="X34" s="1">
        <f t="shared" ref="X34:X40" si="26">+P34-T34</f>
        <v>35302.830000000016</v>
      </c>
      <c r="Y34" s="1"/>
      <c r="Z34" s="5">
        <f t="shared" ref="Z34:Z40" si="27">IF(T34=0,0,X34/T34)</f>
        <v>6.7616432195636039E-2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13657.29</v>
      </c>
      <c r="E35" s="2"/>
      <c r="F35" s="7">
        <f t="shared" si="20"/>
        <v>4.5895410287585418E-2</v>
      </c>
      <c r="G35" s="2"/>
      <c r="H35" s="6">
        <v>13510.42</v>
      </c>
      <c r="I35" s="2"/>
      <c r="J35" s="7">
        <f t="shared" si="21"/>
        <v>4.0616240140759312E-2</v>
      </c>
      <c r="K35" s="2"/>
      <c r="L35" s="6">
        <f t="shared" si="22"/>
        <v>146.8700000000008</v>
      </c>
      <c r="M35" s="2"/>
      <c r="N35" s="7">
        <f t="shared" si="23"/>
        <v>1.0870868559230638E-2</v>
      </c>
      <c r="O35" s="11"/>
      <c r="P35" s="6">
        <v>89878.61</v>
      </c>
      <c r="Q35" s="2"/>
      <c r="R35" s="7">
        <f t="shared" si="24"/>
        <v>3.9168330696410056E-2</v>
      </c>
      <c r="S35" s="2"/>
      <c r="T35" s="6">
        <v>83236.179999999993</v>
      </c>
      <c r="U35" s="2"/>
      <c r="V35" s="7">
        <f t="shared" si="25"/>
        <v>3.7489117680687398E-2</v>
      </c>
      <c r="W35" s="2"/>
      <c r="X35" s="6">
        <f t="shared" si="26"/>
        <v>6642.4300000000076</v>
      </c>
      <c r="Y35" s="2"/>
      <c r="Z35" s="7">
        <f t="shared" si="27"/>
        <v>7.9802196592875935E-2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18286.900000000001</v>
      </c>
      <c r="E36" s="2"/>
      <c r="F36" s="7">
        <f t="shared" si="20"/>
        <v>6.1453244266472029E-2</v>
      </c>
      <c r="G36" s="2"/>
      <c r="H36" s="6">
        <v>19670.969999999998</v>
      </c>
      <c r="I36" s="2"/>
      <c r="J36" s="7">
        <f t="shared" si="21"/>
        <v>5.9136639817390729E-2</v>
      </c>
      <c r="K36" s="2"/>
      <c r="L36" s="6">
        <f t="shared" si="22"/>
        <v>-1384.0699999999961</v>
      </c>
      <c r="M36" s="2"/>
      <c r="N36" s="7">
        <f t="shared" si="23"/>
        <v>-7.0361044727331512E-2</v>
      </c>
      <c r="O36" s="11"/>
      <c r="P36" s="6">
        <v>123664.53</v>
      </c>
      <c r="Q36" s="2"/>
      <c r="R36" s="7">
        <f t="shared" si="24"/>
        <v>5.3891946108825244E-2</v>
      </c>
      <c r="S36" s="2"/>
      <c r="T36" s="6">
        <v>125083.47</v>
      </c>
      <c r="U36" s="2"/>
      <c r="V36" s="7">
        <f t="shared" si="25"/>
        <v>5.6336906940452243E-2</v>
      </c>
      <c r="W36" s="2"/>
      <c r="X36" s="6">
        <f t="shared" si="26"/>
        <v>-1418.9400000000023</v>
      </c>
      <c r="Y36" s="2"/>
      <c r="Z36" s="7">
        <f t="shared" si="27"/>
        <v>-1.1343944967308648E-2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10388.27</v>
      </c>
      <c r="E37" s="2"/>
      <c r="F37" s="7">
        <f t="shared" si="20"/>
        <v>3.4909847695129483E-2</v>
      </c>
      <c r="G37" s="2"/>
      <c r="H37" s="6">
        <v>14196.82</v>
      </c>
      <c r="I37" s="2"/>
      <c r="J37" s="7">
        <f t="shared" si="21"/>
        <v>4.2679757576384342E-2</v>
      </c>
      <c r="K37" s="2"/>
      <c r="L37" s="6">
        <f t="shared" si="22"/>
        <v>-3808.5499999999993</v>
      </c>
      <c r="M37" s="2"/>
      <c r="N37" s="7">
        <f t="shared" si="23"/>
        <v>-0.26826782335762511</v>
      </c>
      <c r="O37" s="11"/>
      <c r="P37" s="6">
        <v>107504.51999999999</v>
      </c>
      <c r="Q37" s="2"/>
      <c r="R37" s="7">
        <f t="shared" si="24"/>
        <v>4.6849551753401927E-2</v>
      </c>
      <c r="S37" s="2"/>
      <c r="T37" s="6">
        <v>112516.95</v>
      </c>
      <c r="U37" s="2"/>
      <c r="V37" s="7">
        <f t="shared" si="25"/>
        <v>5.0677015447153147E-2</v>
      </c>
      <c r="W37" s="2"/>
      <c r="X37" s="6">
        <f t="shared" si="26"/>
        <v>-5012.4300000000076</v>
      </c>
      <c r="Y37" s="2"/>
      <c r="Z37" s="7">
        <f t="shared" si="27"/>
        <v>-4.4548221401308936E-2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>
        <v>894</v>
      </c>
      <c r="E38" s="2"/>
      <c r="F38" s="7">
        <f t="shared" si="20"/>
        <v>3.0042927108600141E-3</v>
      </c>
      <c r="G38" s="2"/>
      <c r="H38" s="6"/>
      <c r="I38" s="2"/>
      <c r="J38" s="7">
        <f t="shared" si="21"/>
        <v>0</v>
      </c>
      <c r="K38" s="2"/>
      <c r="L38" s="6">
        <f t="shared" si="22"/>
        <v>894</v>
      </c>
      <c r="M38" s="2"/>
      <c r="N38" s="7">
        <f t="shared" si="23"/>
        <v>0</v>
      </c>
      <c r="O38" s="11"/>
      <c r="P38" s="6">
        <v>8961</v>
      </c>
      <c r="Q38" s="2"/>
      <c r="R38" s="7">
        <f t="shared" si="24"/>
        <v>3.9051272752274485E-3</v>
      </c>
      <c r="S38" s="2"/>
      <c r="T38" s="6">
        <v>6291.07</v>
      </c>
      <c r="U38" s="2"/>
      <c r="V38" s="7">
        <f t="shared" si="25"/>
        <v>2.8334633276952651E-3</v>
      </c>
      <c r="W38" s="2"/>
      <c r="X38" s="6">
        <f t="shared" si="26"/>
        <v>2669.9300000000003</v>
      </c>
      <c r="Y38" s="2"/>
      <c r="Z38" s="7">
        <f t="shared" si="27"/>
        <v>0.42439998283280911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22887.5</v>
      </c>
      <c r="E39" s="2"/>
      <c r="F39" s="7">
        <f t="shared" si="20"/>
        <v>7.6913589955043146E-2</v>
      </c>
      <c r="G39" s="2"/>
      <c r="H39" s="6">
        <v>18275.759999999998</v>
      </c>
      <c r="I39" s="2"/>
      <c r="J39" s="7">
        <f t="shared" si="21"/>
        <v>5.4942233987905875E-2</v>
      </c>
      <c r="K39" s="2"/>
      <c r="L39" s="6">
        <f t="shared" si="22"/>
        <v>4611.7400000000016</v>
      </c>
      <c r="M39" s="2"/>
      <c r="N39" s="7">
        <f t="shared" si="23"/>
        <v>0.25234189987174277</v>
      </c>
      <c r="O39" s="11"/>
      <c r="P39" s="6">
        <v>170041.47</v>
      </c>
      <c r="Q39" s="2"/>
      <c r="R39" s="7">
        <f t="shared" si="24"/>
        <v>7.4102620512975101E-2</v>
      </c>
      <c r="S39" s="2"/>
      <c r="T39" s="6">
        <v>140938.63</v>
      </c>
      <c r="U39" s="2"/>
      <c r="V39" s="7">
        <f t="shared" si="25"/>
        <v>6.3477983802534665E-2</v>
      </c>
      <c r="W39" s="2"/>
      <c r="X39" s="6">
        <f t="shared" si="26"/>
        <v>29102.839999999997</v>
      </c>
      <c r="Y39" s="2"/>
      <c r="Z39" s="7">
        <f t="shared" si="27"/>
        <v>0.20649299627788348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6294</v>
      </c>
      <c r="E40" s="2"/>
      <c r="F40" s="7">
        <f t="shared" si="20"/>
        <v>2.1151027205987615E-2</v>
      </c>
      <c r="G40" s="2"/>
      <c r="H40" s="6">
        <v>8913.25</v>
      </c>
      <c r="I40" s="2"/>
      <c r="J40" s="7">
        <f t="shared" si="21"/>
        <v>2.6795814077920813E-2</v>
      </c>
      <c r="K40" s="2"/>
      <c r="L40" s="6">
        <f t="shared" si="22"/>
        <v>-2619.25</v>
      </c>
      <c r="M40" s="2"/>
      <c r="N40" s="7">
        <f t="shared" si="23"/>
        <v>-0.29386026421339018</v>
      </c>
      <c r="O40" s="11"/>
      <c r="P40" s="6">
        <v>57357</v>
      </c>
      <c r="Q40" s="2"/>
      <c r="R40" s="7">
        <f t="shared" si="24"/>
        <v>2.4995690785093266E-2</v>
      </c>
      <c r="S40" s="2"/>
      <c r="T40" s="6">
        <v>54038</v>
      </c>
      <c r="U40" s="2"/>
      <c r="V40" s="7">
        <f t="shared" si="25"/>
        <v>2.4338417995984268E-2</v>
      </c>
      <c r="W40" s="2"/>
      <c r="X40" s="6">
        <f t="shared" si="26"/>
        <v>3319</v>
      </c>
      <c r="Y40" s="2"/>
      <c r="Z40" s="7">
        <f t="shared" si="27"/>
        <v>6.1419741663273991E-2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8">IF(D$12=0,0,D41/D$12)</f>
        <v>0</v>
      </c>
      <c r="G41" s="1"/>
      <c r="H41" s="1">
        <f>SUM(OSRRefH22_2x_0)</f>
        <v>126</v>
      </c>
      <c r="I41" s="1"/>
      <c r="J41" s="5">
        <f t="shared" ref="J41:J62" si="29">IF(H$12=0,0,H41/H$12)</f>
        <v>3.7879253625984038E-4</v>
      </c>
      <c r="K41" s="1"/>
      <c r="L41" s="1">
        <f t="shared" ref="L41:L62" si="30">+D41-H41</f>
        <v>-126</v>
      </c>
      <c r="M41" s="1"/>
      <c r="N41" s="5">
        <f t="shared" ref="N41:N62" si="31">IF(H41=0,0,L41/H41)</f>
        <v>-1</v>
      </c>
      <c r="O41" s="13"/>
      <c r="P41" s="1">
        <f>SUM(OSRRefP22_2x_0)</f>
        <v>2435.9499999999998</v>
      </c>
      <c r="Q41" s="1"/>
      <c r="R41" s="5">
        <f t="shared" ref="R41:R62" si="32">IF(P$12=0,0,P41/P$12)</f>
        <v>1.061566207576197E-3</v>
      </c>
      <c r="S41" s="1"/>
      <c r="T41" s="1">
        <f>SUM(OSRRefT22_2x_0)</f>
        <v>2931.47</v>
      </c>
      <c r="U41" s="1"/>
      <c r="V41" s="5">
        <f t="shared" ref="V41:V62" si="33">IF(T$12=0,0,T41/T$12)</f>
        <v>1.3203179651853879E-3</v>
      </c>
      <c r="W41" s="1"/>
      <c r="X41" s="1">
        <f t="shared" ref="X41:X62" si="34">+P41-T41</f>
        <v>-495.52</v>
      </c>
      <c r="Y41" s="1"/>
      <c r="Z41" s="5">
        <f t="shared" ref="Z41:Z62" si="35">IF(T41=0,0,X41/T41)</f>
        <v>-0.16903464814581082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126</v>
      </c>
      <c r="I42" s="2"/>
      <c r="J42" s="7">
        <f t="shared" si="29"/>
        <v>3.7879253625984038E-4</v>
      </c>
      <c r="K42" s="2"/>
      <c r="L42" s="6">
        <f t="shared" si="30"/>
        <v>-126</v>
      </c>
      <c r="M42" s="2"/>
      <c r="N42" s="7">
        <f t="shared" si="31"/>
        <v>-1</v>
      </c>
      <c r="O42" s="11"/>
      <c r="P42" s="6">
        <v>2435.9499999999998</v>
      </c>
      <c r="Q42" s="2"/>
      <c r="R42" s="7">
        <f t="shared" si="32"/>
        <v>1.061566207576197E-3</v>
      </c>
      <c r="S42" s="2"/>
      <c r="T42" s="6">
        <v>2931.47</v>
      </c>
      <c r="U42" s="2"/>
      <c r="V42" s="7">
        <f t="shared" si="33"/>
        <v>1.3203179651853879E-3</v>
      </c>
      <c r="W42" s="2"/>
      <c r="X42" s="6">
        <f t="shared" si="34"/>
        <v>-495.52</v>
      </c>
      <c r="Y42" s="2"/>
      <c r="Z42" s="7">
        <f t="shared" si="35"/>
        <v>-0.16903464814581082</v>
      </c>
    </row>
    <row r="43" spans="1:26" s="27" customFormat="1" outlineLevel="1" collapsed="1" x14ac:dyDescent="0.25">
      <c r="A43" s="25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-21</v>
      </c>
      <c r="I43" s="1"/>
      <c r="J43" s="5">
        <f t="shared" si="29"/>
        <v>-6.3132089376640073E-5</v>
      </c>
      <c r="K43" s="1"/>
      <c r="L43" s="1">
        <f t="shared" si="30"/>
        <v>21</v>
      </c>
      <c r="M43" s="1"/>
      <c r="N43" s="5">
        <f t="shared" si="31"/>
        <v>-1</v>
      </c>
      <c r="O43" s="13"/>
      <c r="P43" s="1">
        <f>SUM(OSRRefP22_3x_0)</f>
        <v>16.239999999999998</v>
      </c>
      <c r="Q43" s="1"/>
      <c r="R43" s="5">
        <f t="shared" si="32"/>
        <v>7.0772533143280608E-6</v>
      </c>
      <c r="S43" s="1"/>
      <c r="T43" s="1">
        <f>SUM(OSRRefT22_3x_0)</f>
        <v>-39.880000000000003</v>
      </c>
      <c r="U43" s="1"/>
      <c r="V43" s="5">
        <f t="shared" si="33"/>
        <v>-1.7961732663678387E-5</v>
      </c>
      <c r="W43" s="1"/>
      <c r="X43" s="1">
        <f t="shared" si="34"/>
        <v>56.120000000000005</v>
      </c>
      <c r="Y43" s="1"/>
      <c r="Z43" s="5">
        <f t="shared" si="35"/>
        <v>-1.4072216649949849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>
        <v>-21</v>
      </c>
      <c r="I44" s="2"/>
      <c r="J44" s="7">
        <f t="shared" si="29"/>
        <v>-6.3132089376640073E-5</v>
      </c>
      <c r="K44" s="2"/>
      <c r="L44" s="6">
        <f t="shared" si="30"/>
        <v>21</v>
      </c>
      <c r="M44" s="2"/>
      <c r="N44" s="7">
        <f t="shared" si="31"/>
        <v>-1</v>
      </c>
      <c r="O44" s="11"/>
      <c r="P44" s="6">
        <v>16.239999999999998</v>
      </c>
      <c r="Q44" s="2"/>
      <c r="R44" s="7">
        <f t="shared" si="32"/>
        <v>7.0772533143280608E-6</v>
      </c>
      <c r="S44" s="2"/>
      <c r="T44" s="6">
        <v>-39.880000000000003</v>
      </c>
      <c r="U44" s="2"/>
      <c r="V44" s="7">
        <f t="shared" si="33"/>
        <v>-1.7961732663678387E-5</v>
      </c>
      <c r="W44" s="2"/>
      <c r="X44" s="6">
        <f t="shared" si="34"/>
        <v>56.120000000000005</v>
      </c>
      <c r="Y44" s="2"/>
      <c r="Z44" s="7">
        <f t="shared" si="35"/>
        <v>-1.4072216649949849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77.87</v>
      </c>
      <c r="E45" s="1"/>
      <c r="F45" s="5">
        <f t="shared" si="28"/>
        <v>2.6168263243251598E-4</v>
      </c>
      <c r="G45" s="1"/>
      <c r="H45" s="1">
        <f>SUM(OSRRefH22_4x_0)</f>
        <v>76.56</v>
      </c>
      <c r="I45" s="1"/>
      <c r="J45" s="5">
        <f t="shared" si="29"/>
        <v>2.301615601274078E-4</v>
      </c>
      <c r="K45" s="1"/>
      <c r="L45" s="1">
        <f t="shared" si="30"/>
        <v>1.3100000000000023</v>
      </c>
      <c r="M45" s="1"/>
      <c r="N45" s="5">
        <f t="shared" si="31"/>
        <v>1.7110762800418001E-2</v>
      </c>
      <c r="O45" s="13"/>
      <c r="P45" s="1">
        <f>SUM(OSRRefP22_4x_0)</f>
        <v>921.95</v>
      </c>
      <c r="Q45" s="1"/>
      <c r="R45" s="5">
        <f t="shared" si="32"/>
        <v>4.0177793676999732E-4</v>
      </c>
      <c r="S45" s="1"/>
      <c r="T45" s="1">
        <f>SUM(OSRRefT22_4x_0)</f>
        <v>966.02</v>
      </c>
      <c r="U45" s="1"/>
      <c r="V45" s="5">
        <f t="shared" si="33"/>
        <v>4.3509009497910212E-4</v>
      </c>
      <c r="W45" s="1"/>
      <c r="X45" s="1">
        <f t="shared" si="34"/>
        <v>-44.069999999999936</v>
      </c>
      <c r="Y45" s="1"/>
      <c r="Z45" s="5">
        <f t="shared" si="35"/>
        <v>-4.5620173495372701E-2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77.87</v>
      </c>
      <c r="E46" s="2"/>
      <c r="F46" s="7">
        <f t="shared" si="28"/>
        <v>2.6168263243251598E-4</v>
      </c>
      <c r="G46" s="2"/>
      <c r="H46" s="6">
        <v>76.56</v>
      </c>
      <c r="I46" s="2"/>
      <c r="J46" s="7">
        <f t="shared" si="29"/>
        <v>2.301615601274078E-4</v>
      </c>
      <c r="K46" s="2"/>
      <c r="L46" s="6">
        <f t="shared" si="30"/>
        <v>1.3100000000000023</v>
      </c>
      <c r="M46" s="2"/>
      <c r="N46" s="7">
        <f t="shared" si="31"/>
        <v>1.7110762800418001E-2</v>
      </c>
      <c r="O46" s="11"/>
      <c r="P46" s="6">
        <v>921.95</v>
      </c>
      <c r="Q46" s="2"/>
      <c r="R46" s="7">
        <f t="shared" si="32"/>
        <v>4.0177793676999732E-4</v>
      </c>
      <c r="S46" s="2"/>
      <c r="T46" s="6">
        <v>966.02</v>
      </c>
      <c r="U46" s="2"/>
      <c r="V46" s="7">
        <f t="shared" si="33"/>
        <v>4.3509009497910212E-4</v>
      </c>
      <c r="W46" s="2"/>
      <c r="X46" s="6">
        <f t="shared" si="34"/>
        <v>-44.069999999999936</v>
      </c>
      <c r="Y46" s="2"/>
      <c r="Z46" s="7">
        <f t="shared" si="35"/>
        <v>-4.5620173495372701E-2</v>
      </c>
    </row>
    <row r="47" spans="1:26" s="27" customFormat="1" outlineLevel="1" collapsed="1" x14ac:dyDescent="0.25">
      <c r="A47" s="25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2506.5</v>
      </c>
      <c r="E47" s="1"/>
      <c r="F47" s="5">
        <f t="shared" si="28"/>
        <v>8.423109261488395E-3</v>
      </c>
      <c r="G47" s="1"/>
      <c r="H47" s="1">
        <f>SUM(OSRRefH22_5x_0)</f>
        <v>2503.0700000000002</v>
      </c>
      <c r="I47" s="1"/>
      <c r="J47" s="5">
        <f t="shared" si="29"/>
        <v>7.5249542359993558E-3</v>
      </c>
      <c r="K47" s="1"/>
      <c r="L47" s="1">
        <f t="shared" si="30"/>
        <v>3.4299999999998363</v>
      </c>
      <c r="M47" s="1"/>
      <c r="N47" s="5">
        <f t="shared" si="31"/>
        <v>1.3703172504164231E-3</v>
      </c>
      <c r="O47" s="13"/>
      <c r="P47" s="1">
        <f>SUM(OSRRefP22_5x_0)</f>
        <v>17391.57</v>
      </c>
      <c r="Q47" s="1"/>
      <c r="R47" s="5">
        <f t="shared" si="32"/>
        <v>7.5790976861987982E-3</v>
      </c>
      <c r="S47" s="1"/>
      <c r="T47" s="1">
        <f>SUM(OSRRefT22_5x_0)</f>
        <v>14337.56</v>
      </c>
      <c r="U47" s="1"/>
      <c r="V47" s="5">
        <f t="shared" si="33"/>
        <v>6.457558168742444E-3</v>
      </c>
      <c r="W47" s="1"/>
      <c r="X47" s="1">
        <f t="shared" si="34"/>
        <v>3054.01</v>
      </c>
      <c r="Y47" s="1"/>
      <c r="Z47" s="5">
        <f t="shared" si="35"/>
        <v>0.21300765262708579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6">
        <v>2506.5</v>
      </c>
      <c r="E48" s="2"/>
      <c r="F48" s="7">
        <f t="shared" si="28"/>
        <v>8.423109261488395E-3</v>
      </c>
      <c r="G48" s="2"/>
      <c r="H48" s="6">
        <v>2503.0700000000002</v>
      </c>
      <c r="I48" s="2"/>
      <c r="J48" s="7">
        <f t="shared" si="29"/>
        <v>7.5249542359993558E-3</v>
      </c>
      <c r="K48" s="2"/>
      <c r="L48" s="6">
        <f t="shared" si="30"/>
        <v>3.4299999999998363</v>
      </c>
      <c r="M48" s="2"/>
      <c r="N48" s="7">
        <f t="shared" si="31"/>
        <v>1.3703172504164231E-3</v>
      </c>
      <c r="O48" s="11"/>
      <c r="P48" s="6">
        <v>17391.57</v>
      </c>
      <c r="Q48" s="2"/>
      <c r="R48" s="7">
        <f t="shared" si="32"/>
        <v>7.5790976861987982E-3</v>
      </c>
      <c r="S48" s="2"/>
      <c r="T48" s="6">
        <v>14337.56</v>
      </c>
      <c r="U48" s="2"/>
      <c r="V48" s="7">
        <f t="shared" si="33"/>
        <v>6.457558168742444E-3</v>
      </c>
      <c r="W48" s="2"/>
      <c r="X48" s="6">
        <f t="shared" si="34"/>
        <v>3054.01</v>
      </c>
      <c r="Y48" s="2"/>
      <c r="Z48" s="7">
        <f t="shared" si="35"/>
        <v>0.21300765262708579</v>
      </c>
    </row>
    <row r="49" spans="1:26" s="27" customFormat="1" outlineLevel="1" collapsed="1" x14ac:dyDescent="0.25">
      <c r="A49" s="25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63.8</v>
      </c>
      <c r="E49" s="1"/>
      <c r="F49" s="5">
        <f t="shared" si="28"/>
        <v>2.1440030755354462E-4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63.8</v>
      </c>
      <c r="M49" s="1"/>
      <c r="N49" s="5">
        <f t="shared" si="31"/>
        <v>0</v>
      </c>
      <c r="O49" s="13"/>
      <c r="P49" s="1">
        <f>SUM(OSRRefP22_6x_0)</f>
        <v>1075.98</v>
      </c>
      <c r="Q49" s="1"/>
      <c r="R49" s="5">
        <f t="shared" si="32"/>
        <v>4.6890289539105345E-4</v>
      </c>
      <c r="S49" s="1"/>
      <c r="T49" s="1">
        <f>SUM(OSRRefT22_6x_0)</f>
        <v>254.68</v>
      </c>
      <c r="U49" s="1"/>
      <c r="V49" s="5">
        <f t="shared" si="33"/>
        <v>1.1470647128349076E-4</v>
      </c>
      <c r="W49" s="1"/>
      <c r="X49" s="1">
        <f t="shared" si="34"/>
        <v>821.3</v>
      </c>
      <c r="Y49" s="1"/>
      <c r="Z49" s="5">
        <f t="shared" si="35"/>
        <v>3.224831160672216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>
        <v>63.8</v>
      </c>
      <c r="E50" s="2"/>
      <c r="F50" s="7">
        <f t="shared" si="28"/>
        <v>2.1440030755354462E-4</v>
      </c>
      <c r="G50" s="2"/>
      <c r="H50" s="6"/>
      <c r="I50" s="2"/>
      <c r="J50" s="7">
        <f t="shared" si="29"/>
        <v>0</v>
      </c>
      <c r="K50" s="2"/>
      <c r="L50" s="6">
        <f t="shared" si="30"/>
        <v>63.8</v>
      </c>
      <c r="M50" s="2"/>
      <c r="N50" s="7">
        <f t="shared" si="31"/>
        <v>0</v>
      </c>
      <c r="O50" s="11"/>
      <c r="P50" s="6">
        <v>1075.98</v>
      </c>
      <c r="Q50" s="2"/>
      <c r="R50" s="7">
        <f t="shared" si="32"/>
        <v>4.6890289539105345E-4</v>
      </c>
      <c r="S50" s="2"/>
      <c r="T50" s="6">
        <v>254.68</v>
      </c>
      <c r="U50" s="2"/>
      <c r="V50" s="7">
        <f t="shared" si="33"/>
        <v>1.1470647128349076E-4</v>
      </c>
      <c r="W50" s="2"/>
      <c r="X50" s="6">
        <f t="shared" si="34"/>
        <v>821.3</v>
      </c>
      <c r="Y50" s="2"/>
      <c r="Z50" s="7">
        <f t="shared" si="35"/>
        <v>3.224831160672216</v>
      </c>
    </row>
    <row r="51" spans="1:26" s="27" customFormat="1" outlineLevel="1" collapsed="1" x14ac:dyDescent="0.25">
      <c r="A51" s="25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109.66</v>
      </c>
      <c r="E51" s="1"/>
      <c r="F51" s="5">
        <f t="shared" si="28"/>
        <v>3.6851313050660975E-4</v>
      </c>
      <c r="G51" s="1"/>
      <c r="H51" s="1">
        <f>SUM(OSRRefH22_7x_0)</f>
        <v>91.26</v>
      </c>
      <c r="I51" s="1"/>
      <c r="J51" s="5">
        <f t="shared" si="29"/>
        <v>2.7435402269105583E-4</v>
      </c>
      <c r="K51" s="1"/>
      <c r="L51" s="1">
        <f t="shared" si="30"/>
        <v>18.399999999999991</v>
      </c>
      <c r="M51" s="1"/>
      <c r="N51" s="5">
        <f t="shared" si="31"/>
        <v>0.20162174008327843</v>
      </c>
      <c r="O51" s="13"/>
      <c r="P51" s="1">
        <f>SUM(OSRRefP22_7x_0)</f>
        <v>1502.55</v>
      </c>
      <c r="Q51" s="1"/>
      <c r="R51" s="5">
        <f t="shared" si="32"/>
        <v>6.5479845858643039E-4</v>
      </c>
      <c r="S51" s="1"/>
      <c r="T51" s="1">
        <f>SUM(OSRRefT22_7x_0)</f>
        <v>1408.74</v>
      </c>
      <c r="U51" s="1"/>
      <c r="V51" s="5">
        <f t="shared" si="33"/>
        <v>6.3448874805993702E-4</v>
      </c>
      <c r="W51" s="1"/>
      <c r="X51" s="1">
        <f t="shared" si="34"/>
        <v>93.809999999999945</v>
      </c>
      <c r="Y51" s="1"/>
      <c r="Z51" s="5">
        <f t="shared" si="35"/>
        <v>6.6591422121896129E-2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>
        <v>109.66</v>
      </c>
      <c r="E52" s="2"/>
      <c r="F52" s="7">
        <f t="shared" si="28"/>
        <v>3.6851313050660975E-4</v>
      </c>
      <c r="G52" s="2"/>
      <c r="H52" s="6">
        <v>91.26</v>
      </c>
      <c r="I52" s="2"/>
      <c r="J52" s="7">
        <f t="shared" si="29"/>
        <v>2.7435402269105583E-4</v>
      </c>
      <c r="K52" s="2"/>
      <c r="L52" s="6">
        <f t="shared" si="30"/>
        <v>18.399999999999991</v>
      </c>
      <c r="M52" s="2"/>
      <c r="N52" s="7">
        <f t="shared" si="31"/>
        <v>0.20162174008327843</v>
      </c>
      <c r="O52" s="11"/>
      <c r="P52" s="6">
        <v>1502.55</v>
      </c>
      <c r="Q52" s="2"/>
      <c r="R52" s="7">
        <f t="shared" si="32"/>
        <v>6.5479845858643039E-4</v>
      </c>
      <c r="S52" s="2"/>
      <c r="T52" s="6">
        <v>1408.74</v>
      </c>
      <c r="U52" s="2"/>
      <c r="V52" s="7">
        <f t="shared" si="33"/>
        <v>6.3448874805993702E-4</v>
      </c>
      <c r="W52" s="2"/>
      <c r="X52" s="6">
        <f t="shared" si="34"/>
        <v>93.809999999999945</v>
      </c>
      <c r="Y52" s="2"/>
      <c r="Z52" s="7">
        <f t="shared" si="35"/>
        <v>6.6591422121896129E-2</v>
      </c>
    </row>
    <row r="53" spans="1:26" s="27" customFormat="1" outlineLevel="1" collapsed="1" x14ac:dyDescent="0.25">
      <c r="A53" s="25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0</v>
      </c>
      <c r="Q53" s="1"/>
      <c r="R53" s="5">
        <f t="shared" si="32"/>
        <v>0</v>
      </c>
      <c r="S53" s="1"/>
      <c r="T53" s="1">
        <f>SUM(OSRRefT22_8x_0)</f>
        <v>3.7</v>
      </c>
      <c r="U53" s="1"/>
      <c r="V53" s="5">
        <f t="shared" si="33"/>
        <v>1.6664596503412745E-6</v>
      </c>
      <c r="W53" s="1"/>
      <c r="X53" s="1">
        <f t="shared" si="34"/>
        <v>-3.7</v>
      </c>
      <c r="Y53" s="1"/>
      <c r="Z53" s="5">
        <f t="shared" si="35"/>
        <v>-1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3.7</v>
      </c>
      <c r="U54" s="2"/>
      <c r="V54" s="7">
        <f t="shared" si="33"/>
        <v>1.6664596503412745E-6</v>
      </c>
      <c r="W54" s="2"/>
      <c r="X54" s="6">
        <f t="shared" si="34"/>
        <v>-3.7</v>
      </c>
      <c r="Y54" s="2"/>
      <c r="Z54" s="7">
        <f t="shared" si="35"/>
        <v>-1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129.54</v>
      </c>
      <c r="E55" s="1"/>
      <c r="F55" s="5">
        <f t="shared" si="28"/>
        <v>4.3531999749978322E-4</v>
      </c>
      <c r="G55" s="1"/>
      <c r="H55" s="1">
        <f>SUM(OSRRefH22_9x_0)</f>
        <v>235</v>
      </c>
      <c r="I55" s="1"/>
      <c r="J55" s="5">
        <f t="shared" si="29"/>
        <v>7.0647814302430547E-4</v>
      </c>
      <c r="K55" s="1"/>
      <c r="L55" s="1">
        <f t="shared" si="30"/>
        <v>-105.46000000000001</v>
      </c>
      <c r="M55" s="1"/>
      <c r="N55" s="5">
        <f t="shared" si="31"/>
        <v>-0.44876595744680853</v>
      </c>
      <c r="O55" s="13"/>
      <c r="P55" s="1">
        <f>SUM(OSRRefP22_9x_0)</f>
        <v>2669.16</v>
      </c>
      <c r="Q55" s="1"/>
      <c r="R55" s="5">
        <f t="shared" si="32"/>
        <v>1.163197134019205E-3</v>
      </c>
      <c r="S55" s="1"/>
      <c r="T55" s="1">
        <f>SUM(OSRRefT22_9x_0)</f>
        <v>2347.09</v>
      </c>
      <c r="U55" s="1"/>
      <c r="V55" s="5">
        <f t="shared" si="33"/>
        <v>1.057116427221487E-3</v>
      </c>
      <c r="W55" s="1"/>
      <c r="X55" s="1">
        <f t="shared" si="34"/>
        <v>322.06999999999971</v>
      </c>
      <c r="Y55" s="1"/>
      <c r="Z55" s="5">
        <f t="shared" si="35"/>
        <v>0.13722098428266477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129.54</v>
      </c>
      <c r="E56" s="2"/>
      <c r="F56" s="7">
        <f t="shared" si="28"/>
        <v>4.3531999749978322E-4</v>
      </c>
      <c r="G56" s="2"/>
      <c r="H56" s="6">
        <v>235</v>
      </c>
      <c r="I56" s="2"/>
      <c r="J56" s="7">
        <f t="shared" si="29"/>
        <v>7.0647814302430547E-4</v>
      </c>
      <c r="K56" s="2"/>
      <c r="L56" s="6">
        <f t="shared" si="30"/>
        <v>-105.46000000000001</v>
      </c>
      <c r="M56" s="2"/>
      <c r="N56" s="7">
        <f t="shared" si="31"/>
        <v>-0.44876595744680853</v>
      </c>
      <c r="O56" s="11"/>
      <c r="P56" s="6">
        <v>2669.16</v>
      </c>
      <c r="Q56" s="2"/>
      <c r="R56" s="7">
        <f t="shared" si="32"/>
        <v>1.163197134019205E-3</v>
      </c>
      <c r="S56" s="2"/>
      <c r="T56" s="6">
        <v>2347.09</v>
      </c>
      <c r="U56" s="2"/>
      <c r="V56" s="7">
        <f t="shared" si="33"/>
        <v>1.057116427221487E-3</v>
      </c>
      <c r="W56" s="2"/>
      <c r="X56" s="6">
        <f t="shared" si="34"/>
        <v>322.06999999999971</v>
      </c>
      <c r="Y56" s="2"/>
      <c r="Z56" s="7">
        <f t="shared" si="35"/>
        <v>0.13722098428266477</v>
      </c>
    </row>
    <row r="57" spans="1:26" s="27" customFormat="1" outlineLevel="1" collapsed="1" x14ac:dyDescent="0.25">
      <c r="A57" s="25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23829.54</v>
      </c>
      <c r="E57" s="1"/>
      <c r="F57" s="5">
        <f t="shared" si="28"/>
        <v>8.0079321392782038E-2</v>
      </c>
      <c r="G57" s="1"/>
      <c r="H57" s="1">
        <f>SUM(OSRRefH22_10x_0)</f>
        <v>26386.32</v>
      </c>
      <c r="I57" s="1"/>
      <c r="J57" s="5">
        <f t="shared" si="29"/>
        <v>7.9324929169553582E-2</v>
      </c>
      <c r="K57" s="1"/>
      <c r="L57" s="1">
        <f t="shared" si="30"/>
        <v>-2556.7799999999988</v>
      </c>
      <c r="M57" s="1"/>
      <c r="N57" s="5">
        <f t="shared" si="31"/>
        <v>-9.6897938022429755E-2</v>
      </c>
      <c r="O57" s="13"/>
      <c r="P57" s="1">
        <f>SUM(OSRRefP22_10x_0)</f>
        <v>178648.90000000002</v>
      </c>
      <c r="Q57" s="1"/>
      <c r="R57" s="5">
        <f t="shared" si="32"/>
        <v>7.7853665001604844E-2</v>
      </c>
      <c r="S57" s="1"/>
      <c r="T57" s="1">
        <f>SUM(OSRRefT22_10x_0)</f>
        <v>170664.83000000002</v>
      </c>
      <c r="U57" s="1"/>
      <c r="V57" s="5">
        <f t="shared" si="33"/>
        <v>7.6866500791176504E-2</v>
      </c>
      <c r="W57" s="1"/>
      <c r="X57" s="1">
        <f t="shared" si="34"/>
        <v>7984.070000000007</v>
      </c>
      <c r="Y57" s="1"/>
      <c r="Z57" s="5">
        <f t="shared" si="35"/>
        <v>4.6782163612737356E-2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>
        <v>23829.54</v>
      </c>
      <c r="E58" s="2"/>
      <c r="F58" s="7">
        <f t="shared" si="28"/>
        <v>8.0079321392782038E-2</v>
      </c>
      <c r="G58" s="2"/>
      <c r="H58" s="6">
        <v>26386.32</v>
      </c>
      <c r="I58" s="2"/>
      <c r="J58" s="7">
        <f t="shared" si="29"/>
        <v>7.9324929169553582E-2</v>
      </c>
      <c r="K58" s="2"/>
      <c r="L58" s="6">
        <f t="shared" si="30"/>
        <v>-2556.7799999999988</v>
      </c>
      <c r="M58" s="2"/>
      <c r="N58" s="7">
        <f t="shared" si="31"/>
        <v>-9.6897938022429755E-2</v>
      </c>
      <c r="O58" s="11"/>
      <c r="P58" s="6">
        <v>178648.90000000002</v>
      </c>
      <c r="Q58" s="2"/>
      <c r="R58" s="7">
        <f t="shared" si="32"/>
        <v>7.7853665001604844E-2</v>
      </c>
      <c r="S58" s="2"/>
      <c r="T58" s="6">
        <v>170664.83000000002</v>
      </c>
      <c r="U58" s="2"/>
      <c r="V58" s="7">
        <f t="shared" si="33"/>
        <v>7.6866500791176504E-2</v>
      </c>
      <c r="W58" s="2"/>
      <c r="X58" s="6">
        <f t="shared" si="34"/>
        <v>7984.070000000007</v>
      </c>
      <c r="Y58" s="2"/>
      <c r="Z58" s="7">
        <f t="shared" si="35"/>
        <v>4.6782163612737356E-2</v>
      </c>
    </row>
    <row r="59" spans="1:26" s="27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267.51</v>
      </c>
      <c r="E59" s="1"/>
      <c r="F59" s="5">
        <f t="shared" si="28"/>
        <v>8.9896906385029344E-4</v>
      </c>
      <c r="G59" s="1"/>
      <c r="H59" s="1">
        <f>SUM(OSRRefH22_11x_0)</f>
        <v>157.07999999999998</v>
      </c>
      <c r="I59" s="1"/>
      <c r="J59" s="5">
        <f t="shared" si="29"/>
        <v>4.7222802853726765E-4</v>
      </c>
      <c r="K59" s="1"/>
      <c r="L59" s="1">
        <f t="shared" si="30"/>
        <v>110.43</v>
      </c>
      <c r="M59" s="1"/>
      <c r="N59" s="5">
        <f t="shared" si="31"/>
        <v>0.70301757066462955</v>
      </c>
      <c r="O59" s="13"/>
      <c r="P59" s="1">
        <f>SUM(OSRRefP22_11x_0)</f>
        <v>8798.31</v>
      </c>
      <c r="Q59" s="1"/>
      <c r="R59" s="5">
        <f t="shared" si="32"/>
        <v>3.8342283625606975E-3</v>
      </c>
      <c r="S59" s="1"/>
      <c r="T59" s="1">
        <f>SUM(OSRRefT22_11x_0)</f>
        <v>11075.64</v>
      </c>
      <c r="U59" s="1"/>
      <c r="V59" s="5">
        <f t="shared" si="33"/>
        <v>4.9884073410015762E-3</v>
      </c>
      <c r="W59" s="1"/>
      <c r="X59" s="1">
        <f t="shared" si="34"/>
        <v>-2277.33</v>
      </c>
      <c r="Y59" s="1"/>
      <c r="Z59" s="5">
        <f t="shared" si="35"/>
        <v>-0.20561610886594364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8238.75</v>
      </c>
      <c r="Q60" s="2"/>
      <c r="R60" s="7">
        <f t="shared" si="32"/>
        <v>3.5903768930677536E-3</v>
      </c>
      <c r="S60" s="2"/>
      <c r="T60" s="6">
        <v>8778.98</v>
      </c>
      <c r="U60" s="2"/>
      <c r="V60" s="7">
        <f t="shared" si="33"/>
        <v>3.9540043084197408E-3</v>
      </c>
      <c r="W60" s="2"/>
      <c r="X60" s="6">
        <f t="shared" si="34"/>
        <v>-540.22999999999956</v>
      </c>
      <c r="Y60" s="2"/>
      <c r="Z60" s="7">
        <f t="shared" si="35"/>
        <v>-6.1536761673907397E-2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78.72</v>
      </c>
      <c r="E61" s="2"/>
      <c r="F61" s="7">
        <f t="shared" si="28"/>
        <v>2.645390628623046E-4</v>
      </c>
      <c r="G61" s="2"/>
      <c r="H61" s="6">
        <v>67.47</v>
      </c>
      <c r="I61" s="2"/>
      <c r="J61" s="7">
        <f t="shared" si="29"/>
        <v>2.0283438429723359E-4</v>
      </c>
      <c r="K61" s="2"/>
      <c r="L61" s="6">
        <f t="shared" si="30"/>
        <v>11.25</v>
      </c>
      <c r="M61" s="2"/>
      <c r="N61" s="7">
        <f t="shared" si="31"/>
        <v>0.16674077367718987</v>
      </c>
      <c r="O61" s="11"/>
      <c r="P61" s="6">
        <v>202.15</v>
      </c>
      <c r="Q61" s="2"/>
      <c r="R61" s="7">
        <f t="shared" si="32"/>
        <v>8.8095243687895183E-5</v>
      </c>
      <c r="S61" s="2"/>
      <c r="T61" s="6">
        <v>194.12</v>
      </c>
      <c r="U61" s="2"/>
      <c r="V61" s="7">
        <f t="shared" si="33"/>
        <v>8.7430580357904917E-5</v>
      </c>
      <c r="W61" s="2"/>
      <c r="X61" s="6">
        <f t="shared" si="34"/>
        <v>8.0300000000000011</v>
      </c>
      <c r="Y61" s="2"/>
      <c r="Z61" s="7">
        <f t="shared" si="35"/>
        <v>4.1366165258602934E-2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188.79</v>
      </c>
      <c r="E62" s="2"/>
      <c r="F62" s="7">
        <f t="shared" si="28"/>
        <v>6.3443000098798883E-4</v>
      </c>
      <c r="G62" s="2"/>
      <c r="H62" s="6">
        <v>89.61</v>
      </c>
      <c r="I62" s="2"/>
      <c r="J62" s="7">
        <f t="shared" si="29"/>
        <v>2.6939364424003414E-4</v>
      </c>
      <c r="K62" s="2"/>
      <c r="L62" s="6">
        <f t="shared" si="30"/>
        <v>99.179999999999993</v>
      </c>
      <c r="M62" s="2"/>
      <c r="N62" s="7">
        <f t="shared" si="31"/>
        <v>1.1067961165048543</v>
      </c>
      <c r="O62" s="11"/>
      <c r="P62" s="6">
        <v>357.41</v>
      </c>
      <c r="Q62" s="2"/>
      <c r="R62" s="7">
        <f t="shared" si="32"/>
        <v>1.5575622580504882E-4</v>
      </c>
      <c r="S62" s="2"/>
      <c r="T62" s="6">
        <v>2102.54</v>
      </c>
      <c r="U62" s="2"/>
      <c r="V62" s="7">
        <f t="shared" si="33"/>
        <v>9.4697245222393053E-4</v>
      </c>
      <c r="W62" s="2"/>
      <c r="X62" s="6">
        <f t="shared" si="34"/>
        <v>-1745.1299999999999</v>
      </c>
      <c r="Y62" s="2"/>
      <c r="Z62" s="7">
        <f t="shared" si="35"/>
        <v>-0.8300103684115403</v>
      </c>
    </row>
    <row r="63" spans="1:26" s="27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5666.4800000000005</v>
      </c>
      <c r="E63" s="1"/>
      <c r="F63" s="5">
        <f t="shared" ref="F63:F66" si="36">IF(D$12=0,0,D63/D$12)</f>
        <v>1.9042242237398269E-2</v>
      </c>
      <c r="G63" s="1"/>
      <c r="H63" s="1">
        <f>SUM(OSRRefH22_12x_0)</f>
        <v>4360.16</v>
      </c>
      <c r="I63" s="1"/>
      <c r="J63" s="5">
        <f t="shared" ref="J63:J66" si="37">IF(H$12=0,0,H63/H$12)</f>
        <v>1.3107905276973855E-2</v>
      </c>
      <c r="K63" s="1"/>
      <c r="L63" s="1">
        <f t="shared" ref="L63:L66" si="38">+D63-H63</f>
        <v>1306.3200000000006</v>
      </c>
      <c r="M63" s="1"/>
      <c r="N63" s="5">
        <f t="shared" ref="N63:N66" si="39">IF(H63=0,0,L63/H63)</f>
        <v>0.29960368426846734</v>
      </c>
      <c r="O63" s="13"/>
      <c r="P63" s="1">
        <f>SUM(OSRRefP22_12x_0)</f>
        <v>37177.58</v>
      </c>
      <c r="Q63" s="1"/>
      <c r="R63" s="5">
        <f t="shared" ref="R63:R66" si="40">IF(P$12=0,0,P63/P$12)</f>
        <v>1.6201671876459156E-2</v>
      </c>
      <c r="S63" s="1"/>
      <c r="T63" s="1">
        <f>SUM(OSRRefT22_12x_0)</f>
        <v>30542.83</v>
      </c>
      <c r="U63" s="1"/>
      <c r="V63" s="5">
        <f t="shared" ref="V63:V66" si="41">IF(T$12=0,0,T63/T$12)</f>
        <v>1.3756322649252159E-2</v>
      </c>
      <c r="W63" s="1"/>
      <c r="X63" s="1">
        <f t="shared" ref="X63:X66" si="42">+P63-T63</f>
        <v>6634.75</v>
      </c>
      <c r="Y63" s="1"/>
      <c r="Z63" s="5">
        <f t="shared" ref="Z63:Z66" si="43">IF(T63=0,0,X63/T63)</f>
        <v>0.21722774215748833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842.68</v>
      </c>
      <c r="E64" s="2"/>
      <c r="F64" s="7">
        <f t="shared" si="36"/>
        <v>2.8318315230285418E-3</v>
      </c>
      <c r="G64" s="2"/>
      <c r="H64" s="6"/>
      <c r="I64" s="2"/>
      <c r="J64" s="7">
        <f t="shared" si="37"/>
        <v>0</v>
      </c>
      <c r="K64" s="2"/>
      <c r="L64" s="6">
        <f t="shared" si="38"/>
        <v>842.68</v>
      </c>
      <c r="M64" s="2"/>
      <c r="N64" s="7">
        <f t="shared" si="39"/>
        <v>0</v>
      </c>
      <c r="O64" s="11"/>
      <c r="P64" s="6">
        <v>2949.38</v>
      </c>
      <c r="Q64" s="2"/>
      <c r="R64" s="7">
        <f t="shared" si="40"/>
        <v>1.2853146170081836E-3</v>
      </c>
      <c r="S64" s="2"/>
      <c r="T64" s="6">
        <v>2120.8200000000002</v>
      </c>
      <c r="U64" s="2"/>
      <c r="V64" s="7">
        <f t="shared" si="41"/>
        <v>9.5520566368561676E-4</v>
      </c>
      <c r="W64" s="2"/>
      <c r="X64" s="6">
        <f t="shared" si="42"/>
        <v>828.56</v>
      </c>
      <c r="Y64" s="2"/>
      <c r="Z64" s="7">
        <f t="shared" si="43"/>
        <v>0.39067907696079812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>
        <v>3916.67</v>
      </c>
      <c r="E65" s="2"/>
      <c r="F65" s="7">
        <f t="shared" si="36"/>
        <v>1.3161994554635448E-2</v>
      </c>
      <c r="G65" s="2"/>
      <c r="H65" s="6">
        <v>3635.73</v>
      </c>
      <c r="I65" s="2"/>
      <c r="J65" s="7">
        <f t="shared" si="37"/>
        <v>1.0930058633777695E-2</v>
      </c>
      <c r="K65" s="2"/>
      <c r="L65" s="6">
        <f t="shared" si="38"/>
        <v>280.94000000000005</v>
      </c>
      <c r="M65" s="2"/>
      <c r="N65" s="7">
        <f t="shared" si="39"/>
        <v>7.72719646398385E-2</v>
      </c>
      <c r="O65" s="11"/>
      <c r="P65" s="6">
        <v>26154.52</v>
      </c>
      <c r="Q65" s="2"/>
      <c r="R65" s="7">
        <f t="shared" si="40"/>
        <v>1.1397916462725343E-2</v>
      </c>
      <c r="S65" s="2"/>
      <c r="T65" s="6">
        <v>21814.38</v>
      </c>
      <c r="U65" s="2"/>
      <c r="V65" s="7">
        <f t="shared" si="41"/>
        <v>9.8250767749220782E-3</v>
      </c>
      <c r="W65" s="2"/>
      <c r="X65" s="6">
        <f t="shared" si="42"/>
        <v>4340.1399999999994</v>
      </c>
      <c r="Y65" s="2"/>
      <c r="Z65" s="7">
        <f t="shared" si="43"/>
        <v>0.19895775172157079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>
        <v>907.13</v>
      </c>
      <c r="E66" s="2"/>
      <c r="F66" s="7">
        <f t="shared" si="36"/>
        <v>3.0484161597342779E-3</v>
      </c>
      <c r="G66" s="2"/>
      <c r="H66" s="6">
        <v>724.43</v>
      </c>
      <c r="I66" s="2"/>
      <c r="J66" s="7">
        <f t="shared" si="37"/>
        <v>2.1778466431961602E-3</v>
      </c>
      <c r="K66" s="2"/>
      <c r="L66" s="6">
        <f t="shared" si="38"/>
        <v>182.70000000000005</v>
      </c>
      <c r="M66" s="2"/>
      <c r="N66" s="7">
        <f t="shared" si="39"/>
        <v>0.25219828002705585</v>
      </c>
      <c r="O66" s="11"/>
      <c r="P66" s="6">
        <v>8073.68</v>
      </c>
      <c r="Q66" s="2"/>
      <c r="R66" s="7">
        <f t="shared" si="40"/>
        <v>3.5184407967256272E-3</v>
      </c>
      <c r="S66" s="2"/>
      <c r="T66" s="6">
        <v>6607.63</v>
      </c>
      <c r="U66" s="2"/>
      <c r="V66" s="7">
        <f t="shared" si="41"/>
        <v>2.9760402106444638E-3</v>
      </c>
      <c r="W66" s="2"/>
      <c r="X66" s="6">
        <f t="shared" si="42"/>
        <v>1466.0500000000002</v>
      </c>
      <c r="Y66" s="2"/>
      <c r="Z66" s="7">
        <f t="shared" si="43"/>
        <v>0.22187229006466769</v>
      </c>
    </row>
    <row r="67" spans="1:26" s="27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3971.46</v>
      </c>
      <c r="E67" s="1"/>
      <c r="F67" s="5">
        <f t="shared" ref="F67:F75" si="44">IF(D$12=0,0,D67/D$12)</f>
        <v>1.3346116699633233E-2</v>
      </c>
      <c r="G67" s="1"/>
      <c r="H67" s="1">
        <f>SUM(OSRRefH22_13x_0)</f>
        <v>6972.8200000000006</v>
      </c>
      <c r="I67" s="1"/>
      <c r="J67" s="5">
        <f t="shared" ref="J67:J75" si="45">IF(H$12=0,0,H67/H$12)</f>
        <v>2.0962318830820163E-2</v>
      </c>
      <c r="K67" s="1"/>
      <c r="L67" s="1">
        <f t="shared" ref="L67:L75" si="46">+D67-H67</f>
        <v>-3001.3600000000006</v>
      </c>
      <c r="M67" s="1"/>
      <c r="N67" s="5">
        <f t="shared" ref="N67:N75" si="47">IF(H67=0,0,L67/H67)</f>
        <v>-0.43043703982033099</v>
      </c>
      <c r="O67" s="13"/>
      <c r="P67" s="1">
        <f>SUM(OSRRefP22_13x_0)</f>
        <v>57893.53</v>
      </c>
      <c r="Q67" s="1"/>
      <c r="R67" s="5">
        <f t="shared" ref="R67:R75" si="48">IF(P$12=0,0,P67/P$12)</f>
        <v>2.5229505977256837E-2</v>
      </c>
      <c r="S67" s="1"/>
      <c r="T67" s="1">
        <f>SUM(OSRRefT22_13x_0)</f>
        <v>53987.75</v>
      </c>
      <c r="U67" s="1"/>
      <c r="V67" s="5">
        <f t="shared" ref="V67:V75" si="49">IF(T$12=0,0,T67/T$12)</f>
        <v>2.4315785672354633E-2</v>
      </c>
      <c r="W67" s="1"/>
      <c r="X67" s="1">
        <f t="shared" ref="X67:X75" si="50">+P67-T67</f>
        <v>3905.7799999999988</v>
      </c>
      <c r="Y67" s="1"/>
      <c r="Z67" s="5">
        <f t="shared" ref="Z67:Z75" si="51">IF(T67=0,0,X67/T67)</f>
        <v>7.2345671008701026E-2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1"/>
      <c r="P68" s="6">
        <v>100</v>
      </c>
      <c r="Q68" s="2"/>
      <c r="R68" s="7">
        <f t="shared" si="48"/>
        <v>4.3579146024187571E-5</v>
      </c>
      <c r="S68" s="2"/>
      <c r="T68" s="6"/>
      <c r="U68" s="2"/>
      <c r="V68" s="7">
        <f t="shared" si="49"/>
        <v>0</v>
      </c>
      <c r="W68" s="2"/>
      <c r="X68" s="6">
        <f t="shared" si="50"/>
        <v>100</v>
      </c>
      <c r="Y68" s="2"/>
      <c r="Z68" s="7">
        <f t="shared" si="51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>
        <v>2095.69</v>
      </c>
      <c r="E69" s="2"/>
      <c r="F69" s="7">
        <f t="shared" si="44"/>
        <v>7.0425796322396228E-3</v>
      </c>
      <c r="G69" s="2"/>
      <c r="H69" s="6">
        <v>4532.49</v>
      </c>
      <c r="I69" s="2"/>
      <c r="J69" s="7">
        <f t="shared" si="45"/>
        <v>1.3625979227558444E-2</v>
      </c>
      <c r="K69" s="2"/>
      <c r="L69" s="6">
        <f t="shared" si="46"/>
        <v>-2436.7999999999997</v>
      </c>
      <c r="M69" s="2"/>
      <c r="N69" s="7">
        <f t="shared" si="47"/>
        <v>-0.53762942665069302</v>
      </c>
      <c r="O69" s="11"/>
      <c r="P69" s="6">
        <v>23097.09</v>
      </c>
      <c r="Q69" s="2"/>
      <c r="R69" s="7">
        <f t="shared" si="48"/>
        <v>1.0065514578438026E-2</v>
      </c>
      <c r="S69" s="2"/>
      <c r="T69" s="6">
        <v>23613.24</v>
      </c>
      <c r="U69" s="2"/>
      <c r="V69" s="7">
        <f t="shared" si="49"/>
        <v>1.0635273425357999E-2</v>
      </c>
      <c r="W69" s="2"/>
      <c r="X69" s="6">
        <f t="shared" si="50"/>
        <v>-516.15000000000146</v>
      </c>
      <c r="Y69" s="2"/>
      <c r="Z69" s="7">
        <f t="shared" si="51"/>
        <v>-2.1858499723036797E-2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>
        <v>260.75</v>
      </c>
      <c r="E70" s="2"/>
      <c r="F70" s="7">
        <f t="shared" si="44"/>
        <v>8.7625204066750409E-4</v>
      </c>
      <c r="G70" s="2"/>
      <c r="H70" s="6">
        <v>747.94</v>
      </c>
      <c r="I70" s="2"/>
      <c r="J70" s="7">
        <f t="shared" si="45"/>
        <v>2.2485245203982939E-3</v>
      </c>
      <c r="K70" s="2"/>
      <c r="L70" s="6">
        <f t="shared" si="46"/>
        <v>-487.19000000000005</v>
      </c>
      <c r="M70" s="2"/>
      <c r="N70" s="7">
        <f t="shared" si="47"/>
        <v>-0.65137577880578656</v>
      </c>
      <c r="O70" s="11"/>
      <c r="P70" s="6">
        <v>15913.72</v>
      </c>
      <c r="Q70" s="2"/>
      <c r="R70" s="7">
        <f t="shared" si="48"/>
        <v>6.9350632766803418E-3</v>
      </c>
      <c r="S70" s="2"/>
      <c r="T70" s="6">
        <v>6547.04</v>
      </c>
      <c r="U70" s="2"/>
      <c r="V70" s="7">
        <f t="shared" si="49"/>
        <v>2.9487508078838748E-3</v>
      </c>
      <c r="W70" s="2"/>
      <c r="X70" s="6">
        <f t="shared" si="50"/>
        <v>9366.68</v>
      </c>
      <c r="Y70" s="2"/>
      <c r="Z70" s="7">
        <f t="shared" si="51"/>
        <v>1.4306740145164838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>
        <v>316.17</v>
      </c>
      <c r="E71" s="2"/>
      <c r="F71" s="7">
        <f t="shared" si="44"/>
        <v>1.0624913046897212E-3</v>
      </c>
      <c r="G71" s="2"/>
      <c r="H71" s="6">
        <v>72.38</v>
      </c>
      <c r="I71" s="2"/>
      <c r="J71" s="7">
        <f t="shared" si="45"/>
        <v>2.175952680514861E-4</v>
      </c>
      <c r="K71" s="2"/>
      <c r="L71" s="6">
        <f t="shared" si="46"/>
        <v>243.79000000000002</v>
      </c>
      <c r="M71" s="2"/>
      <c r="N71" s="7">
        <f t="shared" si="47"/>
        <v>3.3681956341530817</v>
      </c>
      <c r="O71" s="11"/>
      <c r="P71" s="6">
        <v>2756.02</v>
      </c>
      <c r="Q71" s="2"/>
      <c r="R71" s="7">
        <f t="shared" si="48"/>
        <v>1.2010499802558143E-3</v>
      </c>
      <c r="S71" s="2"/>
      <c r="T71" s="6">
        <v>2133.69</v>
      </c>
      <c r="U71" s="2"/>
      <c r="V71" s="7">
        <f t="shared" si="49"/>
        <v>9.6100224090180379E-4</v>
      </c>
      <c r="W71" s="2"/>
      <c r="X71" s="6">
        <f t="shared" si="50"/>
        <v>622.32999999999993</v>
      </c>
      <c r="Y71" s="2"/>
      <c r="Z71" s="7">
        <f t="shared" si="51"/>
        <v>0.29166842418533145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>
        <v>1298.8499999999999</v>
      </c>
      <c r="E72" s="2"/>
      <c r="F72" s="7">
        <f t="shared" si="44"/>
        <v>4.364793722036386E-3</v>
      </c>
      <c r="G72" s="2"/>
      <c r="H72" s="6">
        <v>1620.01</v>
      </c>
      <c r="I72" s="2"/>
      <c r="J72" s="7">
        <f t="shared" si="45"/>
        <v>4.870219814811937E-3</v>
      </c>
      <c r="K72" s="2"/>
      <c r="L72" s="6">
        <f t="shared" si="46"/>
        <v>-321.16000000000008</v>
      </c>
      <c r="M72" s="2"/>
      <c r="N72" s="7">
        <f t="shared" si="47"/>
        <v>-0.1982456898414208</v>
      </c>
      <c r="O72" s="11"/>
      <c r="P72" s="6">
        <v>13593.58</v>
      </c>
      <c r="Q72" s="2"/>
      <c r="R72" s="7">
        <f t="shared" si="48"/>
        <v>5.923966078114757E-3</v>
      </c>
      <c r="S72" s="2"/>
      <c r="T72" s="6">
        <v>18692.689999999999</v>
      </c>
      <c r="U72" s="2"/>
      <c r="V72" s="7">
        <f t="shared" si="49"/>
        <v>8.4190847679291442E-3</v>
      </c>
      <c r="W72" s="2"/>
      <c r="X72" s="6">
        <f t="shared" si="50"/>
        <v>-5099.1099999999988</v>
      </c>
      <c r="Y72" s="2"/>
      <c r="Z72" s="7">
        <f t="shared" si="51"/>
        <v>-0.27278631379432278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441</v>
      </c>
      <c r="Q73" s="2"/>
      <c r="R73" s="7">
        <f t="shared" si="48"/>
        <v>1.9218403396666718E-4</v>
      </c>
      <c r="S73" s="2"/>
      <c r="T73" s="6"/>
      <c r="U73" s="2"/>
      <c r="V73" s="7">
        <f t="shared" si="49"/>
        <v>0</v>
      </c>
      <c r="W73" s="2"/>
      <c r="X73" s="6">
        <f t="shared" si="50"/>
        <v>441</v>
      </c>
      <c r="Y73" s="2"/>
      <c r="Z73" s="7">
        <f t="shared" si="51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153.87</v>
      </c>
      <c r="Q74" s="2"/>
      <c r="R74" s="7">
        <f t="shared" si="48"/>
        <v>6.7055231987417423E-5</v>
      </c>
      <c r="S74" s="2"/>
      <c r="T74" s="6"/>
      <c r="U74" s="2"/>
      <c r="V74" s="7">
        <f t="shared" si="49"/>
        <v>0</v>
      </c>
      <c r="W74" s="2"/>
      <c r="X74" s="6">
        <f t="shared" si="50"/>
        <v>153.87</v>
      </c>
      <c r="Y74" s="2"/>
      <c r="Z74" s="7">
        <f t="shared" si="51"/>
        <v>0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4"/>
        <v>0</v>
      </c>
      <c r="G75" s="2"/>
      <c r="H75" s="6"/>
      <c r="I75" s="2"/>
      <c r="J75" s="7">
        <f t="shared" si="45"/>
        <v>0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>
        <v>1838.25</v>
      </c>
      <c r="Q75" s="2"/>
      <c r="R75" s="7">
        <f t="shared" si="48"/>
        <v>8.0109365178962803E-4</v>
      </c>
      <c r="S75" s="2"/>
      <c r="T75" s="6">
        <v>3001.09</v>
      </c>
      <c r="U75" s="2"/>
      <c r="V75" s="7">
        <f t="shared" si="49"/>
        <v>1.3516744302818095E-3</v>
      </c>
      <c r="W75" s="2"/>
      <c r="X75" s="6">
        <f t="shared" si="50"/>
        <v>-1162.8400000000001</v>
      </c>
      <c r="Y75" s="2"/>
      <c r="Z75" s="7">
        <f t="shared" si="51"/>
        <v>-0.38747255163957101</v>
      </c>
    </row>
    <row r="76" spans="1:26" s="27" customFormat="1" outlineLevel="1" collapsed="1" x14ac:dyDescent="0.25">
      <c r="A76" s="25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312.60000000000002</v>
      </c>
      <c r="E76" s="1"/>
      <c r="F76" s="5">
        <f t="shared" ref="F76:F81" si="52">IF(D$12=0,0,D76/D$12)</f>
        <v>1.050494296884609E-3</v>
      </c>
      <c r="G76" s="1"/>
      <c r="H76" s="1">
        <f>SUM(OSRRefH22_14x_0)</f>
        <v>215.7</v>
      </c>
      <c r="I76" s="1"/>
      <c r="J76" s="5">
        <f t="shared" ref="J76:J81" si="53">IF(H$12=0,0,H76/H$12)</f>
        <v>6.4845674659720295E-4</v>
      </c>
      <c r="K76" s="1"/>
      <c r="L76" s="1">
        <f t="shared" ref="L76:L81" si="54">+D76-H76</f>
        <v>96.900000000000034</v>
      </c>
      <c r="M76" s="1"/>
      <c r="N76" s="5">
        <f t="shared" ref="N76:N81" si="55">IF(H76=0,0,L76/H76)</f>
        <v>0.44923504867872061</v>
      </c>
      <c r="O76" s="13"/>
      <c r="P76" s="1">
        <f>SUM(OSRRefP22_14x_0)</f>
        <v>1967.05</v>
      </c>
      <c r="Q76" s="1"/>
      <c r="R76" s="5">
        <f t="shared" ref="R76:R81" si="56">IF(P$12=0,0,P76/P$12)</f>
        <v>8.5722359186878158E-4</v>
      </c>
      <c r="S76" s="1"/>
      <c r="T76" s="1">
        <f>SUM(OSRRefT22_14x_0)</f>
        <v>1273.75</v>
      </c>
      <c r="U76" s="1"/>
      <c r="V76" s="5">
        <f t="shared" ref="V76:V81" si="57">IF(T$12=0,0,T76/T$12)</f>
        <v>5.7368999449248603E-4</v>
      </c>
      <c r="W76" s="1"/>
      <c r="X76" s="1">
        <f t="shared" ref="X76:X81" si="58">+P76-T76</f>
        <v>693.3</v>
      </c>
      <c r="Y76" s="1"/>
      <c r="Z76" s="5">
        <f t="shared" ref="Z76:Z81" si="59">IF(T76=0,0,X76/T76)</f>
        <v>0.54429833169774289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6">
        <v>312.60000000000002</v>
      </c>
      <c r="E77" s="2"/>
      <c r="F77" s="7">
        <f t="shared" si="52"/>
        <v>1.050494296884609E-3</v>
      </c>
      <c r="G77" s="2"/>
      <c r="H77" s="6">
        <v>215.7</v>
      </c>
      <c r="I77" s="2"/>
      <c r="J77" s="7">
        <f t="shared" si="53"/>
        <v>6.4845674659720295E-4</v>
      </c>
      <c r="K77" s="2"/>
      <c r="L77" s="6">
        <f t="shared" si="54"/>
        <v>96.900000000000034</v>
      </c>
      <c r="M77" s="2"/>
      <c r="N77" s="7">
        <f t="shared" si="55"/>
        <v>0.44923504867872061</v>
      </c>
      <c r="O77" s="11"/>
      <c r="P77" s="6">
        <v>1967.05</v>
      </c>
      <c r="Q77" s="2"/>
      <c r="R77" s="7">
        <f t="shared" si="56"/>
        <v>8.5722359186878158E-4</v>
      </c>
      <c r="S77" s="2"/>
      <c r="T77" s="6">
        <v>1273.75</v>
      </c>
      <c r="U77" s="2"/>
      <c r="V77" s="7">
        <f t="shared" si="57"/>
        <v>5.7368999449248603E-4</v>
      </c>
      <c r="W77" s="2"/>
      <c r="X77" s="6">
        <f t="shared" si="58"/>
        <v>693.3</v>
      </c>
      <c r="Y77" s="2"/>
      <c r="Z77" s="7">
        <f t="shared" si="59"/>
        <v>0.54429833169774289</v>
      </c>
    </row>
    <row r="78" spans="1:26" s="27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-125</v>
      </c>
      <c r="E78" s="1"/>
      <c r="F78" s="5">
        <f t="shared" si="52"/>
        <v>-4.2006329849832407E-4</v>
      </c>
      <c r="G78" s="1"/>
      <c r="H78" s="1">
        <f>SUM(OSRRefH22_15x_0)</f>
        <v>80</v>
      </c>
      <c r="I78" s="1"/>
      <c r="J78" s="5">
        <f t="shared" si="53"/>
        <v>2.4050319762529551E-4</v>
      </c>
      <c r="K78" s="1"/>
      <c r="L78" s="1">
        <f t="shared" si="54"/>
        <v>-205</v>
      </c>
      <c r="M78" s="1"/>
      <c r="N78" s="5">
        <f t="shared" si="55"/>
        <v>-2.5625</v>
      </c>
      <c r="O78" s="13"/>
      <c r="P78" s="1">
        <f>SUM(OSRRefP22_15x_0)</f>
        <v>638</v>
      </c>
      <c r="Q78" s="1"/>
      <c r="R78" s="5">
        <f t="shared" si="56"/>
        <v>2.7803495163431673E-4</v>
      </c>
      <c r="S78" s="1"/>
      <c r="T78" s="1">
        <f>SUM(OSRRefT22_15x_0)</f>
        <v>691.81</v>
      </c>
      <c r="U78" s="1"/>
      <c r="V78" s="5">
        <f t="shared" si="57"/>
        <v>3.1158741910880999E-4</v>
      </c>
      <c r="W78" s="1"/>
      <c r="X78" s="1">
        <f t="shared" si="58"/>
        <v>-53.809999999999945</v>
      </c>
      <c r="Y78" s="1"/>
      <c r="Z78" s="5">
        <f t="shared" si="59"/>
        <v>-7.7781471791387738E-2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>
        <v>-125</v>
      </c>
      <c r="E79" s="2"/>
      <c r="F79" s="7">
        <f t="shared" si="52"/>
        <v>-4.2006329849832407E-4</v>
      </c>
      <c r="G79" s="2"/>
      <c r="H79" s="6">
        <v>80</v>
      </c>
      <c r="I79" s="2"/>
      <c r="J79" s="7">
        <f t="shared" si="53"/>
        <v>2.4050319762529551E-4</v>
      </c>
      <c r="K79" s="2"/>
      <c r="L79" s="6">
        <f t="shared" si="54"/>
        <v>-205</v>
      </c>
      <c r="M79" s="2"/>
      <c r="N79" s="7">
        <f t="shared" si="55"/>
        <v>-2.5625</v>
      </c>
      <c r="O79" s="11"/>
      <c r="P79" s="6">
        <v>638</v>
      </c>
      <c r="Q79" s="2"/>
      <c r="R79" s="7">
        <f t="shared" si="56"/>
        <v>2.7803495163431673E-4</v>
      </c>
      <c r="S79" s="2"/>
      <c r="T79" s="6">
        <v>691.81</v>
      </c>
      <c r="U79" s="2"/>
      <c r="V79" s="7">
        <f t="shared" si="57"/>
        <v>3.1158741910880999E-4</v>
      </c>
      <c r="W79" s="2"/>
      <c r="X79" s="6">
        <f t="shared" si="58"/>
        <v>-53.809999999999945</v>
      </c>
      <c r="Y79" s="2"/>
      <c r="Z79" s="7">
        <f t="shared" si="59"/>
        <v>-7.7781471791387738E-2</v>
      </c>
    </row>
    <row r="80" spans="1:26" s="27" customFormat="1" outlineLevel="1" collapsed="1" x14ac:dyDescent="0.25">
      <c r="A80" s="25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-267.27999999999997</v>
      </c>
      <c r="E80" s="1"/>
      <c r="F80" s="5">
        <f t="shared" si="52"/>
        <v>-8.9819614738105645E-4</v>
      </c>
      <c r="G80" s="1"/>
      <c r="H80" s="1">
        <f>SUM(OSRRefH22_16x_0)</f>
        <v>0</v>
      </c>
      <c r="I80" s="1"/>
      <c r="J80" s="5">
        <f t="shared" si="53"/>
        <v>0</v>
      </c>
      <c r="K80" s="1"/>
      <c r="L80" s="1">
        <f t="shared" si="54"/>
        <v>-267.27999999999997</v>
      </c>
      <c r="M80" s="1"/>
      <c r="N80" s="5">
        <f t="shared" si="55"/>
        <v>0</v>
      </c>
      <c r="O80" s="13"/>
      <c r="P80" s="1">
        <f>SUM(OSRRefP22_16x_0)</f>
        <v>59.14</v>
      </c>
      <c r="Q80" s="1"/>
      <c r="R80" s="5">
        <f t="shared" si="56"/>
        <v>2.5772706958704529E-5</v>
      </c>
      <c r="S80" s="1"/>
      <c r="T80" s="1">
        <f>SUM(OSRRefT22_16x_0)</f>
        <v>0</v>
      </c>
      <c r="U80" s="1"/>
      <c r="V80" s="5">
        <f t="shared" si="57"/>
        <v>0</v>
      </c>
      <c r="W80" s="1"/>
      <c r="X80" s="1">
        <f t="shared" si="58"/>
        <v>59.14</v>
      </c>
      <c r="Y80" s="1"/>
      <c r="Z80" s="5">
        <f t="shared" si="59"/>
        <v>0</v>
      </c>
    </row>
    <row r="81" spans="1:26" s="24" customFormat="1" hidden="1" outlineLevel="2" x14ac:dyDescent="0.25">
      <c r="A81" s="26"/>
      <c r="B81" s="11" t="str">
        <f>CONCATENATE("          ", "6292", " - ", "TRAVEL/CONFERENCE")</f>
        <v xml:space="preserve">          6292 - TRAVEL/CONFERENCE</v>
      </c>
      <c r="C81" s="11"/>
      <c r="D81" s="6">
        <v>-267.27999999999997</v>
      </c>
      <c r="E81" s="2"/>
      <c r="F81" s="7">
        <f t="shared" si="52"/>
        <v>-8.9819614738105645E-4</v>
      </c>
      <c r="G81" s="2"/>
      <c r="H81" s="6"/>
      <c r="I81" s="2"/>
      <c r="J81" s="7">
        <f t="shared" si="53"/>
        <v>0</v>
      </c>
      <c r="K81" s="2"/>
      <c r="L81" s="6">
        <f t="shared" si="54"/>
        <v>-267.27999999999997</v>
      </c>
      <c r="M81" s="2"/>
      <c r="N81" s="7">
        <f t="shared" si="55"/>
        <v>0</v>
      </c>
      <c r="O81" s="11"/>
      <c r="P81" s="6">
        <v>59.14</v>
      </c>
      <c r="Q81" s="2"/>
      <c r="R81" s="7">
        <f t="shared" si="56"/>
        <v>2.5772706958704529E-5</v>
      </c>
      <c r="S81" s="2"/>
      <c r="T81" s="6"/>
      <c r="U81" s="2"/>
      <c r="V81" s="7">
        <f t="shared" si="57"/>
        <v>0</v>
      </c>
      <c r="W81" s="2"/>
      <c r="X81" s="6">
        <f t="shared" si="58"/>
        <v>59.14</v>
      </c>
      <c r="Y81" s="2"/>
      <c r="Z81" s="7">
        <f t="shared" si="59"/>
        <v>0</v>
      </c>
    </row>
    <row r="82" spans="1:26" s="61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0">
        <f>+D21-D23+D83</f>
        <v>88115.439999999944</v>
      </c>
      <c r="E85" s="14"/>
      <c r="F85" s="21">
        <f>IF(D$12=0,0,D85/D$12)</f>
        <v>0.29611249900024916</v>
      </c>
      <c r="G85" s="14"/>
      <c r="H85" s="20">
        <f>+H21-H23+H83</f>
        <v>97293.899999999965</v>
      </c>
      <c r="I85" s="14"/>
      <c r="J85" s="21">
        <f>IF(H$12=0,0,H85/H$12)</f>
        <v>0.2924936757429466</v>
      </c>
      <c r="K85" s="15"/>
      <c r="L85" s="20">
        <f>+D85-H85</f>
        <v>-9178.460000000021</v>
      </c>
      <c r="M85" s="15"/>
      <c r="N85" s="21">
        <f>IF(H85=0,0,L85/H85)</f>
        <v>-9.4337466172082982E-2</v>
      </c>
      <c r="O85" s="28"/>
      <c r="P85" s="20">
        <f>+P21-P23+P83</f>
        <v>652023.57999999961</v>
      </c>
      <c r="Q85" s="14"/>
      <c r="R85" s="21">
        <f>IF(P$12=0,0,P85/P$12)</f>
        <v>0.2841463080403353</v>
      </c>
      <c r="S85" s="14"/>
      <c r="T85" s="20">
        <f>+T21-T23+T83</f>
        <v>621285.7300000001</v>
      </c>
      <c r="U85" s="14"/>
      <c r="V85" s="21">
        <f>IF(T$12=0,0,T85/T$12)</f>
        <v>0.27982367577779016</v>
      </c>
      <c r="W85" s="15"/>
      <c r="X85" s="20">
        <f>+P85-T85</f>
        <v>30737.849999999511</v>
      </c>
      <c r="Y85" s="15"/>
      <c r="Z85" s="21">
        <f>IF(T85=0,0,X85/T85)</f>
        <v>4.9474579111932135E-2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36363.120000000003</v>
      </c>
      <c r="E87" s="4"/>
      <c r="F87" s="12">
        <f>IF(D$12=0,0,D87/D$12)</f>
        <v>0.12219849704712304</v>
      </c>
      <c r="G87" s="4"/>
      <c r="H87" s="4">
        <v>40979.35</v>
      </c>
      <c r="I87" s="4"/>
      <c r="J87" s="12">
        <f>IF(H$12=0,0,H87/H$12)</f>
        <v>0.12319580889507691</v>
      </c>
      <c r="K87" s="4"/>
      <c r="L87" s="4">
        <f>+D87-H87</f>
        <v>-4616.2299999999959</v>
      </c>
      <c r="M87" s="4"/>
      <c r="N87" s="12">
        <f>IF(H87=0,0,L87/H87)</f>
        <v>-0.11264771159132578</v>
      </c>
      <c r="O87" s="10"/>
      <c r="P87" s="4">
        <v>247842.63</v>
      </c>
      <c r="Q87" s="4"/>
      <c r="R87" s="12">
        <f>IF(P$12=0,0,P87/P$12)</f>
        <v>0.10800770163788692</v>
      </c>
      <c r="S87" s="4"/>
      <c r="T87" s="4">
        <v>239601.33</v>
      </c>
      <c r="U87" s="4"/>
      <c r="V87" s="12">
        <f>IF(T$12=0,0,T87/T$12)</f>
        <v>0.10791512124678494</v>
      </c>
      <c r="W87" s="4"/>
      <c r="X87" s="4">
        <f>+P87-T87</f>
        <v>8241.3000000000175</v>
      </c>
      <c r="Y87" s="4"/>
      <c r="Z87" s="12">
        <f>IF(T87=0,0,X87/T87)</f>
        <v>3.4395885865909082E-2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2">
        <f>+D85-D87</f>
        <v>51752.319999999942</v>
      </c>
      <c r="E89" s="14"/>
      <c r="F89" s="30">
        <f>IF(D$12=0,0,D89/D$12)</f>
        <v>0.17391400195312612</v>
      </c>
      <c r="G89" s="14"/>
      <c r="H89" s="32">
        <f>+H85-H87</f>
        <v>56314.549999999967</v>
      </c>
      <c r="I89" s="14"/>
      <c r="J89" s="30">
        <f>IF(H$12=0,0,H89/H$12)</f>
        <v>0.16929786684786971</v>
      </c>
      <c r="K89" s="15"/>
      <c r="L89" s="32">
        <f>D89-H89</f>
        <v>-4562.230000000025</v>
      </c>
      <c r="M89" s="15"/>
      <c r="N89" s="30">
        <f>IF(H89=0,0,L89/H89)</f>
        <v>-8.1013343798361656E-2</v>
      </c>
      <c r="O89" s="28"/>
      <c r="P89" s="32">
        <f>+P85-P87</f>
        <v>404180.9499999996</v>
      </c>
      <c r="Q89" s="14"/>
      <c r="R89" s="30">
        <f>IF(P$12=0,0,P89/P$12)</f>
        <v>0.17613860640244838</v>
      </c>
      <c r="S89" s="14"/>
      <c r="T89" s="32">
        <f>+T85-T87</f>
        <v>381684.40000000014</v>
      </c>
      <c r="U89" s="14"/>
      <c r="V89" s="30">
        <f>IF(T$12=0,0,T89/T$12)</f>
        <v>0.17190855453100523</v>
      </c>
      <c r="W89" s="15"/>
      <c r="X89" s="32">
        <f>P89-T89</f>
        <v>22496.549999999464</v>
      </c>
      <c r="Y89" s="15"/>
      <c r="Z89" s="30">
        <f>IF(T89=0,0,X89/T89)</f>
        <v>5.894018723322058E-2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6">
        <f>SUM(D89:D91)</f>
        <v>51752.319999999942</v>
      </c>
      <c r="E92" s="14"/>
      <c r="F92" s="31">
        <f>IF(D$12=0,0,D92/D$12)</f>
        <v>0.17391400195312612</v>
      </c>
      <c r="G92" s="14"/>
      <c r="H92" s="36">
        <f>SUM(H89:H91)</f>
        <v>56314.549999999967</v>
      </c>
      <c r="I92" s="14"/>
      <c r="J92" s="31">
        <f>IF(H$12=0,0,H92/H$12)</f>
        <v>0.16929786684786971</v>
      </c>
      <c r="K92" s="15"/>
      <c r="L92" s="36">
        <f>+D92-H92</f>
        <v>-4562.230000000025</v>
      </c>
      <c r="M92" s="15"/>
      <c r="N92" s="31">
        <f>IF(H92=0,0,L92/H92)</f>
        <v>-8.1013343798361656E-2</v>
      </c>
      <c r="O92" s="28"/>
      <c r="P92" s="36">
        <f>SUM(P89:P91)</f>
        <v>404180.9499999996</v>
      </c>
      <c r="Q92" s="14"/>
      <c r="R92" s="31">
        <f>IF(P$12=0,0,P92/P$12)</f>
        <v>0.17613860640244838</v>
      </c>
      <c r="S92" s="14"/>
      <c r="T92" s="36">
        <f>SUM(T89:T91)</f>
        <v>381684.40000000014</v>
      </c>
      <c r="U92" s="14"/>
      <c r="V92" s="31">
        <f>IF(T$12=0,0,T92/T$12)</f>
        <v>0.17190855453100523</v>
      </c>
      <c r="W92" s="15"/>
      <c r="X92" s="36">
        <f>+P92-T92</f>
        <v>22496.549999999464</v>
      </c>
      <c r="Y92" s="15"/>
      <c r="Z92" s="31">
        <f>IF(T92=0,0,X92/T92)</f>
        <v>5.894018723322058E-2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2">
        <v>43847.454237152779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6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4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","445", " - ", "Central Park Coffee House")</f>
        <v>Department 445 - Central Park Coffee House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0</v>
      </c>
      <c r="E18" s="22"/>
      <c r="F18" s="33">
        <f t="shared" ref="F18:F20" si="0">IF(D$12=0,0,D18/D$12)</f>
        <v>0</v>
      </c>
      <c r="G18" s="22"/>
      <c r="H18" s="22">
        <f>SUM(OSRRefH22x_0)</f>
        <v>0</v>
      </c>
      <c r="I18" s="22"/>
      <c r="J18" s="33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3">
        <f t="shared" ref="N18:N20" si="3">IF(H18=0,0,L18/H18)</f>
        <v>0</v>
      </c>
      <c r="O18" s="10"/>
      <c r="P18" s="22">
        <f>SUM(OSRRefP22x_0)</f>
        <v>0</v>
      </c>
      <c r="Q18" s="22"/>
      <c r="R18" s="33">
        <f t="shared" ref="R18:R20" si="4">IF(P$12=0,0,P18/P$12)</f>
        <v>0</v>
      </c>
      <c r="S18" s="22"/>
      <c r="T18" s="22">
        <f>SUM(OSRRefT22x_0)</f>
        <v>929.2</v>
      </c>
      <c r="U18" s="22"/>
      <c r="V18" s="33">
        <f t="shared" ref="V18:V20" si="5">IF(T$12=0,0,T18/T$12)</f>
        <v>0</v>
      </c>
      <c r="W18" s="4"/>
      <c r="X18" s="22">
        <f t="shared" ref="X18:X20" si="6">+P18-T18</f>
        <v>-929.2</v>
      </c>
      <c r="Y18" s="4"/>
      <c r="Z18" s="33">
        <f t="shared" ref="Z18:Z20" si="7">IF(T18=0,0,X18/T18)</f>
        <v>-1</v>
      </c>
    </row>
    <row r="19" spans="1:26" s="27" customFormat="1" outlineLevel="1" collapsed="1" x14ac:dyDescent="0.25">
      <c r="A19" s="25"/>
      <c r="B19" s="13" t="str">
        <f>CONCATENATE("     ","General                                           ")</f>
        <v xml:space="preserve">     General  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6"/>
      <c r="B20" s="11" t="str">
        <f>CONCATENATE("          ", "6279", " - ", "GENERAL EXPENSE")</f>
        <v xml:space="preserve">          6279 - GENERAL EXPENSE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929.2</v>
      </c>
      <c r="U20" s="2"/>
      <c r="V20" s="7">
        <f t="shared" si="5"/>
        <v>0</v>
      </c>
      <c r="W20" s="2"/>
      <c r="X20" s="6">
        <f t="shared" si="6"/>
        <v>-929.2</v>
      </c>
      <c r="Y20" s="2"/>
      <c r="Z20" s="7">
        <f t="shared" si="7"/>
        <v>-1</v>
      </c>
    </row>
    <row r="21" spans="1:26" s="61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3</v>
      </c>
      <c r="C24" s="29"/>
      <c r="D24" s="20">
        <f>+D16-D18+D22</f>
        <v>0</v>
      </c>
      <c r="E24" s="14"/>
      <c r="F24" s="21">
        <f>IF(D$12=0,0,D24/D$12)</f>
        <v>0</v>
      </c>
      <c r="G24" s="14"/>
      <c r="H24" s="20">
        <f>+H16-H18+H22</f>
        <v>0</v>
      </c>
      <c r="I24" s="14"/>
      <c r="J24" s="21">
        <f>IF(H$12=0,0,H24/H$12)</f>
        <v>0</v>
      </c>
      <c r="K24" s="15"/>
      <c r="L24" s="20">
        <f>+D24-H24</f>
        <v>0</v>
      </c>
      <c r="M24" s="15"/>
      <c r="N24" s="21">
        <f>IF(H24=0,0,L24/H24)</f>
        <v>0</v>
      </c>
      <c r="O24" s="28"/>
      <c r="P24" s="20">
        <f>+P16-P18+P22</f>
        <v>0</v>
      </c>
      <c r="Q24" s="14"/>
      <c r="R24" s="21">
        <f>IF(P$12=0,0,P24/P$12)</f>
        <v>0</v>
      </c>
      <c r="S24" s="14"/>
      <c r="T24" s="20">
        <f>+T16-T18+T22</f>
        <v>-929.2</v>
      </c>
      <c r="U24" s="14"/>
      <c r="V24" s="21">
        <f>IF(T$12=0,0,T24/T$12)</f>
        <v>0</v>
      </c>
      <c r="W24" s="15"/>
      <c r="X24" s="20">
        <f>+P24-T24</f>
        <v>929.2</v>
      </c>
      <c r="Y24" s="15"/>
      <c r="Z24" s="21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9" t="s">
        <v>4</v>
      </c>
      <c r="C28" s="29"/>
      <c r="D28" s="32">
        <f>+D24-D26</f>
        <v>0</v>
      </c>
      <c r="E28" s="14"/>
      <c r="F28" s="30">
        <f>IF(D$12=0,0,D28/D$12)</f>
        <v>0</v>
      </c>
      <c r="G28" s="14"/>
      <c r="H28" s="32">
        <f>+H24-H26</f>
        <v>0</v>
      </c>
      <c r="I28" s="14"/>
      <c r="J28" s="30">
        <f>IF(H$12=0,0,H28/H$12)</f>
        <v>0</v>
      </c>
      <c r="K28" s="15"/>
      <c r="L28" s="32">
        <f>D28-H28</f>
        <v>0</v>
      </c>
      <c r="M28" s="15"/>
      <c r="N28" s="30">
        <f>IF(H28=0,0,L28/H28)</f>
        <v>0</v>
      </c>
      <c r="O28" s="28"/>
      <c r="P28" s="32">
        <f>+P24-P26</f>
        <v>0</v>
      </c>
      <c r="Q28" s="14"/>
      <c r="R28" s="30">
        <f>IF(P$12=0,0,P28/P$12)</f>
        <v>0</v>
      </c>
      <c r="S28" s="14"/>
      <c r="T28" s="32">
        <f>+T24-T26</f>
        <v>-929.2</v>
      </c>
      <c r="U28" s="14"/>
      <c r="V28" s="30">
        <f>IF(T$12=0,0,T28/T$12)</f>
        <v>0</v>
      </c>
      <c r="W28" s="15"/>
      <c r="X28" s="32">
        <f>P28-T28</f>
        <v>929.2</v>
      </c>
      <c r="Y28" s="15"/>
      <c r="Z28" s="30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6">
        <f>SUM(D28:D30)</f>
        <v>0</v>
      </c>
      <c r="E31" s="14"/>
      <c r="F31" s="31">
        <f>IF(D$12=0,0,D31/D$12)</f>
        <v>0</v>
      </c>
      <c r="G31" s="14"/>
      <c r="H31" s="36">
        <f>SUM(H28:H30)</f>
        <v>0</v>
      </c>
      <c r="I31" s="14"/>
      <c r="J31" s="31">
        <f>IF(H$12=0,0,H31/H$12)</f>
        <v>0</v>
      </c>
      <c r="K31" s="15"/>
      <c r="L31" s="36">
        <f>+D31-H31</f>
        <v>0</v>
      </c>
      <c r="M31" s="15"/>
      <c r="N31" s="31">
        <f>IF(H31=0,0,L31/H31)</f>
        <v>0</v>
      </c>
      <c r="O31" s="28"/>
      <c r="P31" s="36">
        <f>SUM(P28:P30)</f>
        <v>0</v>
      </c>
      <c r="Q31" s="14"/>
      <c r="R31" s="31">
        <f>IF(P$12=0,0,P31/P$12)</f>
        <v>0</v>
      </c>
      <c r="S31" s="14"/>
      <c r="T31" s="36">
        <f>SUM(T28:T30)</f>
        <v>-929.2</v>
      </c>
      <c r="U31" s="14"/>
      <c r="V31" s="31">
        <f>IF(T$12=0,0,T31/T$12)</f>
        <v>0</v>
      </c>
      <c r="W31" s="15"/>
      <c r="X31" s="36">
        <f>+P31-T31</f>
        <v>929.2</v>
      </c>
      <c r="Y31" s="15"/>
      <c r="Z31" s="31">
        <f>IF(T31=0,0,X31/T31)</f>
        <v>-1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2">
        <v>43847.454251354167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6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4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","450", " - ", "Beachside Dining Hall")</f>
        <v>Department 450 - Beachside Dining Hall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189901.72</v>
      </c>
      <c r="E12" s="4"/>
      <c r="F12" s="12"/>
      <c r="G12" s="4"/>
      <c r="H12" s="4">
        <f>SUM(OSRRefH13x_0)</f>
        <v>208623.05</v>
      </c>
      <c r="I12" s="4"/>
      <c r="J12" s="12"/>
      <c r="K12" s="4"/>
      <c r="L12" s="4">
        <f t="shared" ref="L12:L15" si="0">+D12-H12</f>
        <v>-18721.329999999987</v>
      </c>
      <c r="M12" s="4"/>
      <c r="N12" s="12">
        <f t="shared" ref="N12:N15" si="1">IF(H12=0,0,L12/H12)</f>
        <v>-8.973759131601225E-2</v>
      </c>
      <c r="O12" s="10"/>
      <c r="P12" s="4">
        <f>SUM(OSRRefP13x_0)</f>
        <v>1298877.9000000001</v>
      </c>
      <c r="Q12" s="4"/>
      <c r="R12" s="12"/>
      <c r="S12" s="4"/>
      <c r="T12" s="4">
        <f>SUM(OSRRefT13x_0)</f>
        <v>1235498.75</v>
      </c>
      <c r="U12" s="4"/>
      <c r="V12" s="12"/>
      <c r="W12" s="4"/>
      <c r="X12" s="4">
        <f t="shared" ref="X12:X15" si="2">+P12-T12</f>
        <v>63379.15000000014</v>
      </c>
      <c r="Y12" s="4"/>
      <c r="Z12" s="12">
        <f t="shared" ref="Z12:Z15" si="3">IF(T12=0,0,X12/T12)</f>
        <v>5.1298433122656042E-2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-3.42</f>
        <v>-3.42</v>
      </c>
      <c r="E13" s="2"/>
      <c r="F13" s="19"/>
      <c r="G13" s="2"/>
      <c r="H13" s="2">
        <f>--47.12</f>
        <v>47.12</v>
      </c>
      <c r="I13" s="2"/>
      <c r="J13" s="19"/>
      <c r="K13" s="2"/>
      <c r="L13" s="2">
        <f t="shared" si="0"/>
        <v>-50.54</v>
      </c>
      <c r="M13" s="2"/>
      <c r="N13" s="19">
        <f t="shared" si="1"/>
        <v>-1.0725806451612903</v>
      </c>
      <c r="O13" s="11"/>
      <c r="P13" s="2">
        <f>--135.72</f>
        <v>135.72</v>
      </c>
      <c r="Q13" s="2"/>
      <c r="R13" s="19"/>
      <c r="S13" s="2"/>
      <c r="T13" s="2">
        <f>--619.81</f>
        <v>619.80999999999995</v>
      </c>
      <c r="U13" s="2"/>
      <c r="V13" s="19"/>
      <c r="W13" s="2"/>
      <c r="X13" s="2">
        <f t="shared" si="2"/>
        <v>-484.08999999999992</v>
      </c>
      <c r="Y13" s="2"/>
      <c r="Z13" s="19">
        <f t="shared" si="3"/>
        <v>-0.7810296703828592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--188547.92</f>
        <v>188547.92</v>
      </c>
      <c r="E14" s="2"/>
      <c r="F14" s="19"/>
      <c r="G14" s="2"/>
      <c r="H14" s="2">
        <f>--207389.75</f>
        <v>207389.75</v>
      </c>
      <c r="I14" s="2"/>
      <c r="J14" s="19"/>
      <c r="K14" s="2"/>
      <c r="L14" s="2">
        <f t="shared" si="0"/>
        <v>-18841.829999999987</v>
      </c>
      <c r="M14" s="2"/>
      <c r="N14" s="19">
        <f t="shared" si="1"/>
        <v>-9.0852272110844373E-2</v>
      </c>
      <c r="O14" s="11"/>
      <c r="P14" s="2">
        <f>--1292449.62</f>
        <v>1292449.6200000001</v>
      </c>
      <c r="Q14" s="2"/>
      <c r="R14" s="19"/>
      <c r="S14" s="2"/>
      <c r="T14" s="2">
        <f>--1229254.21</f>
        <v>1229254.21</v>
      </c>
      <c r="U14" s="2"/>
      <c r="V14" s="19"/>
      <c r="W14" s="2"/>
      <c r="X14" s="2">
        <f t="shared" si="2"/>
        <v>63195.410000000149</v>
      </c>
      <c r="Y14" s="2"/>
      <c r="Z14" s="19">
        <f t="shared" si="3"/>
        <v>5.1409553439723546E-2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--1357.22</f>
        <v>1357.22</v>
      </c>
      <c r="E15" s="2"/>
      <c r="F15" s="19"/>
      <c r="G15" s="2"/>
      <c r="H15" s="2">
        <f>--1186.18</f>
        <v>1186.18</v>
      </c>
      <c r="I15" s="2"/>
      <c r="J15" s="19"/>
      <c r="K15" s="2"/>
      <c r="L15" s="2">
        <f t="shared" si="0"/>
        <v>171.03999999999996</v>
      </c>
      <c r="M15" s="2"/>
      <c r="N15" s="19">
        <f t="shared" si="1"/>
        <v>0.14419396718879088</v>
      </c>
      <c r="O15" s="11"/>
      <c r="P15" s="2">
        <f>--6292.56</f>
        <v>6292.56</v>
      </c>
      <c r="Q15" s="2"/>
      <c r="R15" s="19"/>
      <c r="S15" s="2"/>
      <c r="T15" s="2">
        <f>--5624.73</f>
        <v>5624.73</v>
      </c>
      <c r="U15" s="2"/>
      <c r="V15" s="19"/>
      <c r="W15" s="2"/>
      <c r="X15" s="2">
        <f t="shared" si="2"/>
        <v>667.83000000000084</v>
      </c>
      <c r="Y15" s="2"/>
      <c r="Z15" s="19">
        <f t="shared" si="3"/>
        <v>0.11873103242288979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49979.53</v>
      </c>
      <c r="E17" s="4"/>
      <c r="F17" s="12">
        <f t="shared" ref="F17:F19" si="4">IF(D$12=0,0,D17/D$12)</f>
        <v>0.26318629446852826</v>
      </c>
      <c r="G17" s="4"/>
      <c r="H17" s="4">
        <f>SUM(OSRRefH16x_0)</f>
        <v>43249.880000000005</v>
      </c>
      <c r="I17" s="4"/>
      <c r="J17" s="12">
        <f t="shared" ref="J17:J19" si="5">IF(H$12=0,0,H17/H$12)</f>
        <v>0.20731112885177361</v>
      </c>
      <c r="K17" s="4"/>
      <c r="L17" s="4">
        <f t="shared" ref="L17:L19" si="6">+D17-H17</f>
        <v>6729.6499999999942</v>
      </c>
      <c r="M17" s="4"/>
      <c r="N17" s="12">
        <f t="shared" ref="N17:N19" si="7">IF(H17=0,0,L17/H17)</f>
        <v>0.15559927565116929</v>
      </c>
      <c r="O17" s="10"/>
      <c r="P17" s="4">
        <f>SUM(OSRRefP16x_0)</f>
        <v>297669.88</v>
      </c>
      <c r="Q17" s="4"/>
      <c r="R17" s="12">
        <f t="shared" ref="R17:R19" si="8">IF(P$12=0,0,P17/P$12)</f>
        <v>0.22917464374441968</v>
      </c>
      <c r="S17" s="4"/>
      <c r="T17" s="4">
        <f>SUM(OSRRefT16x_0)</f>
        <v>265127.2</v>
      </c>
      <c r="U17" s="4"/>
      <c r="V17" s="12">
        <f t="shared" ref="V17:V19" si="9">IF(T$12=0,0,T17/T$12)</f>
        <v>0.21459123289278925</v>
      </c>
      <c r="W17" s="4"/>
      <c r="X17" s="4">
        <f t="shared" ref="X17:X19" si="10">+P17-T17</f>
        <v>32542.679999999993</v>
      </c>
      <c r="Y17" s="4"/>
      <c r="Z17" s="12">
        <f t="shared" ref="Z17:Z19" si="11">IF(T17=0,0,X17/T17)</f>
        <v>0.12274364908617445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48021.53</v>
      </c>
      <c r="E18" s="2"/>
      <c r="F18" s="19">
        <f t="shared" si="4"/>
        <v>0.25287569801895421</v>
      </c>
      <c r="G18" s="2"/>
      <c r="H18" s="2">
        <v>41296.380000000005</v>
      </c>
      <c r="I18" s="2"/>
      <c r="J18" s="19">
        <f t="shared" si="5"/>
        <v>0.19794735049650558</v>
      </c>
      <c r="K18" s="2"/>
      <c r="L18" s="2">
        <f t="shared" si="6"/>
        <v>6725.1499999999942</v>
      </c>
      <c r="M18" s="2"/>
      <c r="N18" s="19">
        <f t="shared" si="7"/>
        <v>0.16285083583597385</v>
      </c>
      <c r="O18" s="11"/>
      <c r="P18" s="2">
        <v>298551.88</v>
      </c>
      <c r="Q18" s="2"/>
      <c r="R18" s="19">
        <f t="shared" si="8"/>
        <v>0.22985369140548159</v>
      </c>
      <c r="S18" s="2"/>
      <c r="T18" s="2">
        <v>268573.7</v>
      </c>
      <c r="U18" s="2"/>
      <c r="V18" s="19">
        <f t="shared" si="9"/>
        <v>0.21738079459813295</v>
      </c>
      <c r="W18" s="2"/>
      <c r="X18" s="2">
        <f t="shared" si="10"/>
        <v>29978.179999999993</v>
      </c>
      <c r="Y18" s="2"/>
      <c r="Z18" s="19">
        <f t="shared" si="11"/>
        <v>0.11161993895902686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1958</v>
      </c>
      <c r="E19" s="2"/>
      <c r="F19" s="19">
        <f t="shared" si="4"/>
        <v>1.0310596449574022E-2</v>
      </c>
      <c r="G19" s="2"/>
      <c r="H19" s="2">
        <v>1953.5</v>
      </c>
      <c r="I19" s="2"/>
      <c r="J19" s="19">
        <f t="shared" si="5"/>
        <v>9.36377835526803E-3</v>
      </c>
      <c r="K19" s="2"/>
      <c r="L19" s="2">
        <f t="shared" si="6"/>
        <v>4.5</v>
      </c>
      <c r="M19" s="2"/>
      <c r="N19" s="19">
        <f t="shared" si="7"/>
        <v>2.3035577169183519E-3</v>
      </c>
      <c r="O19" s="11"/>
      <c r="P19" s="2">
        <v>-882</v>
      </c>
      <c r="Q19" s="2"/>
      <c r="R19" s="19">
        <f t="shared" si="8"/>
        <v>-6.7904766106190574E-4</v>
      </c>
      <c r="S19" s="2"/>
      <c r="T19" s="2">
        <v>-3446.5</v>
      </c>
      <c r="U19" s="2"/>
      <c r="V19" s="19">
        <f t="shared" si="9"/>
        <v>-2.7895617053436922E-3</v>
      </c>
      <c r="W19" s="2"/>
      <c r="X19" s="2">
        <f t="shared" si="10"/>
        <v>2564.5</v>
      </c>
      <c r="Y19" s="2"/>
      <c r="Z19" s="19">
        <f t="shared" si="11"/>
        <v>-0.74408820542579424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0">
        <f>D12-D17</f>
        <v>139922.19</v>
      </c>
      <c r="E21" s="14"/>
      <c r="F21" s="21">
        <f>IF(D$12=0,0,D21/D$12)</f>
        <v>0.73681370553147174</v>
      </c>
      <c r="G21" s="14"/>
      <c r="H21" s="20">
        <f>H12-H17</f>
        <v>165373.16999999998</v>
      </c>
      <c r="I21" s="14"/>
      <c r="J21" s="21">
        <f>IF(H$12=0,0,H21/H$12)</f>
        <v>0.79268887114822639</v>
      </c>
      <c r="K21" s="15"/>
      <c r="L21" s="20">
        <f>+D21-H21</f>
        <v>-25450.979999999981</v>
      </c>
      <c r="M21" s="15"/>
      <c r="N21" s="21">
        <f>IF(H21=0,0,L21/H21)</f>
        <v>-0.1539002971280044</v>
      </c>
      <c r="O21" s="28"/>
      <c r="P21" s="20">
        <f>P12-P17</f>
        <v>1001208.0200000001</v>
      </c>
      <c r="Q21" s="14"/>
      <c r="R21" s="21">
        <f>IF(P$12=0,0,P21/P$12)</f>
        <v>0.77082535625558035</v>
      </c>
      <c r="S21" s="14"/>
      <c r="T21" s="20">
        <f>T12-T17</f>
        <v>970371.55</v>
      </c>
      <c r="U21" s="14"/>
      <c r="V21" s="21">
        <f>IF(T$12=0,0,T21/T$12)</f>
        <v>0.78540876710721075</v>
      </c>
      <c r="W21" s="15"/>
      <c r="X21" s="20">
        <f>+P21-T21</f>
        <v>30836.470000000088</v>
      </c>
      <c r="Y21" s="15"/>
      <c r="Z21" s="21">
        <f>IF(T21=0,0,X21/T21)</f>
        <v>3.1778002972160602E-2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110386.48</v>
      </c>
      <c r="E23" s="22"/>
      <c r="F23" s="33">
        <f t="shared" ref="F23:F33" si="12">IF(D$12=0,0,D23/D$12)</f>
        <v>0.58128214952450141</v>
      </c>
      <c r="G23" s="22"/>
      <c r="H23" s="22">
        <f>SUM(OSRRefH22x_0)</f>
        <v>101874.03000000001</v>
      </c>
      <c r="I23" s="22"/>
      <c r="J23" s="33">
        <f t="shared" ref="J23:J33" si="13">IF(H$12=0,0,H23/H$12)</f>
        <v>0.48831627185970111</v>
      </c>
      <c r="K23" s="4"/>
      <c r="L23" s="22">
        <f t="shared" ref="L23:L33" si="14">+D23-H23</f>
        <v>8512.4499999999825</v>
      </c>
      <c r="M23" s="4"/>
      <c r="N23" s="33">
        <f t="shared" ref="N23:N33" si="15">IF(H23=0,0,L23/H23)</f>
        <v>8.3558587011822158E-2</v>
      </c>
      <c r="O23" s="10"/>
      <c r="P23" s="22">
        <f>SUM(OSRRefP22x_0)</f>
        <v>746495.72</v>
      </c>
      <c r="Q23" s="22"/>
      <c r="R23" s="33">
        <f t="shared" ref="R23:R33" si="16">IF(P$12=0,0,P23/P$12)</f>
        <v>0.57472355176725998</v>
      </c>
      <c r="S23" s="22"/>
      <c r="T23" s="22">
        <f>SUM(OSRRefT22x_0)</f>
        <v>630238.78999999969</v>
      </c>
      <c r="U23" s="22"/>
      <c r="V23" s="33">
        <f t="shared" ref="V23:V33" si="17">IF(T$12=0,0,T23/T$12)</f>
        <v>0.51010880423796434</v>
      </c>
      <c r="W23" s="4"/>
      <c r="X23" s="22">
        <f t="shared" ref="X23:X33" si="18">+P23-T23</f>
        <v>116256.93000000028</v>
      </c>
      <c r="Y23" s="4"/>
      <c r="Z23" s="33">
        <f t="shared" ref="Z23:Z33" si="19">IF(T23=0,0,X23/T23)</f>
        <v>0.18446489147391315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28392.95</v>
      </c>
      <c r="E24" s="1"/>
      <c r="F24" s="5">
        <f t="shared" si="12"/>
        <v>0.14951391698821895</v>
      </c>
      <c r="G24" s="1"/>
      <c r="H24" s="1">
        <f>SUM(OSRRefH22_0x_0)</f>
        <v>23544.480000000003</v>
      </c>
      <c r="I24" s="1"/>
      <c r="J24" s="5">
        <f t="shared" si="13"/>
        <v>0.11285656115179989</v>
      </c>
      <c r="K24" s="1"/>
      <c r="L24" s="1">
        <f t="shared" si="14"/>
        <v>4848.4699999999975</v>
      </c>
      <c r="M24" s="1"/>
      <c r="N24" s="5">
        <f t="shared" si="15"/>
        <v>0.20592809864562719</v>
      </c>
      <c r="O24" s="13"/>
      <c r="P24" s="1">
        <f>SUM(OSRRefP22_0x_0)</f>
        <v>160620.49000000002</v>
      </c>
      <c r="Q24" s="1"/>
      <c r="R24" s="5">
        <f t="shared" si="16"/>
        <v>0.12366096151147078</v>
      </c>
      <c r="S24" s="1"/>
      <c r="T24" s="1">
        <f>SUM(OSRRefT22_0x_0)</f>
        <v>148361.59</v>
      </c>
      <c r="U24" s="1"/>
      <c r="V24" s="5">
        <f t="shared" si="17"/>
        <v>0.12008234731115673</v>
      </c>
      <c r="W24" s="1"/>
      <c r="X24" s="1">
        <f t="shared" si="18"/>
        <v>12258.900000000023</v>
      </c>
      <c r="Y24" s="1"/>
      <c r="Z24" s="5">
        <f t="shared" si="19"/>
        <v>8.2628529392277494E-2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3381.32</v>
      </c>
      <c r="E25" s="2"/>
      <c r="F25" s="7">
        <f t="shared" si="12"/>
        <v>1.7805631249680098E-2</v>
      </c>
      <c r="G25" s="2"/>
      <c r="H25" s="6">
        <v>2737.22</v>
      </c>
      <c r="I25" s="2"/>
      <c r="J25" s="7">
        <f t="shared" si="13"/>
        <v>1.3120410232713979E-2</v>
      </c>
      <c r="K25" s="2"/>
      <c r="L25" s="6">
        <f t="shared" si="14"/>
        <v>644.10000000000036</v>
      </c>
      <c r="M25" s="2"/>
      <c r="N25" s="7">
        <f t="shared" si="15"/>
        <v>0.23531173964825641</v>
      </c>
      <c r="O25" s="11"/>
      <c r="P25" s="6">
        <v>23019.99</v>
      </c>
      <c r="Q25" s="2"/>
      <c r="R25" s="7">
        <f t="shared" si="16"/>
        <v>1.7722982275701203E-2</v>
      </c>
      <c r="S25" s="2"/>
      <c r="T25" s="6">
        <v>18686.310000000001</v>
      </c>
      <c r="U25" s="2"/>
      <c r="V25" s="7">
        <f t="shared" si="17"/>
        <v>1.512450741046885E-2</v>
      </c>
      <c r="W25" s="2"/>
      <c r="X25" s="6">
        <f t="shared" si="18"/>
        <v>4333.68</v>
      </c>
      <c r="Y25" s="2"/>
      <c r="Z25" s="7">
        <f t="shared" si="19"/>
        <v>0.2319173769460102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3596.13</v>
      </c>
      <c r="E26" s="2"/>
      <c r="F26" s="7">
        <f t="shared" si="12"/>
        <v>1.8936795306540667E-2</v>
      </c>
      <c r="G26" s="2"/>
      <c r="H26" s="6">
        <v>2718.88</v>
      </c>
      <c r="I26" s="2"/>
      <c r="J26" s="7">
        <f t="shared" si="13"/>
        <v>1.3032500483527588E-2</v>
      </c>
      <c r="K26" s="2"/>
      <c r="L26" s="6">
        <f t="shared" si="14"/>
        <v>877.25</v>
      </c>
      <c r="M26" s="2"/>
      <c r="N26" s="7">
        <f t="shared" si="15"/>
        <v>0.32265123874536572</v>
      </c>
      <c r="O26" s="11"/>
      <c r="P26" s="6">
        <v>12791.97</v>
      </c>
      <c r="Q26" s="2"/>
      <c r="R26" s="7">
        <f t="shared" si="16"/>
        <v>9.8484776744603916E-3</v>
      </c>
      <c r="S26" s="2"/>
      <c r="T26" s="6">
        <v>13000.21</v>
      </c>
      <c r="U26" s="2"/>
      <c r="V26" s="7">
        <f t="shared" si="17"/>
        <v>1.0522236465233169E-2</v>
      </c>
      <c r="W26" s="2"/>
      <c r="X26" s="6">
        <f t="shared" si="18"/>
        <v>-208.23999999999978</v>
      </c>
      <c r="Y26" s="2"/>
      <c r="Z26" s="7">
        <f t="shared" si="19"/>
        <v>-1.6018202782878108E-2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14845.84</v>
      </c>
      <c r="E27" s="2"/>
      <c r="F27" s="7">
        <f t="shared" si="12"/>
        <v>7.8176437791084782E-2</v>
      </c>
      <c r="G27" s="2"/>
      <c r="H27" s="6">
        <v>12821.66</v>
      </c>
      <c r="I27" s="2"/>
      <c r="J27" s="7">
        <f t="shared" si="13"/>
        <v>6.145850134968308E-2</v>
      </c>
      <c r="K27" s="2"/>
      <c r="L27" s="6">
        <f t="shared" si="14"/>
        <v>2024.1800000000003</v>
      </c>
      <c r="M27" s="2"/>
      <c r="N27" s="7">
        <f t="shared" si="15"/>
        <v>0.1578719136211692</v>
      </c>
      <c r="O27" s="11"/>
      <c r="P27" s="6">
        <v>81979.090000000011</v>
      </c>
      <c r="Q27" s="2"/>
      <c r="R27" s="7">
        <f t="shared" si="16"/>
        <v>6.3115316689890566E-2</v>
      </c>
      <c r="S27" s="2"/>
      <c r="T27" s="6">
        <v>75490.77</v>
      </c>
      <c r="U27" s="2"/>
      <c r="V27" s="7">
        <f t="shared" si="17"/>
        <v>6.1101453967476703E-2</v>
      </c>
      <c r="W27" s="2"/>
      <c r="X27" s="6">
        <f t="shared" si="18"/>
        <v>6488.320000000007</v>
      </c>
      <c r="Y27" s="2"/>
      <c r="Z27" s="7">
        <f t="shared" si="19"/>
        <v>8.5948520593974689E-2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240.99</v>
      </c>
      <c r="E28" s="2"/>
      <c r="F28" s="7">
        <f t="shared" si="12"/>
        <v>1.2690248408492562E-3</v>
      </c>
      <c r="G28" s="2"/>
      <c r="H28" s="6">
        <v>204.36</v>
      </c>
      <c r="I28" s="2"/>
      <c r="J28" s="7">
        <f t="shared" si="13"/>
        <v>9.7956577664836189E-4</v>
      </c>
      <c r="K28" s="2"/>
      <c r="L28" s="6">
        <f t="shared" si="14"/>
        <v>36.629999999999995</v>
      </c>
      <c r="M28" s="2"/>
      <c r="N28" s="7">
        <f t="shared" si="15"/>
        <v>0.17924251321197882</v>
      </c>
      <c r="O28" s="11"/>
      <c r="P28" s="6">
        <v>1100.3800000000001</v>
      </c>
      <c r="Q28" s="2"/>
      <c r="R28" s="7">
        <f t="shared" si="16"/>
        <v>8.471773982758503E-4</v>
      </c>
      <c r="S28" s="2"/>
      <c r="T28" s="6">
        <v>973.89</v>
      </c>
      <c r="U28" s="2"/>
      <c r="V28" s="7">
        <f t="shared" si="17"/>
        <v>7.8825656440364674E-4</v>
      </c>
      <c r="W28" s="2"/>
      <c r="X28" s="6">
        <f t="shared" si="18"/>
        <v>126.49000000000012</v>
      </c>
      <c r="Y28" s="2"/>
      <c r="Z28" s="7">
        <f t="shared" si="19"/>
        <v>0.12988119808191903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959.64</v>
      </c>
      <c r="E29" s="2"/>
      <c r="F29" s="7">
        <f t="shared" si="12"/>
        <v>5.0533507542743685E-3</v>
      </c>
      <c r="G29" s="2"/>
      <c r="H29" s="6">
        <v>841.53</v>
      </c>
      <c r="I29" s="2"/>
      <c r="J29" s="7">
        <f t="shared" si="13"/>
        <v>4.0337345274167932E-3</v>
      </c>
      <c r="K29" s="2"/>
      <c r="L29" s="6">
        <f t="shared" si="14"/>
        <v>118.11000000000001</v>
      </c>
      <c r="M29" s="2"/>
      <c r="N29" s="7">
        <f t="shared" si="15"/>
        <v>0.14035150262022747</v>
      </c>
      <c r="O29" s="11"/>
      <c r="P29" s="6">
        <v>6883.88</v>
      </c>
      <c r="Q29" s="2"/>
      <c r="R29" s="7">
        <f t="shared" si="16"/>
        <v>5.2998669081982218E-3</v>
      </c>
      <c r="S29" s="2"/>
      <c r="T29" s="6">
        <v>6397.61</v>
      </c>
      <c r="U29" s="2"/>
      <c r="V29" s="7">
        <f t="shared" si="17"/>
        <v>5.1781598322135089E-3</v>
      </c>
      <c r="W29" s="2"/>
      <c r="X29" s="6">
        <f t="shared" si="18"/>
        <v>486.27000000000044</v>
      </c>
      <c r="Y29" s="2"/>
      <c r="Z29" s="7">
        <f t="shared" si="19"/>
        <v>7.6008071764299551E-2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535.86</v>
      </c>
      <c r="E30" s="2"/>
      <c r="F30" s="7">
        <f t="shared" si="12"/>
        <v>2.8217753899227455E-3</v>
      </c>
      <c r="G30" s="2"/>
      <c r="H30" s="6">
        <v>384.54</v>
      </c>
      <c r="I30" s="2"/>
      <c r="J30" s="7">
        <f t="shared" si="13"/>
        <v>1.8432287323955816E-3</v>
      </c>
      <c r="K30" s="2"/>
      <c r="L30" s="6">
        <f t="shared" si="14"/>
        <v>151.32</v>
      </c>
      <c r="M30" s="2"/>
      <c r="N30" s="7">
        <f t="shared" si="15"/>
        <v>0.39350912778904662</v>
      </c>
      <c r="O30" s="11"/>
      <c r="P30" s="6">
        <v>2907.37</v>
      </c>
      <c r="Q30" s="2"/>
      <c r="R30" s="7">
        <f t="shared" si="16"/>
        <v>2.2383705196616244E-3</v>
      </c>
      <c r="S30" s="2"/>
      <c r="T30" s="6">
        <v>2571.36</v>
      </c>
      <c r="U30" s="2"/>
      <c r="V30" s="7">
        <f t="shared" si="17"/>
        <v>2.0812323768032953E-3</v>
      </c>
      <c r="W30" s="2"/>
      <c r="X30" s="6">
        <f t="shared" si="18"/>
        <v>336.00999999999976</v>
      </c>
      <c r="Y30" s="2"/>
      <c r="Z30" s="7">
        <f t="shared" si="19"/>
        <v>0.13067404019662737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2150.6</v>
      </c>
      <c r="E31" s="2"/>
      <c r="F31" s="7">
        <f t="shared" si="12"/>
        <v>1.1324805272959086E-2</v>
      </c>
      <c r="G31" s="2"/>
      <c r="H31" s="6">
        <v>1924.16</v>
      </c>
      <c r="I31" s="2"/>
      <c r="J31" s="7">
        <f t="shared" si="13"/>
        <v>9.2231419299065951E-3</v>
      </c>
      <c r="K31" s="2"/>
      <c r="L31" s="6">
        <f t="shared" si="14"/>
        <v>226.43999999999983</v>
      </c>
      <c r="M31" s="2"/>
      <c r="N31" s="7">
        <f t="shared" si="15"/>
        <v>0.11768252120405778</v>
      </c>
      <c r="O31" s="11"/>
      <c r="P31" s="6">
        <v>14204.39</v>
      </c>
      <c r="Q31" s="2"/>
      <c r="R31" s="7">
        <f t="shared" si="16"/>
        <v>1.0935893204434379E-2</v>
      </c>
      <c r="S31" s="2"/>
      <c r="T31" s="6">
        <v>13632</v>
      </c>
      <c r="U31" s="2"/>
      <c r="V31" s="7">
        <f t="shared" si="17"/>
        <v>1.1033600802914613E-2</v>
      </c>
      <c r="W31" s="2"/>
      <c r="X31" s="6">
        <f t="shared" si="18"/>
        <v>572.38999999999942</v>
      </c>
      <c r="Y31" s="2"/>
      <c r="Z31" s="7">
        <f t="shared" si="19"/>
        <v>4.198870305164315E-2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1637.12</v>
      </c>
      <c r="E32" s="2"/>
      <c r="F32" s="7">
        <f t="shared" si="12"/>
        <v>8.6208803164078765E-3</v>
      </c>
      <c r="G32" s="2"/>
      <c r="H32" s="6">
        <v>1249.5</v>
      </c>
      <c r="I32" s="2"/>
      <c r="J32" s="7">
        <f t="shared" si="13"/>
        <v>5.9892710800652183E-3</v>
      </c>
      <c r="K32" s="2"/>
      <c r="L32" s="6">
        <f t="shared" si="14"/>
        <v>387.61999999999989</v>
      </c>
      <c r="M32" s="2"/>
      <c r="N32" s="7">
        <f t="shared" si="15"/>
        <v>0.310220088035214</v>
      </c>
      <c r="O32" s="11"/>
      <c r="P32" s="6">
        <v>11138.38</v>
      </c>
      <c r="Q32" s="2"/>
      <c r="R32" s="7">
        <f t="shared" si="16"/>
        <v>8.5753864932184912E-3</v>
      </c>
      <c r="S32" s="2"/>
      <c r="T32" s="6">
        <v>11254.58</v>
      </c>
      <c r="U32" s="2"/>
      <c r="V32" s="7">
        <f t="shared" si="17"/>
        <v>9.1093414703980885E-3</v>
      </c>
      <c r="W32" s="2"/>
      <c r="X32" s="6">
        <f t="shared" si="18"/>
        <v>-116.20000000000073</v>
      </c>
      <c r="Y32" s="2"/>
      <c r="Z32" s="7">
        <f t="shared" si="19"/>
        <v>-1.0324685594664637E-2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1045.45</v>
      </c>
      <c r="E33" s="2"/>
      <c r="F33" s="7">
        <f t="shared" si="12"/>
        <v>5.5052160665000826E-3</v>
      </c>
      <c r="G33" s="2"/>
      <c r="H33" s="6">
        <v>662.63</v>
      </c>
      <c r="I33" s="2"/>
      <c r="J33" s="7">
        <f t="shared" si="13"/>
        <v>3.1762070394426695E-3</v>
      </c>
      <c r="K33" s="2"/>
      <c r="L33" s="6">
        <f t="shared" si="14"/>
        <v>382.82000000000005</v>
      </c>
      <c r="M33" s="2"/>
      <c r="N33" s="7">
        <f t="shared" si="15"/>
        <v>0.5777281439113835</v>
      </c>
      <c r="O33" s="11"/>
      <c r="P33" s="6">
        <v>6595.04</v>
      </c>
      <c r="Q33" s="2"/>
      <c r="R33" s="7">
        <f t="shared" si="16"/>
        <v>5.077490347630058E-3</v>
      </c>
      <c r="S33" s="2"/>
      <c r="T33" s="6">
        <v>6354.86</v>
      </c>
      <c r="U33" s="2"/>
      <c r="V33" s="7">
        <f t="shared" si="17"/>
        <v>5.1435584212448614E-3</v>
      </c>
      <c r="W33" s="2"/>
      <c r="X33" s="6">
        <f t="shared" si="18"/>
        <v>240.18000000000029</v>
      </c>
      <c r="Y33" s="2"/>
      <c r="Z33" s="7">
        <f t="shared" si="19"/>
        <v>3.779469571320223E-2</v>
      </c>
    </row>
    <row r="34" spans="1:26" s="27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56581.26</v>
      </c>
      <c r="E34" s="1"/>
      <c r="F34" s="5">
        <f t="shared" ref="F34:F40" si="20">IF(D$12=0,0,D34/D$12)</f>
        <v>0.29795022393688692</v>
      </c>
      <c r="G34" s="1"/>
      <c r="H34" s="1">
        <f>SUM(OSRRefH22_1x_0)</f>
        <v>51358.89</v>
      </c>
      <c r="I34" s="1"/>
      <c r="J34" s="5">
        <f t="shared" ref="J34:J40" si="21">IF(H$12=0,0,H34/H$12)</f>
        <v>0.2461803237945184</v>
      </c>
      <c r="K34" s="1"/>
      <c r="L34" s="1">
        <f t="shared" ref="L34:L40" si="22">+D34-H34</f>
        <v>5222.3700000000026</v>
      </c>
      <c r="M34" s="1"/>
      <c r="N34" s="5">
        <f t="shared" ref="N34:N40" si="23">IF(H34=0,0,L34/H34)</f>
        <v>0.10168385648521615</v>
      </c>
      <c r="O34" s="13"/>
      <c r="P34" s="1">
        <f>SUM(OSRRefP22_1x_0)</f>
        <v>393344.73</v>
      </c>
      <c r="Q34" s="1"/>
      <c r="R34" s="5">
        <f t="shared" ref="R34:R40" si="24">IF(P$12=0,0,P34/P$12)</f>
        <v>0.30283426178857914</v>
      </c>
      <c r="S34" s="1"/>
      <c r="T34" s="1">
        <f>SUM(OSRRefT22_1x_0)</f>
        <v>323306.2</v>
      </c>
      <c r="U34" s="1"/>
      <c r="V34" s="5">
        <f t="shared" ref="V34:V40" si="25">IF(T$12=0,0,T34/T$12)</f>
        <v>0.26168071800962972</v>
      </c>
      <c r="W34" s="1"/>
      <c r="X34" s="1">
        <f t="shared" ref="X34:X40" si="26">+P34-T34</f>
        <v>70038.52999999997</v>
      </c>
      <c r="Y34" s="1"/>
      <c r="Z34" s="5">
        <f t="shared" ref="Z34:Z40" si="27">IF(T34=0,0,X34/T34)</f>
        <v>0.21663218954662783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8919.41</v>
      </c>
      <c r="E35" s="2"/>
      <c r="F35" s="7">
        <f t="shared" si="20"/>
        <v>4.6968558262663447E-2</v>
      </c>
      <c r="G35" s="2"/>
      <c r="H35" s="6">
        <v>8524</v>
      </c>
      <c r="I35" s="2"/>
      <c r="J35" s="7">
        <f t="shared" si="21"/>
        <v>4.0858380701461319E-2</v>
      </c>
      <c r="K35" s="2"/>
      <c r="L35" s="6">
        <f t="shared" si="22"/>
        <v>395.40999999999985</v>
      </c>
      <c r="M35" s="2"/>
      <c r="N35" s="7">
        <f t="shared" si="23"/>
        <v>4.6387846081651793E-2</v>
      </c>
      <c r="O35" s="11"/>
      <c r="P35" s="6">
        <v>58400.780000000006</v>
      </c>
      <c r="Q35" s="2"/>
      <c r="R35" s="7">
        <f t="shared" si="24"/>
        <v>4.4962486466202864E-2</v>
      </c>
      <c r="S35" s="2"/>
      <c r="T35" s="6">
        <v>54557.93</v>
      </c>
      <c r="U35" s="2"/>
      <c r="V35" s="7">
        <f t="shared" si="25"/>
        <v>4.4158628246285157E-2</v>
      </c>
      <c r="W35" s="2"/>
      <c r="X35" s="6">
        <f t="shared" si="26"/>
        <v>3842.8500000000058</v>
      </c>
      <c r="Y35" s="2"/>
      <c r="Z35" s="7">
        <f t="shared" si="27"/>
        <v>7.043614008082795E-2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20428.36</v>
      </c>
      <c r="E36" s="2"/>
      <c r="F36" s="7">
        <f t="shared" si="20"/>
        <v>0.10757332792983655</v>
      </c>
      <c r="G36" s="2"/>
      <c r="H36" s="6">
        <v>16769.929999999997</v>
      </c>
      <c r="I36" s="2"/>
      <c r="J36" s="7">
        <f t="shared" si="21"/>
        <v>8.0383878962559496E-2</v>
      </c>
      <c r="K36" s="2"/>
      <c r="L36" s="6">
        <f t="shared" si="22"/>
        <v>3658.4300000000039</v>
      </c>
      <c r="M36" s="2"/>
      <c r="N36" s="7">
        <f t="shared" si="23"/>
        <v>0.21815416045266764</v>
      </c>
      <c r="O36" s="11"/>
      <c r="P36" s="6">
        <v>128684.32</v>
      </c>
      <c r="Q36" s="2"/>
      <c r="R36" s="7">
        <f t="shared" si="24"/>
        <v>9.9073454094491864E-2</v>
      </c>
      <c r="S36" s="2"/>
      <c r="T36" s="6">
        <v>108267.87999999999</v>
      </c>
      <c r="U36" s="2"/>
      <c r="V36" s="7">
        <f t="shared" si="25"/>
        <v>8.7630910189103781E-2</v>
      </c>
      <c r="W36" s="2"/>
      <c r="X36" s="6">
        <f t="shared" si="26"/>
        <v>20416.440000000017</v>
      </c>
      <c r="Y36" s="2"/>
      <c r="Z36" s="7">
        <f t="shared" si="27"/>
        <v>0.18857337928848353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10609.24</v>
      </c>
      <c r="E37" s="2"/>
      <c r="F37" s="7">
        <f t="shared" si="20"/>
        <v>5.5867003205658169E-2</v>
      </c>
      <c r="G37" s="2"/>
      <c r="H37" s="6">
        <v>8394.7099999999991</v>
      </c>
      <c r="I37" s="2"/>
      <c r="J37" s="7">
        <f t="shared" si="21"/>
        <v>4.0238650523036643E-2</v>
      </c>
      <c r="K37" s="2"/>
      <c r="L37" s="6">
        <f t="shared" si="22"/>
        <v>2214.5300000000007</v>
      </c>
      <c r="M37" s="2"/>
      <c r="N37" s="7">
        <f t="shared" si="23"/>
        <v>0.2638006554127541</v>
      </c>
      <c r="O37" s="11"/>
      <c r="P37" s="6">
        <v>71130.720000000001</v>
      </c>
      <c r="Q37" s="2"/>
      <c r="R37" s="7">
        <f t="shared" si="24"/>
        <v>5.4763207534749794E-2</v>
      </c>
      <c r="S37" s="2"/>
      <c r="T37" s="6">
        <v>51046.689999999995</v>
      </c>
      <c r="U37" s="2"/>
      <c r="V37" s="7">
        <f t="shared" si="25"/>
        <v>4.1316666649804379E-2</v>
      </c>
      <c r="W37" s="2"/>
      <c r="X37" s="6">
        <f t="shared" si="26"/>
        <v>20084.030000000006</v>
      </c>
      <c r="Y37" s="2"/>
      <c r="Z37" s="7">
        <f t="shared" si="27"/>
        <v>0.39344431539047897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>
        <v>580</v>
      </c>
      <c r="E38" s="2"/>
      <c r="F38" s="7">
        <f t="shared" si="20"/>
        <v>3.0542114099861759E-3</v>
      </c>
      <c r="G38" s="2"/>
      <c r="H38" s="6"/>
      <c r="I38" s="2"/>
      <c r="J38" s="7">
        <f t="shared" si="21"/>
        <v>0</v>
      </c>
      <c r="K38" s="2"/>
      <c r="L38" s="6">
        <f t="shared" si="22"/>
        <v>580</v>
      </c>
      <c r="M38" s="2"/>
      <c r="N38" s="7">
        <f t="shared" si="23"/>
        <v>0</v>
      </c>
      <c r="O38" s="11"/>
      <c r="P38" s="6">
        <v>10378.219999999999</v>
      </c>
      <c r="Q38" s="2"/>
      <c r="R38" s="7">
        <f t="shared" si="24"/>
        <v>7.9901428764012367E-3</v>
      </c>
      <c r="S38" s="2"/>
      <c r="T38" s="6"/>
      <c r="U38" s="2"/>
      <c r="V38" s="7">
        <f t="shared" si="25"/>
        <v>0</v>
      </c>
      <c r="W38" s="2"/>
      <c r="X38" s="6">
        <f t="shared" si="26"/>
        <v>10378.219999999999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10780.75</v>
      </c>
      <c r="E39" s="2"/>
      <c r="F39" s="7">
        <f t="shared" si="20"/>
        <v>5.6770154583118043E-2</v>
      </c>
      <c r="G39" s="2"/>
      <c r="H39" s="6">
        <v>11486.87</v>
      </c>
      <c r="I39" s="2"/>
      <c r="J39" s="7">
        <f t="shared" si="21"/>
        <v>5.5060406795893364E-2</v>
      </c>
      <c r="K39" s="2"/>
      <c r="L39" s="6">
        <f t="shared" si="22"/>
        <v>-706.1200000000008</v>
      </c>
      <c r="M39" s="2"/>
      <c r="N39" s="7">
        <f t="shared" si="23"/>
        <v>-6.1471924031524752E-2</v>
      </c>
      <c r="O39" s="11"/>
      <c r="P39" s="6">
        <v>85063.69</v>
      </c>
      <c r="Q39" s="2"/>
      <c r="R39" s="7">
        <f t="shared" si="24"/>
        <v>6.5490135754869644E-2</v>
      </c>
      <c r="S39" s="2"/>
      <c r="T39" s="6">
        <v>77801.799999999988</v>
      </c>
      <c r="U39" s="2"/>
      <c r="V39" s="7">
        <f t="shared" si="25"/>
        <v>6.2971977915801197E-2</v>
      </c>
      <c r="W39" s="2"/>
      <c r="X39" s="6">
        <f t="shared" si="26"/>
        <v>7261.890000000014</v>
      </c>
      <c r="Y39" s="2"/>
      <c r="Z39" s="7">
        <f t="shared" si="27"/>
        <v>9.333832893326395E-2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5263.5</v>
      </c>
      <c r="E40" s="2"/>
      <c r="F40" s="7">
        <f t="shared" si="20"/>
        <v>2.7716968545624547E-2</v>
      </c>
      <c r="G40" s="2"/>
      <c r="H40" s="6">
        <v>6183.38</v>
      </c>
      <c r="I40" s="2"/>
      <c r="J40" s="7">
        <f t="shared" si="21"/>
        <v>2.9639006811567562E-2</v>
      </c>
      <c r="K40" s="2"/>
      <c r="L40" s="6">
        <f t="shared" si="22"/>
        <v>-919.88000000000011</v>
      </c>
      <c r="M40" s="2"/>
      <c r="N40" s="7">
        <f t="shared" si="23"/>
        <v>-0.14876653222024203</v>
      </c>
      <c r="O40" s="11"/>
      <c r="P40" s="6">
        <v>39687</v>
      </c>
      <c r="Q40" s="2"/>
      <c r="R40" s="7">
        <f t="shared" si="24"/>
        <v>3.055483506186378E-2</v>
      </c>
      <c r="S40" s="2"/>
      <c r="T40" s="6">
        <v>31631.900000000005</v>
      </c>
      <c r="U40" s="2"/>
      <c r="V40" s="7">
        <f t="shared" si="25"/>
        <v>2.5602535008635182E-2</v>
      </c>
      <c r="W40" s="2"/>
      <c r="X40" s="6">
        <f t="shared" si="26"/>
        <v>8055.0999999999949</v>
      </c>
      <c r="Y40" s="2"/>
      <c r="Z40" s="7">
        <f t="shared" si="27"/>
        <v>0.25465115911469099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8">IF(D$12=0,0,D41/D$12)</f>
        <v>0</v>
      </c>
      <c r="G41" s="1"/>
      <c r="H41" s="1">
        <f>SUM(OSRRefH22_2x_0)</f>
        <v>42</v>
      </c>
      <c r="I41" s="1"/>
      <c r="J41" s="5">
        <f t="shared" ref="J41:J62" si="29">IF(H$12=0,0,H41/H$12)</f>
        <v>2.0132003630471323E-4</v>
      </c>
      <c r="K41" s="1"/>
      <c r="L41" s="1">
        <f t="shared" ref="L41:L62" si="30">+D41-H41</f>
        <v>-42</v>
      </c>
      <c r="M41" s="1"/>
      <c r="N41" s="5">
        <f t="shared" ref="N41:N62" si="31">IF(H41=0,0,L41/H41)</f>
        <v>-1</v>
      </c>
      <c r="O41" s="13"/>
      <c r="P41" s="1">
        <f>SUM(OSRRefP22_2x_0)</f>
        <v>2809.67</v>
      </c>
      <c r="Q41" s="1"/>
      <c r="R41" s="5">
        <f t="shared" ref="R41:R62" si="32">IF(P$12=0,0,P41/P$12)</f>
        <v>2.1631517481358331E-3</v>
      </c>
      <c r="S41" s="1"/>
      <c r="T41" s="1">
        <f>SUM(OSRRefT22_2x_0)</f>
        <v>3223.16</v>
      </c>
      <c r="U41" s="1"/>
      <c r="V41" s="5">
        <f t="shared" ref="V41:V62" si="33">IF(T$12=0,0,T41/T$12)</f>
        <v>2.6087926029872551E-3</v>
      </c>
      <c r="W41" s="1"/>
      <c r="X41" s="1">
        <f t="shared" ref="X41:X62" si="34">+P41-T41</f>
        <v>-413.48999999999978</v>
      </c>
      <c r="Y41" s="1"/>
      <c r="Z41" s="5">
        <f t="shared" ref="Z41:Z62" si="35">IF(T41=0,0,X41/T41)</f>
        <v>-0.12828714677521433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42</v>
      </c>
      <c r="I42" s="2"/>
      <c r="J42" s="7">
        <f t="shared" si="29"/>
        <v>2.0132003630471323E-4</v>
      </c>
      <c r="K42" s="2"/>
      <c r="L42" s="6">
        <f t="shared" si="30"/>
        <v>-42</v>
      </c>
      <c r="M42" s="2"/>
      <c r="N42" s="7">
        <f t="shared" si="31"/>
        <v>-1</v>
      </c>
      <c r="O42" s="11"/>
      <c r="P42" s="6">
        <v>2809.67</v>
      </c>
      <c r="Q42" s="2"/>
      <c r="R42" s="7">
        <f t="shared" si="32"/>
        <v>2.1631517481358331E-3</v>
      </c>
      <c r="S42" s="2"/>
      <c r="T42" s="6">
        <v>3223.16</v>
      </c>
      <c r="U42" s="2"/>
      <c r="V42" s="7">
        <f t="shared" si="33"/>
        <v>2.6087926029872551E-3</v>
      </c>
      <c r="W42" s="2"/>
      <c r="X42" s="6">
        <f t="shared" si="34"/>
        <v>-413.48999999999978</v>
      </c>
      <c r="Y42" s="2"/>
      <c r="Z42" s="7">
        <f t="shared" si="35"/>
        <v>-0.12828714677521433</v>
      </c>
    </row>
    <row r="43" spans="1:26" s="27" customFormat="1" outlineLevel="1" collapsed="1" x14ac:dyDescent="0.25">
      <c r="A43" s="25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-0.79</v>
      </c>
      <c r="I43" s="1"/>
      <c r="J43" s="5">
        <f t="shared" si="29"/>
        <v>-3.7867340162077012E-6</v>
      </c>
      <c r="K43" s="1"/>
      <c r="L43" s="1">
        <f t="shared" si="30"/>
        <v>0.79</v>
      </c>
      <c r="M43" s="1"/>
      <c r="N43" s="5">
        <f t="shared" si="31"/>
        <v>-1</v>
      </c>
      <c r="O43" s="13"/>
      <c r="P43" s="1">
        <f>SUM(OSRRefP22_3x_0)</f>
        <v>13.18</v>
      </c>
      <c r="Q43" s="1"/>
      <c r="R43" s="5">
        <f t="shared" si="32"/>
        <v>1.0147220150562264E-5</v>
      </c>
      <c r="S43" s="1"/>
      <c r="T43" s="1">
        <f>SUM(OSRRefT22_3x_0)</f>
        <v>35.85</v>
      </c>
      <c r="U43" s="1"/>
      <c r="V43" s="5">
        <f t="shared" si="33"/>
        <v>2.9016621829848068E-5</v>
      </c>
      <c r="W43" s="1"/>
      <c r="X43" s="1">
        <f t="shared" si="34"/>
        <v>-22.67</v>
      </c>
      <c r="Y43" s="1"/>
      <c r="Z43" s="5">
        <f t="shared" si="35"/>
        <v>-0.6323570432357043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>
        <v>-0.79</v>
      </c>
      <c r="I44" s="2"/>
      <c r="J44" s="7">
        <f t="shared" si="29"/>
        <v>-3.7867340162077012E-6</v>
      </c>
      <c r="K44" s="2"/>
      <c r="L44" s="6">
        <f t="shared" si="30"/>
        <v>0.79</v>
      </c>
      <c r="M44" s="2"/>
      <c r="N44" s="7">
        <f t="shared" si="31"/>
        <v>-1</v>
      </c>
      <c r="O44" s="11"/>
      <c r="P44" s="6">
        <v>13.18</v>
      </c>
      <c r="Q44" s="2"/>
      <c r="R44" s="7">
        <f t="shared" si="32"/>
        <v>1.0147220150562264E-5</v>
      </c>
      <c r="S44" s="2"/>
      <c r="T44" s="6">
        <v>35.85</v>
      </c>
      <c r="U44" s="2"/>
      <c r="V44" s="7">
        <f t="shared" si="33"/>
        <v>2.9016621829848068E-5</v>
      </c>
      <c r="W44" s="2"/>
      <c r="X44" s="6">
        <f t="shared" si="34"/>
        <v>-22.67</v>
      </c>
      <c r="Y44" s="2"/>
      <c r="Z44" s="7">
        <f t="shared" si="35"/>
        <v>-0.6323570432357043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5.23</v>
      </c>
      <c r="E45" s="1"/>
      <c r="F45" s="5">
        <f t="shared" si="28"/>
        <v>2.7540561507289142E-5</v>
      </c>
      <c r="G45" s="1"/>
      <c r="H45" s="1">
        <f>SUM(OSRRefH22_4x_0)</f>
        <v>17.489999999999998</v>
      </c>
      <c r="I45" s="1"/>
      <c r="J45" s="5">
        <f t="shared" si="29"/>
        <v>8.3835415118319859E-5</v>
      </c>
      <c r="K45" s="1"/>
      <c r="L45" s="1">
        <f t="shared" si="30"/>
        <v>-12.259999999999998</v>
      </c>
      <c r="M45" s="1"/>
      <c r="N45" s="5">
        <f t="shared" si="31"/>
        <v>-0.70097198399085181</v>
      </c>
      <c r="O45" s="13"/>
      <c r="P45" s="1">
        <f>SUM(OSRRefP22_4x_0)</f>
        <v>50.8</v>
      </c>
      <c r="Q45" s="1"/>
      <c r="R45" s="5">
        <f t="shared" si="32"/>
        <v>3.9110681612182322E-5</v>
      </c>
      <c r="S45" s="1"/>
      <c r="T45" s="1">
        <f>SUM(OSRRefT22_4x_0)</f>
        <v>106.55</v>
      </c>
      <c r="U45" s="1"/>
      <c r="V45" s="5">
        <f t="shared" si="33"/>
        <v>8.6240475759283451E-5</v>
      </c>
      <c r="W45" s="1"/>
      <c r="X45" s="1">
        <f t="shared" si="34"/>
        <v>-55.75</v>
      </c>
      <c r="Y45" s="1"/>
      <c r="Z45" s="5">
        <f t="shared" si="35"/>
        <v>-0.52322853120600654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5.23</v>
      </c>
      <c r="E46" s="2"/>
      <c r="F46" s="7">
        <f t="shared" si="28"/>
        <v>2.7540561507289142E-5</v>
      </c>
      <c r="G46" s="2"/>
      <c r="H46" s="6">
        <v>17.489999999999998</v>
      </c>
      <c r="I46" s="2"/>
      <c r="J46" s="7">
        <f t="shared" si="29"/>
        <v>8.3835415118319859E-5</v>
      </c>
      <c r="K46" s="2"/>
      <c r="L46" s="6">
        <f t="shared" si="30"/>
        <v>-12.259999999999998</v>
      </c>
      <c r="M46" s="2"/>
      <c r="N46" s="7">
        <f t="shared" si="31"/>
        <v>-0.70097198399085181</v>
      </c>
      <c r="O46" s="11"/>
      <c r="P46" s="6">
        <v>50.8</v>
      </c>
      <c r="Q46" s="2"/>
      <c r="R46" s="7">
        <f t="shared" si="32"/>
        <v>3.9110681612182322E-5</v>
      </c>
      <c r="S46" s="2"/>
      <c r="T46" s="6">
        <v>106.55</v>
      </c>
      <c r="U46" s="2"/>
      <c r="V46" s="7">
        <f t="shared" si="33"/>
        <v>8.6240475759283451E-5</v>
      </c>
      <c r="W46" s="2"/>
      <c r="X46" s="6">
        <f t="shared" si="34"/>
        <v>-55.75</v>
      </c>
      <c r="Y46" s="2"/>
      <c r="Z46" s="7">
        <f t="shared" si="35"/>
        <v>-0.52322853120600654</v>
      </c>
    </row>
    <row r="47" spans="1:26" s="27" customFormat="1" outlineLevel="1" collapsed="1" x14ac:dyDescent="0.25">
      <c r="A47" s="25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1946.42</v>
      </c>
      <c r="E47" s="1"/>
      <c r="F47" s="5">
        <f t="shared" si="28"/>
        <v>1.0249617539009126E-2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1946.42</v>
      </c>
      <c r="M47" s="1"/>
      <c r="N47" s="5">
        <f t="shared" si="31"/>
        <v>0</v>
      </c>
      <c r="O47" s="13"/>
      <c r="P47" s="1">
        <f>SUM(OSRRefP22_5x_0)</f>
        <v>13734.58</v>
      </c>
      <c r="Q47" s="1"/>
      <c r="R47" s="5">
        <f t="shared" si="32"/>
        <v>1.0574188690099353E-2</v>
      </c>
      <c r="S47" s="1"/>
      <c r="T47" s="1">
        <f>SUM(OSRRefT22_5x_0)</f>
        <v>9157.8799999999992</v>
      </c>
      <c r="U47" s="1"/>
      <c r="V47" s="5">
        <f t="shared" si="33"/>
        <v>7.4122940229603626E-3</v>
      </c>
      <c r="W47" s="1"/>
      <c r="X47" s="1">
        <f t="shared" si="34"/>
        <v>4576.7000000000007</v>
      </c>
      <c r="Y47" s="1"/>
      <c r="Z47" s="5">
        <f t="shared" si="35"/>
        <v>0.49975540190524459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6">
        <v>1946.42</v>
      </c>
      <c r="E48" s="2"/>
      <c r="F48" s="7">
        <f t="shared" si="28"/>
        <v>1.0249617539009126E-2</v>
      </c>
      <c r="G48" s="2"/>
      <c r="H48" s="6"/>
      <c r="I48" s="2"/>
      <c r="J48" s="7">
        <f t="shared" si="29"/>
        <v>0</v>
      </c>
      <c r="K48" s="2"/>
      <c r="L48" s="6">
        <f t="shared" si="30"/>
        <v>1946.42</v>
      </c>
      <c r="M48" s="2"/>
      <c r="N48" s="7">
        <f t="shared" si="31"/>
        <v>0</v>
      </c>
      <c r="O48" s="11"/>
      <c r="P48" s="6">
        <v>13734.58</v>
      </c>
      <c r="Q48" s="2"/>
      <c r="R48" s="7">
        <f t="shared" si="32"/>
        <v>1.0574188690099353E-2</v>
      </c>
      <c r="S48" s="2"/>
      <c r="T48" s="6">
        <v>9157.8799999999992</v>
      </c>
      <c r="U48" s="2"/>
      <c r="V48" s="7">
        <f t="shared" si="33"/>
        <v>7.4122940229603626E-3</v>
      </c>
      <c r="W48" s="2"/>
      <c r="X48" s="6">
        <f t="shared" si="34"/>
        <v>4576.7000000000007</v>
      </c>
      <c r="Y48" s="2"/>
      <c r="Z48" s="7">
        <f t="shared" si="35"/>
        <v>0.49975540190524459</v>
      </c>
    </row>
    <row r="49" spans="1:26" s="27" customFormat="1" outlineLevel="1" collapsed="1" x14ac:dyDescent="0.25">
      <c r="A49" s="25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SUM(OSRRefP22_6x_0)</f>
        <v>21.34</v>
      </c>
      <c r="Q49" s="1"/>
      <c r="R49" s="5">
        <f t="shared" si="32"/>
        <v>1.6429565858345882E-5</v>
      </c>
      <c r="S49" s="1"/>
      <c r="T49" s="1">
        <f>SUM(OSRRefT22_6x_0)</f>
        <v>37.21</v>
      </c>
      <c r="U49" s="1"/>
      <c r="V49" s="5">
        <f t="shared" si="33"/>
        <v>3.0117391863002696E-5</v>
      </c>
      <c r="W49" s="1"/>
      <c r="X49" s="1">
        <f t="shared" si="34"/>
        <v>-15.870000000000001</v>
      </c>
      <c r="Y49" s="1"/>
      <c r="Z49" s="5">
        <f t="shared" si="35"/>
        <v>-0.4264982531577533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21.34</v>
      </c>
      <c r="Q50" s="2"/>
      <c r="R50" s="7">
        <f t="shared" si="32"/>
        <v>1.6429565858345882E-5</v>
      </c>
      <c r="S50" s="2"/>
      <c r="T50" s="6">
        <v>37.21</v>
      </c>
      <c r="U50" s="2"/>
      <c r="V50" s="7">
        <f t="shared" si="33"/>
        <v>3.0117391863002696E-5</v>
      </c>
      <c r="W50" s="2"/>
      <c r="X50" s="6">
        <f t="shared" si="34"/>
        <v>-15.870000000000001</v>
      </c>
      <c r="Y50" s="2"/>
      <c r="Z50" s="7">
        <f t="shared" si="35"/>
        <v>-0.4264982531577533</v>
      </c>
    </row>
    <row r="51" spans="1:26" s="27" customFormat="1" outlineLevel="1" collapsed="1" x14ac:dyDescent="0.25">
      <c r="A51" s="25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SUM(OSRRefP22_7x_0)</f>
        <v>0.01</v>
      </c>
      <c r="Q51" s="1"/>
      <c r="R51" s="5">
        <f t="shared" si="32"/>
        <v>7.6989530732642371E-9</v>
      </c>
      <c r="S51" s="1"/>
      <c r="T51" s="1">
        <f>SUM(OSRRefT22_7x_0)</f>
        <v>74.849999999999994</v>
      </c>
      <c r="U51" s="1"/>
      <c r="V51" s="5">
        <f t="shared" si="33"/>
        <v>6.0582821310017511E-5</v>
      </c>
      <c r="W51" s="1"/>
      <c r="X51" s="1">
        <f t="shared" si="34"/>
        <v>-74.839999999999989</v>
      </c>
      <c r="Y51" s="1"/>
      <c r="Z51" s="5">
        <f t="shared" si="35"/>
        <v>-0.99986639946559774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0.01</v>
      </c>
      <c r="Q52" s="2"/>
      <c r="R52" s="7">
        <f t="shared" si="32"/>
        <v>7.6989530732642371E-9</v>
      </c>
      <c r="S52" s="2"/>
      <c r="T52" s="6">
        <v>74.849999999999994</v>
      </c>
      <c r="U52" s="2"/>
      <c r="V52" s="7">
        <f t="shared" si="33"/>
        <v>6.0582821310017511E-5</v>
      </c>
      <c r="W52" s="2"/>
      <c r="X52" s="6">
        <f t="shared" si="34"/>
        <v>-74.839999999999989</v>
      </c>
      <c r="Y52" s="2"/>
      <c r="Z52" s="7">
        <f t="shared" si="35"/>
        <v>-0.99986639946559774</v>
      </c>
    </row>
    <row r="53" spans="1:26" s="27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1517.11</v>
      </c>
      <c r="Q53" s="1"/>
      <c r="R53" s="5">
        <f t="shared" si="32"/>
        <v>1.1680158696979906E-3</v>
      </c>
      <c r="S53" s="1"/>
      <c r="T53" s="1">
        <f>SUM(OSRRefT22_8x_0)</f>
        <v>1518.53</v>
      </c>
      <c r="U53" s="1"/>
      <c r="V53" s="5">
        <f t="shared" si="33"/>
        <v>1.2290825870928644E-3</v>
      </c>
      <c r="W53" s="1"/>
      <c r="X53" s="1">
        <f t="shared" si="34"/>
        <v>-1.4200000000000728</v>
      </c>
      <c r="Y53" s="1"/>
      <c r="Z53" s="5">
        <f t="shared" si="35"/>
        <v>-9.3511488083875373E-4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1517.11</v>
      </c>
      <c r="Q54" s="2"/>
      <c r="R54" s="7">
        <f t="shared" si="32"/>
        <v>1.1680158696979906E-3</v>
      </c>
      <c r="S54" s="2"/>
      <c r="T54" s="6">
        <v>1518.53</v>
      </c>
      <c r="U54" s="2"/>
      <c r="V54" s="7">
        <f t="shared" si="33"/>
        <v>1.2290825870928644E-3</v>
      </c>
      <c r="W54" s="2"/>
      <c r="X54" s="6">
        <f t="shared" si="34"/>
        <v>-1.4200000000000728</v>
      </c>
      <c r="Y54" s="2"/>
      <c r="Z54" s="7">
        <f t="shared" si="35"/>
        <v>-9.3511488083875373E-4</v>
      </c>
    </row>
    <row r="55" spans="1:26" s="27" customFormat="1" outlineLevel="1" collapsed="1" x14ac:dyDescent="0.25">
      <c r="A55" s="25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5.9</v>
      </c>
      <c r="E55" s="1"/>
      <c r="F55" s="5">
        <f t="shared" si="28"/>
        <v>3.1068702273997311E-5</v>
      </c>
      <c r="G55" s="1"/>
      <c r="H55" s="1">
        <f>SUM(OSRRefH22_9x_0)</f>
        <v>4.93</v>
      </c>
      <c r="I55" s="1"/>
      <c r="J55" s="5">
        <f t="shared" si="29"/>
        <v>2.3631137594815148E-5</v>
      </c>
      <c r="K55" s="1"/>
      <c r="L55" s="1">
        <f t="shared" si="30"/>
        <v>0.97000000000000064</v>
      </c>
      <c r="M55" s="1"/>
      <c r="N55" s="5">
        <f t="shared" si="31"/>
        <v>0.19675456389452348</v>
      </c>
      <c r="O55" s="13"/>
      <c r="P55" s="1">
        <f>SUM(OSRRefP22_9x_0)</f>
        <v>35.4</v>
      </c>
      <c r="Q55" s="1"/>
      <c r="R55" s="5">
        <f t="shared" si="32"/>
        <v>2.7254293879355401E-5</v>
      </c>
      <c r="S55" s="1"/>
      <c r="T55" s="1">
        <f>SUM(OSRRefT22_9x_0)</f>
        <v>29.58</v>
      </c>
      <c r="U55" s="1"/>
      <c r="V55" s="5">
        <f t="shared" si="33"/>
        <v>2.3941748221113132E-5</v>
      </c>
      <c r="W55" s="1"/>
      <c r="X55" s="1">
        <f t="shared" si="34"/>
        <v>5.82</v>
      </c>
      <c r="Y55" s="1"/>
      <c r="Z55" s="5">
        <f t="shared" si="35"/>
        <v>0.19675456389452334</v>
      </c>
    </row>
    <row r="56" spans="1:26" s="24" customFormat="1" hidden="1" outlineLevel="2" x14ac:dyDescent="0.25">
      <c r="A56" s="26"/>
      <c r="B56" s="11" t="str">
        <f>CONCATENATE("          ", "6314", " - ", "LIABILITY INSURANCE")</f>
        <v xml:space="preserve">          6314 - LIABILITY INSURANCE</v>
      </c>
      <c r="C56" s="11"/>
      <c r="D56" s="6">
        <v>5.9</v>
      </c>
      <c r="E56" s="2"/>
      <c r="F56" s="7">
        <f t="shared" si="28"/>
        <v>3.1068702273997311E-5</v>
      </c>
      <c r="G56" s="2"/>
      <c r="H56" s="6">
        <v>4.93</v>
      </c>
      <c r="I56" s="2"/>
      <c r="J56" s="7">
        <f t="shared" si="29"/>
        <v>2.3631137594815148E-5</v>
      </c>
      <c r="K56" s="2"/>
      <c r="L56" s="6">
        <f t="shared" si="30"/>
        <v>0.97000000000000064</v>
      </c>
      <c r="M56" s="2"/>
      <c r="N56" s="7">
        <f t="shared" si="31"/>
        <v>0.19675456389452348</v>
      </c>
      <c r="O56" s="11"/>
      <c r="P56" s="6">
        <v>35.4</v>
      </c>
      <c r="Q56" s="2"/>
      <c r="R56" s="7">
        <f t="shared" si="32"/>
        <v>2.7254293879355401E-5</v>
      </c>
      <c r="S56" s="2"/>
      <c r="T56" s="6">
        <v>29.58</v>
      </c>
      <c r="U56" s="2"/>
      <c r="V56" s="7">
        <f t="shared" si="33"/>
        <v>2.3941748221113132E-5</v>
      </c>
      <c r="W56" s="2"/>
      <c r="X56" s="6">
        <f t="shared" si="34"/>
        <v>5.82</v>
      </c>
      <c r="Y56" s="2"/>
      <c r="Z56" s="7">
        <f t="shared" si="35"/>
        <v>0.19675456389452334</v>
      </c>
    </row>
    <row r="57" spans="1:26" s="27" customFormat="1" outlineLevel="1" collapsed="1" x14ac:dyDescent="0.25">
      <c r="A57" s="25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15031.169999999998</v>
      </c>
      <c r="E57" s="1"/>
      <c r="F57" s="5">
        <f t="shared" si="28"/>
        <v>7.9152363654210176E-2</v>
      </c>
      <c r="G57" s="1"/>
      <c r="H57" s="1">
        <f>SUM(OSRRefH22_10x_0)</f>
        <v>18426.09</v>
      </c>
      <c r="I57" s="1"/>
      <c r="J57" s="5">
        <f t="shared" si="29"/>
        <v>8.8322407327474123E-2</v>
      </c>
      <c r="K57" s="1"/>
      <c r="L57" s="1">
        <f t="shared" si="30"/>
        <v>-3394.9200000000019</v>
      </c>
      <c r="M57" s="1"/>
      <c r="N57" s="5">
        <f t="shared" si="31"/>
        <v>-0.18424527395665613</v>
      </c>
      <c r="O57" s="13"/>
      <c r="P57" s="1">
        <f>SUM(OSRRefP22_10x_0)</f>
        <v>101091.66</v>
      </c>
      <c r="Q57" s="1"/>
      <c r="R57" s="5">
        <f t="shared" si="32"/>
        <v>7.7829994643838343E-2</v>
      </c>
      <c r="S57" s="1"/>
      <c r="T57" s="1">
        <f>SUM(OSRRefT22_10x_0)</f>
        <v>96564.63</v>
      </c>
      <c r="U57" s="1"/>
      <c r="V57" s="5">
        <f t="shared" si="33"/>
        <v>7.8158419828429609E-2</v>
      </c>
      <c r="W57" s="1"/>
      <c r="X57" s="1">
        <f t="shared" si="34"/>
        <v>4527.0299999999988</v>
      </c>
      <c r="Y57" s="1"/>
      <c r="Z57" s="5">
        <f t="shared" si="35"/>
        <v>4.6880829968488448E-2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>
        <v>15031.169999999998</v>
      </c>
      <c r="E58" s="2"/>
      <c r="F58" s="7">
        <f t="shared" si="28"/>
        <v>7.9152363654210176E-2</v>
      </c>
      <c r="G58" s="2"/>
      <c r="H58" s="6">
        <v>18426.09</v>
      </c>
      <c r="I58" s="2"/>
      <c r="J58" s="7">
        <f t="shared" si="29"/>
        <v>8.8322407327474123E-2</v>
      </c>
      <c r="K58" s="2"/>
      <c r="L58" s="6">
        <f t="shared" si="30"/>
        <v>-3394.9200000000019</v>
      </c>
      <c r="M58" s="2"/>
      <c r="N58" s="7">
        <f t="shared" si="31"/>
        <v>-0.18424527395665613</v>
      </c>
      <c r="O58" s="11"/>
      <c r="P58" s="6">
        <v>101091.66</v>
      </c>
      <c r="Q58" s="2"/>
      <c r="R58" s="7">
        <f t="shared" si="32"/>
        <v>7.7829994643838343E-2</v>
      </c>
      <c r="S58" s="2"/>
      <c r="T58" s="6">
        <v>96564.63</v>
      </c>
      <c r="U58" s="2"/>
      <c r="V58" s="7">
        <f t="shared" si="33"/>
        <v>7.8158419828429609E-2</v>
      </c>
      <c r="W58" s="2"/>
      <c r="X58" s="6">
        <f t="shared" si="34"/>
        <v>4527.0299999999988</v>
      </c>
      <c r="Y58" s="2"/>
      <c r="Z58" s="7">
        <f t="shared" si="35"/>
        <v>4.6880829968488448E-2</v>
      </c>
    </row>
    <row r="59" spans="1:26" s="27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71.349999999999994</v>
      </c>
      <c r="E59" s="1"/>
      <c r="F59" s="5">
        <f t="shared" si="28"/>
        <v>3.757206622457132E-4</v>
      </c>
      <c r="G59" s="1"/>
      <c r="H59" s="1">
        <f>SUM(OSRRefH22_11x_0)</f>
        <v>157.07</v>
      </c>
      <c r="I59" s="1"/>
      <c r="J59" s="5">
        <f t="shared" si="29"/>
        <v>7.5288900243765009E-4</v>
      </c>
      <c r="K59" s="1"/>
      <c r="L59" s="1">
        <f t="shared" si="30"/>
        <v>-85.72</v>
      </c>
      <c r="M59" s="1"/>
      <c r="N59" s="5">
        <f t="shared" si="31"/>
        <v>-0.54574393582479153</v>
      </c>
      <c r="O59" s="13"/>
      <c r="P59" s="1">
        <f>SUM(OSRRefP22_11x_0)</f>
        <v>139.83000000000001</v>
      </c>
      <c r="Q59" s="1"/>
      <c r="R59" s="5">
        <f t="shared" si="32"/>
        <v>1.0765446082345384E-4</v>
      </c>
      <c r="S59" s="1"/>
      <c r="T59" s="1">
        <f>SUM(OSRRefT22_11x_0)</f>
        <v>-7146.75</v>
      </c>
      <c r="U59" s="1"/>
      <c r="V59" s="5">
        <f t="shared" si="33"/>
        <v>-5.7845060547410511E-3</v>
      </c>
      <c r="W59" s="1"/>
      <c r="X59" s="1">
        <f t="shared" si="34"/>
        <v>7286.58</v>
      </c>
      <c r="Y59" s="1"/>
      <c r="Z59" s="5">
        <f t="shared" si="35"/>
        <v>-1.0195655367824537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-7371.28</v>
      </c>
      <c r="U60" s="2"/>
      <c r="V60" s="7">
        <f t="shared" si="33"/>
        <v>-5.9662383308764977E-3</v>
      </c>
      <c r="W60" s="2"/>
      <c r="X60" s="6">
        <f t="shared" si="34"/>
        <v>7371.28</v>
      </c>
      <c r="Y60" s="2"/>
      <c r="Z60" s="7">
        <f t="shared" si="35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71.349999999999994</v>
      </c>
      <c r="E61" s="2"/>
      <c r="F61" s="7">
        <f t="shared" si="28"/>
        <v>3.757206622457132E-4</v>
      </c>
      <c r="G61" s="2"/>
      <c r="H61" s="6">
        <v>67.459999999999994</v>
      </c>
      <c r="I61" s="2"/>
      <c r="J61" s="7">
        <f t="shared" si="29"/>
        <v>3.2335832497895124E-4</v>
      </c>
      <c r="K61" s="2"/>
      <c r="L61" s="6">
        <f t="shared" si="30"/>
        <v>3.8900000000000006</v>
      </c>
      <c r="M61" s="2"/>
      <c r="N61" s="7">
        <f t="shared" si="31"/>
        <v>5.7663800770827167E-2</v>
      </c>
      <c r="O61" s="11"/>
      <c r="P61" s="6">
        <v>139.83000000000001</v>
      </c>
      <c r="Q61" s="2"/>
      <c r="R61" s="7">
        <f t="shared" si="32"/>
        <v>1.0765446082345384E-4</v>
      </c>
      <c r="S61" s="2"/>
      <c r="T61" s="6">
        <v>134.91999999999999</v>
      </c>
      <c r="U61" s="2"/>
      <c r="V61" s="7">
        <f t="shared" si="33"/>
        <v>1.0920286240678105E-4</v>
      </c>
      <c r="W61" s="2"/>
      <c r="X61" s="6">
        <f t="shared" si="34"/>
        <v>4.910000000000025</v>
      </c>
      <c r="Y61" s="2"/>
      <c r="Z61" s="7">
        <f t="shared" si="35"/>
        <v>3.6391935962051772E-2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>
        <v>89.61</v>
      </c>
      <c r="I62" s="2"/>
      <c r="J62" s="7">
        <f t="shared" si="29"/>
        <v>4.2953067745869886E-4</v>
      </c>
      <c r="K62" s="2"/>
      <c r="L62" s="6">
        <f t="shared" si="30"/>
        <v>-89.61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89.61</v>
      </c>
      <c r="U62" s="2"/>
      <c r="V62" s="7">
        <f t="shared" si="33"/>
        <v>7.2529413728666259E-5</v>
      </c>
      <c r="W62" s="2"/>
      <c r="X62" s="6">
        <f t="shared" si="34"/>
        <v>-89.61</v>
      </c>
      <c r="Y62" s="2"/>
      <c r="Z62" s="7">
        <f t="shared" si="35"/>
        <v>-1</v>
      </c>
    </row>
    <row r="63" spans="1:26" s="27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6285.67</v>
      </c>
      <c r="E63" s="1"/>
      <c r="F63" s="5">
        <f t="shared" ref="F63:F66" si="36">IF(D$12=0,0,D63/D$12)</f>
        <v>3.3099594885185872E-2</v>
      </c>
      <c r="G63" s="1"/>
      <c r="H63" s="1">
        <f>SUM(OSRRefH22_12x_0)</f>
        <v>4282.93</v>
      </c>
      <c r="I63" s="1"/>
      <c r="J63" s="5">
        <f t="shared" ref="J63:J66" si="37">IF(H$12=0,0,H63/H$12)</f>
        <v>2.0529514835489177E-2</v>
      </c>
      <c r="K63" s="1"/>
      <c r="L63" s="1">
        <f t="shared" ref="L63:L66" si="38">+D63-H63</f>
        <v>2002.7399999999998</v>
      </c>
      <c r="M63" s="1"/>
      <c r="N63" s="5">
        <f t="shared" ref="N63:N66" si="39">IF(H63=0,0,L63/H63)</f>
        <v>0.46760979049389079</v>
      </c>
      <c r="O63" s="13"/>
      <c r="P63" s="1">
        <f>SUM(OSRRefP22_12x_0)</f>
        <v>37680.979999999996</v>
      </c>
      <c r="Q63" s="1"/>
      <c r="R63" s="5">
        <f t="shared" ref="R63:R66" si="40">IF(P$12=0,0,P63/P$12)</f>
        <v>2.9010409677460824E-2</v>
      </c>
      <c r="S63" s="1"/>
      <c r="T63" s="1">
        <f>SUM(OSRRefT22_12x_0)</f>
        <v>21193.81</v>
      </c>
      <c r="U63" s="1"/>
      <c r="V63" s="5">
        <f t="shared" ref="V63:V66" si="41">IF(T$12=0,0,T63/T$12)</f>
        <v>1.7154052159097693E-2</v>
      </c>
      <c r="W63" s="1"/>
      <c r="X63" s="1">
        <f t="shared" ref="X63:X66" si="42">+P63-T63</f>
        <v>16487.169999999995</v>
      </c>
      <c r="Y63" s="1"/>
      <c r="Z63" s="5">
        <f t="shared" ref="Z63:Z66" si="43">IF(T63=0,0,X63/T63)</f>
        <v>0.77792383719586022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1339.28</v>
      </c>
      <c r="E64" s="2"/>
      <c r="F64" s="7">
        <f t="shared" si="36"/>
        <v>7.0524900985625616E-3</v>
      </c>
      <c r="G64" s="2"/>
      <c r="H64" s="6"/>
      <c r="I64" s="2"/>
      <c r="J64" s="7">
        <f t="shared" si="37"/>
        <v>0</v>
      </c>
      <c r="K64" s="2"/>
      <c r="L64" s="6">
        <f t="shared" si="38"/>
        <v>1339.28</v>
      </c>
      <c r="M64" s="2"/>
      <c r="N64" s="7">
        <f t="shared" si="39"/>
        <v>0</v>
      </c>
      <c r="O64" s="11"/>
      <c r="P64" s="6">
        <v>4837.4799999999996</v>
      </c>
      <c r="Q64" s="2"/>
      <c r="R64" s="7">
        <f t="shared" si="40"/>
        <v>3.7243531512854279E-3</v>
      </c>
      <c r="S64" s="2"/>
      <c r="T64" s="6">
        <v>3348.2</v>
      </c>
      <c r="U64" s="2"/>
      <c r="V64" s="7">
        <f t="shared" si="41"/>
        <v>2.70999869485906E-3</v>
      </c>
      <c r="W64" s="2"/>
      <c r="X64" s="6">
        <f t="shared" si="42"/>
        <v>1489.2799999999997</v>
      </c>
      <c r="Y64" s="2"/>
      <c r="Z64" s="7">
        <f t="shared" si="43"/>
        <v>0.4448001911474822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>
        <v>3639.27</v>
      </c>
      <c r="E65" s="2"/>
      <c r="F65" s="7">
        <f t="shared" si="36"/>
        <v>1.9163965444862742E-2</v>
      </c>
      <c r="G65" s="2"/>
      <c r="H65" s="6">
        <v>3378.23</v>
      </c>
      <c r="I65" s="2"/>
      <c r="J65" s="7">
        <f t="shared" si="37"/>
        <v>1.6192985386801698E-2</v>
      </c>
      <c r="K65" s="2"/>
      <c r="L65" s="6">
        <f t="shared" si="38"/>
        <v>261.03999999999996</v>
      </c>
      <c r="M65" s="2"/>
      <c r="N65" s="7">
        <f t="shared" si="39"/>
        <v>7.7271233752586405E-2</v>
      </c>
      <c r="O65" s="11"/>
      <c r="P65" s="6">
        <v>23381.119999999999</v>
      </c>
      <c r="Q65" s="2"/>
      <c r="R65" s="7">
        <f t="shared" si="40"/>
        <v>1.8001014568035992E-2</v>
      </c>
      <c r="S65" s="2"/>
      <c r="T65" s="6">
        <v>11878.29</v>
      </c>
      <c r="U65" s="2"/>
      <c r="V65" s="7">
        <f t="shared" si="41"/>
        <v>9.6141659390590242E-3</v>
      </c>
      <c r="W65" s="2"/>
      <c r="X65" s="6">
        <f t="shared" si="42"/>
        <v>11502.829999999998</v>
      </c>
      <c r="Y65" s="2"/>
      <c r="Z65" s="7">
        <f t="shared" si="43"/>
        <v>0.96839107312584527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>
        <v>1307.1199999999999</v>
      </c>
      <c r="E66" s="2"/>
      <c r="F66" s="7">
        <f t="shared" si="36"/>
        <v>6.8831393417605694E-3</v>
      </c>
      <c r="G66" s="2"/>
      <c r="H66" s="6">
        <v>904.7</v>
      </c>
      <c r="I66" s="2"/>
      <c r="J66" s="7">
        <f t="shared" si="37"/>
        <v>4.3365294486874774E-3</v>
      </c>
      <c r="K66" s="2"/>
      <c r="L66" s="6">
        <f t="shared" si="38"/>
        <v>402.41999999999985</v>
      </c>
      <c r="M66" s="2"/>
      <c r="N66" s="7">
        <f t="shared" si="39"/>
        <v>0.44481043439814283</v>
      </c>
      <c r="O66" s="11"/>
      <c r="P66" s="6">
        <v>9462.3799999999992</v>
      </c>
      <c r="Q66" s="2"/>
      <c r="R66" s="7">
        <f t="shared" si="40"/>
        <v>7.2850419581394045E-3</v>
      </c>
      <c r="S66" s="2"/>
      <c r="T66" s="6">
        <v>5967.32</v>
      </c>
      <c r="U66" s="2"/>
      <c r="V66" s="7">
        <f t="shared" si="41"/>
        <v>4.8298875251796087E-3</v>
      </c>
      <c r="W66" s="2"/>
      <c r="X66" s="6">
        <f t="shared" si="42"/>
        <v>3495.0599999999995</v>
      </c>
      <c r="Y66" s="2"/>
      <c r="Z66" s="7">
        <f t="shared" si="43"/>
        <v>0.5857001132836851</v>
      </c>
    </row>
    <row r="67" spans="1:26" s="27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1955.3799999999999</v>
      </c>
      <c r="E67" s="1"/>
      <c r="F67" s="5">
        <f t="shared" ref="F67:F74" si="44">IF(D$12=0,0,D67/D$12)</f>
        <v>1.0296799839411669E-2</v>
      </c>
      <c r="G67" s="1"/>
      <c r="H67" s="1">
        <f>SUM(OSRRefH22_13x_0)</f>
        <v>3727.6899999999996</v>
      </c>
      <c r="I67" s="1"/>
      <c r="J67" s="5">
        <f t="shared" ref="J67:J74" si="45">IF(H$12=0,0,H67/H$12)</f>
        <v>1.7868063955540865E-2</v>
      </c>
      <c r="K67" s="1"/>
      <c r="L67" s="1">
        <f t="shared" ref="L67:L74" si="46">+D67-H67</f>
        <v>-1772.3099999999997</v>
      </c>
      <c r="M67" s="1"/>
      <c r="N67" s="5">
        <f t="shared" ref="N67:N74" si="47">IF(H67=0,0,L67/H67)</f>
        <v>-0.47544457827770009</v>
      </c>
      <c r="O67" s="13"/>
      <c r="P67" s="1">
        <f>SUM(OSRRefP22_13x_0)</f>
        <v>33012.9</v>
      </c>
      <c r="Q67" s="1"/>
      <c r="R67" s="5">
        <f t="shared" ref="R67:R74" si="48">IF(P$12=0,0,P67/P$12)</f>
        <v>2.5416476791236497E-2</v>
      </c>
      <c r="S67" s="1"/>
      <c r="T67" s="1">
        <f>SUM(OSRRefT22_13x_0)</f>
        <v>30898.53</v>
      </c>
      <c r="U67" s="1"/>
      <c r="V67" s="5">
        <f t="shared" ref="V67:V74" si="49">IF(T$12=0,0,T67/T$12)</f>
        <v>2.5008952862153846E-2</v>
      </c>
      <c r="W67" s="1"/>
      <c r="X67" s="1">
        <f t="shared" ref="X67:X74" si="50">+P67-T67</f>
        <v>2114.3700000000026</v>
      </c>
      <c r="Y67" s="1"/>
      <c r="Z67" s="5">
        <f t="shared" ref="Z67:Z74" si="51">IF(T67=0,0,X67/T67)</f>
        <v>6.8429468974737714E-2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1"/>
      <c r="P68" s="6"/>
      <c r="Q68" s="2"/>
      <c r="R68" s="7">
        <f t="shared" si="48"/>
        <v>0</v>
      </c>
      <c r="S68" s="2"/>
      <c r="T68" s="6">
        <v>30.98</v>
      </c>
      <c r="U68" s="2"/>
      <c r="V68" s="7">
        <f t="shared" si="49"/>
        <v>2.5074893843478191E-5</v>
      </c>
      <c r="W68" s="2"/>
      <c r="X68" s="6">
        <f t="shared" si="50"/>
        <v>-30.98</v>
      </c>
      <c r="Y68" s="2"/>
      <c r="Z68" s="7">
        <f t="shared" si="51"/>
        <v>-1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>
        <v>467.88</v>
      </c>
      <c r="E69" s="2"/>
      <c r="F69" s="7">
        <f t="shared" si="44"/>
        <v>2.4638007491454002E-3</v>
      </c>
      <c r="G69" s="2"/>
      <c r="H69" s="6">
        <v>2417.52</v>
      </c>
      <c r="I69" s="2"/>
      <c r="J69" s="7">
        <f t="shared" si="45"/>
        <v>1.1587981289699293E-2</v>
      </c>
      <c r="K69" s="2"/>
      <c r="L69" s="6">
        <f t="shared" si="46"/>
        <v>-1949.6399999999999</v>
      </c>
      <c r="M69" s="2"/>
      <c r="N69" s="7">
        <f t="shared" si="47"/>
        <v>-0.80646282140375258</v>
      </c>
      <c r="O69" s="11"/>
      <c r="P69" s="6">
        <v>8761.5</v>
      </c>
      <c r="Q69" s="2"/>
      <c r="R69" s="7">
        <f t="shared" si="48"/>
        <v>6.7454377351404615E-3</v>
      </c>
      <c r="S69" s="2"/>
      <c r="T69" s="6">
        <v>13196.82</v>
      </c>
      <c r="U69" s="2"/>
      <c r="V69" s="7">
        <f t="shared" si="49"/>
        <v>1.0681370580099736E-2</v>
      </c>
      <c r="W69" s="2"/>
      <c r="X69" s="6">
        <f t="shared" si="50"/>
        <v>-4435.32</v>
      </c>
      <c r="Y69" s="2"/>
      <c r="Z69" s="7">
        <f t="shared" si="51"/>
        <v>-0.33609005805944159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>
        <v>20</v>
      </c>
      <c r="E70" s="2"/>
      <c r="F70" s="7">
        <f t="shared" si="44"/>
        <v>1.0531763482710952E-4</v>
      </c>
      <c r="G70" s="2"/>
      <c r="H70" s="6">
        <v>415.72</v>
      </c>
      <c r="I70" s="2"/>
      <c r="J70" s="7">
        <f t="shared" si="45"/>
        <v>1.9926848926808426E-3</v>
      </c>
      <c r="K70" s="2"/>
      <c r="L70" s="6">
        <f t="shared" si="46"/>
        <v>-395.72</v>
      </c>
      <c r="M70" s="2"/>
      <c r="N70" s="7">
        <f t="shared" si="47"/>
        <v>-0.95189069566054074</v>
      </c>
      <c r="O70" s="11"/>
      <c r="P70" s="6">
        <v>2518.77</v>
      </c>
      <c r="Q70" s="2"/>
      <c r="R70" s="7">
        <f t="shared" si="48"/>
        <v>1.9391892032345763E-3</v>
      </c>
      <c r="S70" s="2"/>
      <c r="T70" s="6">
        <v>3253.87</v>
      </c>
      <c r="U70" s="2"/>
      <c r="V70" s="7">
        <f t="shared" si="49"/>
        <v>2.633648961603563E-3</v>
      </c>
      <c r="W70" s="2"/>
      <c r="X70" s="6">
        <f t="shared" si="50"/>
        <v>-735.09999999999991</v>
      </c>
      <c r="Y70" s="2"/>
      <c r="Z70" s="7">
        <f t="shared" si="51"/>
        <v>-0.22591560203695904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>
        <v>124.91</v>
      </c>
      <c r="E71" s="2"/>
      <c r="F71" s="7">
        <f t="shared" si="44"/>
        <v>6.5776128831271244E-4</v>
      </c>
      <c r="G71" s="2"/>
      <c r="H71" s="6">
        <v>29</v>
      </c>
      <c r="I71" s="2"/>
      <c r="J71" s="7">
        <f t="shared" si="45"/>
        <v>1.3900669173420676E-4</v>
      </c>
      <c r="K71" s="2"/>
      <c r="L71" s="6">
        <f t="shared" si="46"/>
        <v>95.91</v>
      </c>
      <c r="M71" s="2"/>
      <c r="N71" s="7">
        <f t="shared" si="47"/>
        <v>3.3072413793103448</v>
      </c>
      <c r="O71" s="11"/>
      <c r="P71" s="6">
        <v>20101.84</v>
      </c>
      <c r="Q71" s="2"/>
      <c r="R71" s="7">
        <f t="shared" si="48"/>
        <v>1.5476312284626597E-2</v>
      </c>
      <c r="S71" s="2"/>
      <c r="T71" s="6">
        <v>2273.44</v>
      </c>
      <c r="U71" s="2"/>
      <c r="V71" s="7">
        <f t="shared" si="49"/>
        <v>1.8400989883640109E-3</v>
      </c>
      <c r="W71" s="2"/>
      <c r="X71" s="6">
        <f t="shared" si="50"/>
        <v>17828.400000000001</v>
      </c>
      <c r="Y71" s="2"/>
      <c r="Z71" s="7">
        <f t="shared" si="51"/>
        <v>7.8420367372791899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>
        <v>1342.59</v>
      </c>
      <c r="E72" s="2"/>
      <c r="F72" s="7">
        <f t="shared" si="44"/>
        <v>7.0699201671264476E-3</v>
      </c>
      <c r="G72" s="2"/>
      <c r="H72" s="6">
        <v>865.45</v>
      </c>
      <c r="I72" s="2"/>
      <c r="J72" s="7">
        <f t="shared" si="45"/>
        <v>4.1483910814265256E-3</v>
      </c>
      <c r="K72" s="2"/>
      <c r="L72" s="6">
        <f t="shared" si="46"/>
        <v>477.13999999999987</v>
      </c>
      <c r="M72" s="2"/>
      <c r="N72" s="7">
        <f t="shared" si="47"/>
        <v>0.55132012247963469</v>
      </c>
      <c r="O72" s="11"/>
      <c r="P72" s="6">
        <v>9220.9699999999993</v>
      </c>
      <c r="Q72" s="2"/>
      <c r="R72" s="7">
        <f t="shared" si="48"/>
        <v>7.0991815319977327E-3</v>
      </c>
      <c r="S72" s="2"/>
      <c r="T72" s="6">
        <v>8300.35</v>
      </c>
      <c r="U72" s="2"/>
      <c r="V72" s="7">
        <f t="shared" si="49"/>
        <v>6.7182180475698584E-3</v>
      </c>
      <c r="W72" s="2"/>
      <c r="X72" s="6">
        <f t="shared" si="50"/>
        <v>920.61999999999898</v>
      </c>
      <c r="Y72" s="2"/>
      <c r="Z72" s="7">
        <f t="shared" si="51"/>
        <v>0.1109133952182738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469.44</v>
      </c>
      <c r="Q73" s="2"/>
      <c r="R73" s="7">
        <f t="shared" si="48"/>
        <v>3.6141965307131635E-4</v>
      </c>
      <c r="S73" s="2"/>
      <c r="T73" s="6"/>
      <c r="U73" s="2"/>
      <c r="V73" s="7">
        <f t="shared" si="49"/>
        <v>0</v>
      </c>
      <c r="W73" s="2"/>
      <c r="X73" s="6">
        <f t="shared" si="50"/>
        <v>469.44</v>
      </c>
      <c r="Y73" s="2"/>
      <c r="Z73" s="7">
        <f t="shared" si="51"/>
        <v>0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-8059.62</v>
      </c>
      <c r="Q74" s="2"/>
      <c r="R74" s="7">
        <f t="shared" si="48"/>
        <v>-6.2050636168341916E-3</v>
      </c>
      <c r="S74" s="2"/>
      <c r="T74" s="6">
        <v>3843.07</v>
      </c>
      <c r="U74" s="2"/>
      <c r="V74" s="7">
        <f t="shared" si="49"/>
        <v>3.1105413906732E-3</v>
      </c>
      <c r="W74" s="2"/>
      <c r="X74" s="6">
        <f t="shared" si="50"/>
        <v>-11902.69</v>
      </c>
      <c r="Y74" s="2"/>
      <c r="Z74" s="7">
        <f t="shared" si="51"/>
        <v>-3.0971827211057827</v>
      </c>
    </row>
    <row r="75" spans="1:26" s="27" customFormat="1" outlineLevel="1" collapsed="1" x14ac:dyDescent="0.25">
      <c r="A75" s="25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SUM(OSRRefD22_14x_0)</f>
        <v>111.15</v>
      </c>
      <c r="E75" s="1"/>
      <c r="F75" s="5">
        <f t="shared" ref="F75:F81" si="52">IF(D$12=0,0,D75/D$12)</f>
        <v>5.8530275555166117E-4</v>
      </c>
      <c r="G75" s="1"/>
      <c r="H75" s="1">
        <f>SUM(OSRRefH22_14x_0)</f>
        <v>233.25</v>
      </c>
      <c r="I75" s="1"/>
      <c r="J75" s="5">
        <f t="shared" ref="J75:J81" si="53">IF(H$12=0,0,H75/H$12)</f>
        <v>1.1180452016208182E-3</v>
      </c>
      <c r="K75" s="1"/>
      <c r="L75" s="1">
        <f t="shared" ref="L75:L81" si="54">+D75-H75</f>
        <v>-122.1</v>
      </c>
      <c r="M75" s="1"/>
      <c r="N75" s="5">
        <f t="shared" ref="N75:N81" si="55">IF(H75=0,0,L75/H75)</f>
        <v>-0.52347266881028931</v>
      </c>
      <c r="O75" s="13"/>
      <c r="P75" s="1">
        <f>SUM(OSRRefP22_14x_0)</f>
        <v>787.75</v>
      </c>
      <c r="Q75" s="1"/>
      <c r="R75" s="5">
        <f t="shared" ref="R75:R81" si="56">IF(P$12=0,0,P75/P$12)</f>
        <v>6.0648502834639026E-4</v>
      </c>
      <c r="S75" s="1"/>
      <c r="T75" s="1">
        <f>SUM(OSRRefT22_14x_0)</f>
        <v>1248.45</v>
      </c>
      <c r="U75" s="1"/>
      <c r="V75" s="5">
        <f t="shared" ref="V75:V81" si="57">IF(T$12=0,0,T75/T$12)</f>
        <v>1.0104826087440396E-3</v>
      </c>
      <c r="W75" s="1"/>
      <c r="X75" s="1">
        <f t="shared" ref="X75:X81" si="58">+P75-T75</f>
        <v>-460.70000000000005</v>
      </c>
      <c r="Y75" s="1"/>
      <c r="Z75" s="5">
        <f t="shared" ref="Z75:Z81" si="59">IF(T75=0,0,X75/T75)</f>
        <v>-0.36901758180143379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>
        <v>111.15</v>
      </c>
      <c r="E76" s="2"/>
      <c r="F76" s="7">
        <f t="shared" si="52"/>
        <v>5.8530275555166117E-4</v>
      </c>
      <c r="G76" s="2"/>
      <c r="H76" s="6">
        <v>233.25</v>
      </c>
      <c r="I76" s="2"/>
      <c r="J76" s="7">
        <f t="shared" si="53"/>
        <v>1.1180452016208182E-3</v>
      </c>
      <c r="K76" s="2"/>
      <c r="L76" s="6">
        <f t="shared" si="54"/>
        <v>-122.1</v>
      </c>
      <c r="M76" s="2"/>
      <c r="N76" s="7">
        <f t="shared" si="55"/>
        <v>-0.52347266881028931</v>
      </c>
      <c r="O76" s="11"/>
      <c r="P76" s="6">
        <v>787.75</v>
      </c>
      <c r="Q76" s="2"/>
      <c r="R76" s="7">
        <f t="shared" si="56"/>
        <v>6.0648502834639026E-4</v>
      </c>
      <c r="S76" s="2"/>
      <c r="T76" s="6">
        <v>1248.45</v>
      </c>
      <c r="U76" s="2"/>
      <c r="V76" s="7">
        <f t="shared" si="57"/>
        <v>1.0104826087440396E-3</v>
      </c>
      <c r="W76" s="2"/>
      <c r="X76" s="6">
        <f t="shared" si="58"/>
        <v>-460.70000000000005</v>
      </c>
      <c r="Y76" s="2"/>
      <c r="Z76" s="7">
        <f t="shared" si="59"/>
        <v>-0.36901758180143379</v>
      </c>
    </row>
    <row r="77" spans="1:26" s="27" customFormat="1" outlineLevel="1" collapsed="1" x14ac:dyDescent="0.25">
      <c r="A77" s="25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SUM(OSRRefD22_15x_0)</f>
        <v>0</v>
      </c>
      <c r="E77" s="1"/>
      <c r="F77" s="5">
        <f t="shared" si="52"/>
        <v>0</v>
      </c>
      <c r="G77" s="1"/>
      <c r="H77" s="1">
        <f>SUM(OSRRefH22_15x_0)</f>
        <v>80</v>
      </c>
      <c r="I77" s="1"/>
      <c r="J77" s="5">
        <f t="shared" si="53"/>
        <v>3.834667358185014E-4</v>
      </c>
      <c r="K77" s="1"/>
      <c r="L77" s="1">
        <f t="shared" si="54"/>
        <v>-80</v>
      </c>
      <c r="M77" s="1"/>
      <c r="N77" s="5">
        <f t="shared" si="55"/>
        <v>-1</v>
      </c>
      <c r="O77" s="13"/>
      <c r="P77" s="1">
        <f>SUM(OSRRefP22_15x_0)</f>
        <v>1555.78</v>
      </c>
      <c r="Q77" s="1"/>
      <c r="R77" s="5">
        <f t="shared" si="56"/>
        <v>1.1977877212323036E-3</v>
      </c>
      <c r="S77" s="1"/>
      <c r="T77" s="1">
        <f>SUM(OSRRefT22_15x_0)</f>
        <v>1408.84</v>
      </c>
      <c r="U77" s="1"/>
      <c r="V77" s="5">
        <f t="shared" si="57"/>
        <v>1.1403006275805621E-3</v>
      </c>
      <c r="W77" s="1"/>
      <c r="X77" s="1">
        <f t="shared" si="58"/>
        <v>146.94000000000005</v>
      </c>
      <c r="Y77" s="1"/>
      <c r="Z77" s="5">
        <f t="shared" si="59"/>
        <v>0.10429857187473388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52"/>
        <v>0</v>
      </c>
      <c r="G78" s="2"/>
      <c r="H78" s="6">
        <v>80</v>
      </c>
      <c r="I78" s="2"/>
      <c r="J78" s="7">
        <f t="shared" si="53"/>
        <v>3.834667358185014E-4</v>
      </c>
      <c r="K78" s="2"/>
      <c r="L78" s="6">
        <f t="shared" si="54"/>
        <v>-80</v>
      </c>
      <c r="M78" s="2"/>
      <c r="N78" s="7">
        <f t="shared" si="55"/>
        <v>-1</v>
      </c>
      <c r="O78" s="11"/>
      <c r="P78" s="6">
        <v>1555.78</v>
      </c>
      <c r="Q78" s="2"/>
      <c r="R78" s="7">
        <f t="shared" si="56"/>
        <v>1.1977877212323036E-3</v>
      </c>
      <c r="S78" s="2"/>
      <c r="T78" s="6">
        <v>1408.84</v>
      </c>
      <c r="U78" s="2"/>
      <c r="V78" s="7">
        <f t="shared" si="57"/>
        <v>1.1403006275805621E-3</v>
      </c>
      <c r="W78" s="2"/>
      <c r="X78" s="6">
        <f t="shared" si="58"/>
        <v>146.94000000000005</v>
      </c>
      <c r="Y78" s="2"/>
      <c r="Z78" s="7">
        <f t="shared" si="59"/>
        <v>0.10429857187473388</v>
      </c>
    </row>
    <row r="79" spans="1:26" s="27" customFormat="1" outlineLevel="1" collapsed="1" x14ac:dyDescent="0.25">
      <c r="A79" s="25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SUM(OSRRefD22_16x_0)</f>
        <v>0</v>
      </c>
      <c r="E79" s="1"/>
      <c r="F79" s="5">
        <f t="shared" si="52"/>
        <v>0</v>
      </c>
      <c r="G79" s="1"/>
      <c r="H79" s="1">
        <f>SUM(OSRRefH22_16x_0)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3"/>
      <c r="P79" s="1">
        <f>SUM(OSRRefP22_16x_0)</f>
        <v>79.510000000000005</v>
      </c>
      <c r="Q79" s="1"/>
      <c r="R79" s="5">
        <f t="shared" si="56"/>
        <v>6.121437588552396E-5</v>
      </c>
      <c r="S79" s="1"/>
      <c r="T79" s="1">
        <f>SUM(OSRRefT22_16x_0)</f>
        <v>219.88</v>
      </c>
      <c r="U79" s="1"/>
      <c r="V79" s="5">
        <f t="shared" si="57"/>
        <v>1.7796861388973481E-4</v>
      </c>
      <c r="W79" s="1"/>
      <c r="X79" s="1">
        <f t="shared" si="58"/>
        <v>-140.37</v>
      </c>
      <c r="Y79" s="1"/>
      <c r="Z79" s="5">
        <f t="shared" si="59"/>
        <v>-0.63839366927414953</v>
      </c>
    </row>
    <row r="80" spans="1:26" s="24" customFormat="1" hidden="1" outlineLevel="2" x14ac:dyDescent="0.25">
      <c r="A80" s="26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79.510000000000005</v>
      </c>
      <c r="Q80" s="2"/>
      <c r="R80" s="7">
        <f t="shared" si="56"/>
        <v>6.121437588552396E-5</v>
      </c>
      <c r="S80" s="2"/>
      <c r="T80" s="6"/>
      <c r="U80" s="2"/>
      <c r="V80" s="7">
        <f t="shared" si="57"/>
        <v>0</v>
      </c>
      <c r="W80" s="2"/>
      <c r="X80" s="6">
        <f t="shared" si="58"/>
        <v>79.510000000000005</v>
      </c>
      <c r="Y80" s="2"/>
      <c r="Z80" s="7">
        <f t="shared" si="59"/>
        <v>0</v>
      </c>
    </row>
    <row r="81" spans="1:26" s="24" customFormat="1" hidden="1" outlineLevel="2" x14ac:dyDescent="0.25">
      <c r="A81" s="26"/>
      <c r="B81" s="11" t="str">
        <f>CONCATENATE("          ", "6294", " - ", "TRAVEL OPERATIONAL")</f>
        <v xml:space="preserve">          6294 - TRAVEL OPERATIONAL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/>
      <c r="Q81" s="2"/>
      <c r="R81" s="7">
        <f t="shared" si="56"/>
        <v>0</v>
      </c>
      <c r="S81" s="2"/>
      <c r="T81" s="6">
        <v>219.88</v>
      </c>
      <c r="U81" s="2"/>
      <c r="V81" s="7">
        <f t="shared" si="57"/>
        <v>1.7796861388973481E-4</v>
      </c>
      <c r="W81" s="2"/>
      <c r="X81" s="6">
        <f t="shared" si="58"/>
        <v>-219.88</v>
      </c>
      <c r="Y81" s="2"/>
      <c r="Z81" s="7">
        <f t="shared" si="59"/>
        <v>-1</v>
      </c>
    </row>
    <row r="82" spans="1:26" s="61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0">
        <f>+D21-D23+D83</f>
        <v>29535.710000000006</v>
      </c>
      <c r="E85" s="14"/>
      <c r="F85" s="21">
        <f>IF(D$12=0,0,D85/D$12)</f>
        <v>0.15553155600697038</v>
      </c>
      <c r="G85" s="14"/>
      <c r="H85" s="20">
        <f>+H21-H23+H83</f>
        <v>63499.13999999997</v>
      </c>
      <c r="I85" s="14"/>
      <c r="J85" s="21">
        <f>IF(H$12=0,0,H85/H$12)</f>
        <v>0.30437259928852528</v>
      </c>
      <c r="K85" s="15"/>
      <c r="L85" s="20">
        <f>+D85-H85</f>
        <v>-33963.429999999964</v>
      </c>
      <c r="M85" s="15"/>
      <c r="N85" s="21">
        <f>IF(H85=0,0,L85/H85)</f>
        <v>-0.53486440918727374</v>
      </c>
      <c r="O85" s="28"/>
      <c r="P85" s="20">
        <f>+P21-P23+P83</f>
        <v>254712.30000000016</v>
      </c>
      <c r="Q85" s="14"/>
      <c r="R85" s="21">
        <f>IF(P$12=0,0,P85/P$12)</f>
        <v>0.19610180448832037</v>
      </c>
      <c r="S85" s="14"/>
      <c r="T85" s="20">
        <f>+T21-T23+T83</f>
        <v>340132.76000000036</v>
      </c>
      <c r="U85" s="14"/>
      <c r="V85" s="21">
        <f>IF(T$12=0,0,T85/T$12)</f>
        <v>0.27529996286924641</v>
      </c>
      <c r="W85" s="15"/>
      <c r="X85" s="20">
        <f>+P85-T85</f>
        <v>-85420.460000000196</v>
      </c>
      <c r="Y85" s="15"/>
      <c r="Z85" s="21">
        <f>IF(T85=0,0,X85/T85)</f>
        <v>-0.25113858482787754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22855.759999999998</v>
      </c>
      <c r="E87" s="4"/>
      <c r="F87" s="12">
        <f>IF(D$12=0,0,D87/D$12)</f>
        <v>0.12035572926880282</v>
      </c>
      <c r="G87" s="4"/>
      <c r="H87" s="4">
        <v>25278.7</v>
      </c>
      <c r="I87" s="4"/>
      <c r="J87" s="12">
        <f>IF(H$12=0,0,H87/H$12)</f>
        <v>0.12116925718418939</v>
      </c>
      <c r="K87" s="4"/>
      <c r="L87" s="4">
        <f>+D87-H87</f>
        <v>-2422.9400000000023</v>
      </c>
      <c r="M87" s="4"/>
      <c r="N87" s="12">
        <f>IF(H87=0,0,L87/H87)</f>
        <v>-9.5849074517281432E-2</v>
      </c>
      <c r="O87" s="10"/>
      <c r="P87" s="4">
        <v>140288.83000000002</v>
      </c>
      <c r="Q87" s="4"/>
      <c r="R87" s="12">
        <f>IF(P$12=0,0,P87/P$12)</f>
        <v>0.10800771188731442</v>
      </c>
      <c r="S87" s="4"/>
      <c r="T87" s="4">
        <v>133329.01999999999</v>
      </c>
      <c r="U87" s="4"/>
      <c r="V87" s="12">
        <f>IF(T$12=0,0,T87/T$12)</f>
        <v>0.1079151395337308</v>
      </c>
      <c r="W87" s="4"/>
      <c r="X87" s="4">
        <f>+P87-T87</f>
        <v>6959.8100000000268</v>
      </c>
      <c r="Y87" s="4"/>
      <c r="Z87" s="12">
        <f>IF(T87=0,0,X87/T87)</f>
        <v>5.2200263678530208E-2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2">
        <f>+D85-D87</f>
        <v>6679.950000000008</v>
      </c>
      <c r="E89" s="14"/>
      <c r="F89" s="30">
        <f>IF(D$12=0,0,D89/D$12)</f>
        <v>3.5175826738167555E-2</v>
      </c>
      <c r="G89" s="14"/>
      <c r="H89" s="32">
        <f>+H85-H87</f>
        <v>38220.439999999973</v>
      </c>
      <c r="I89" s="14"/>
      <c r="J89" s="30">
        <f>IF(H$12=0,0,H89/H$12)</f>
        <v>0.18320334210433592</v>
      </c>
      <c r="K89" s="15"/>
      <c r="L89" s="32">
        <f>D89-H89</f>
        <v>-31540.489999999965</v>
      </c>
      <c r="M89" s="15"/>
      <c r="N89" s="30">
        <f>IF(H89=0,0,L89/H89)</f>
        <v>-0.82522571692005608</v>
      </c>
      <c r="O89" s="28"/>
      <c r="P89" s="32">
        <f>+P85-P87</f>
        <v>114423.47000000015</v>
      </c>
      <c r="Q89" s="14"/>
      <c r="R89" s="30">
        <f>IF(P$12=0,0,P89/P$12)</f>
        <v>8.8094092601005938E-2</v>
      </c>
      <c r="S89" s="14"/>
      <c r="T89" s="32">
        <f>+T85-T87</f>
        <v>206803.74000000037</v>
      </c>
      <c r="U89" s="14"/>
      <c r="V89" s="30">
        <f>IF(T$12=0,0,T89/T$12)</f>
        <v>0.1673848233355156</v>
      </c>
      <c r="W89" s="15"/>
      <c r="X89" s="32">
        <f>P89-T89</f>
        <v>-92380.270000000222</v>
      </c>
      <c r="Y89" s="15"/>
      <c r="Z89" s="30">
        <f>IF(T89=0,0,X89/T89)</f>
        <v>-0.44670502574083071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6">
        <f>SUM(D89:D91)</f>
        <v>6679.950000000008</v>
      </c>
      <c r="E92" s="14"/>
      <c r="F92" s="31">
        <f>IF(D$12=0,0,D92/D$12)</f>
        <v>3.5175826738167555E-2</v>
      </c>
      <c r="G92" s="14"/>
      <c r="H92" s="36">
        <f>SUM(H89:H91)</f>
        <v>38220.439999999973</v>
      </c>
      <c r="I92" s="14"/>
      <c r="J92" s="31">
        <f>IF(H$12=0,0,H92/H$12)</f>
        <v>0.18320334210433592</v>
      </c>
      <c r="K92" s="15"/>
      <c r="L92" s="36">
        <f>+D92-H92</f>
        <v>-31540.489999999965</v>
      </c>
      <c r="M92" s="15"/>
      <c r="N92" s="31">
        <f>IF(H92=0,0,L92/H92)</f>
        <v>-0.82522571692005608</v>
      </c>
      <c r="O92" s="28"/>
      <c r="P92" s="36">
        <f>SUM(P89:P91)</f>
        <v>114423.47000000015</v>
      </c>
      <c r="Q92" s="14"/>
      <c r="R92" s="31">
        <f>IF(P$12=0,0,P92/P$12)</f>
        <v>8.8094092601005938E-2</v>
      </c>
      <c r="S92" s="14"/>
      <c r="T92" s="36">
        <f>SUM(T89:T91)</f>
        <v>206803.74000000037</v>
      </c>
      <c r="U92" s="14"/>
      <c r="V92" s="31">
        <f>IF(T$12=0,0,T92/T$12)</f>
        <v>0.1673848233355156</v>
      </c>
      <c r="W92" s="15"/>
      <c r="X92" s="36">
        <f>+P92-T92</f>
        <v>-92380.270000000222</v>
      </c>
      <c r="Y92" s="15"/>
      <c r="Z92" s="31">
        <f>IF(T92=0,0,X92/T92)</f>
        <v>-0.44670502574083071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2">
        <v>43847.454267511574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6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4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","455", " - ", "Vending")</f>
        <v>Department 455 - Vending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8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7209.369999999999</v>
      </c>
      <c r="E18" s="22"/>
      <c r="F18" s="33">
        <f t="shared" ref="F18:F26" si="0">IF(D$12=0,0,D18/D$12)</f>
        <v>0</v>
      </c>
      <c r="G18" s="22"/>
      <c r="H18" s="22">
        <f>SUM(OSRRefH22x_0)</f>
        <v>6870.8899999999994</v>
      </c>
      <c r="I18" s="22"/>
      <c r="J18" s="33">
        <f t="shared" ref="J18:J26" si="1">IF(H$12=0,0,H18/H$12)</f>
        <v>0</v>
      </c>
      <c r="K18" s="4"/>
      <c r="L18" s="22">
        <f t="shared" ref="L18:L26" si="2">+D18-H18</f>
        <v>338.47999999999956</v>
      </c>
      <c r="M18" s="4"/>
      <c r="N18" s="33">
        <f t="shared" ref="N18:N26" si="3">IF(H18=0,0,L18/H18)</f>
        <v>4.926290480563647E-2</v>
      </c>
      <c r="O18" s="10"/>
      <c r="P18" s="22">
        <f>SUM(OSRRefP22x_0)</f>
        <v>52341.259999999995</v>
      </c>
      <c r="Q18" s="22"/>
      <c r="R18" s="33">
        <f t="shared" ref="R18:R26" si="4">IF(P$12=0,0,P18/P$12)</f>
        <v>0</v>
      </c>
      <c r="S18" s="22"/>
      <c r="T18" s="22">
        <f>SUM(OSRRefT22x_0)</f>
        <v>42590.45</v>
      </c>
      <c r="U18" s="22"/>
      <c r="V18" s="33">
        <f t="shared" ref="V18:V26" si="5">IF(T$12=0,0,T18/T$12)</f>
        <v>0</v>
      </c>
      <c r="W18" s="4"/>
      <c r="X18" s="22">
        <f t="shared" ref="X18:X26" si="6">+P18-T18</f>
        <v>9750.8099999999977</v>
      </c>
      <c r="Y18" s="4"/>
      <c r="Z18" s="33">
        <f t="shared" ref="Z18:Z26" si="7">IF(T18=0,0,X18/T18)</f>
        <v>0.22894357772693169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2429.4699999999998</v>
      </c>
      <c r="E19" s="1"/>
      <c r="F19" s="5">
        <f t="shared" si="0"/>
        <v>0</v>
      </c>
      <c r="G19" s="1"/>
      <c r="H19" s="1">
        <f>SUM(OSRRefH22_0x_0)</f>
        <v>2430.0299999999997</v>
      </c>
      <c r="I19" s="1"/>
      <c r="J19" s="5">
        <f t="shared" si="1"/>
        <v>0</v>
      </c>
      <c r="K19" s="1"/>
      <c r="L19" s="1">
        <f t="shared" si="2"/>
        <v>-0.55999999999994543</v>
      </c>
      <c r="M19" s="1"/>
      <c r="N19" s="5">
        <f t="shared" si="3"/>
        <v>-2.3044982983746928E-4</v>
      </c>
      <c r="O19" s="13"/>
      <c r="P19" s="1">
        <f>SUM(OSRRefP22_0x_0)</f>
        <v>24462.3</v>
      </c>
      <c r="Q19" s="1"/>
      <c r="R19" s="5">
        <f t="shared" si="4"/>
        <v>0</v>
      </c>
      <c r="S19" s="1"/>
      <c r="T19" s="1">
        <f>SUM(OSRRefT22_0x_0)</f>
        <v>17927.179999999997</v>
      </c>
      <c r="U19" s="1"/>
      <c r="V19" s="5">
        <f t="shared" si="5"/>
        <v>0</v>
      </c>
      <c r="W19" s="1"/>
      <c r="X19" s="1">
        <f t="shared" si="6"/>
        <v>6535.1200000000026</v>
      </c>
      <c r="Y19" s="1"/>
      <c r="Z19" s="5">
        <f t="shared" si="7"/>
        <v>0.36453697681397768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241.11</v>
      </c>
      <c r="E20" s="2"/>
      <c r="F20" s="7">
        <f t="shared" si="0"/>
        <v>0</v>
      </c>
      <c r="G20" s="2"/>
      <c r="H20" s="6">
        <v>202.07</v>
      </c>
      <c r="I20" s="2"/>
      <c r="J20" s="7">
        <f t="shared" si="1"/>
        <v>0</v>
      </c>
      <c r="K20" s="2"/>
      <c r="L20" s="6">
        <f t="shared" si="2"/>
        <v>39.04000000000002</v>
      </c>
      <c r="M20" s="2"/>
      <c r="N20" s="7">
        <f t="shared" si="3"/>
        <v>0.19320037610728966</v>
      </c>
      <c r="O20" s="11"/>
      <c r="P20" s="6">
        <v>2138.64</v>
      </c>
      <c r="Q20" s="2"/>
      <c r="R20" s="7">
        <f t="shared" si="4"/>
        <v>0</v>
      </c>
      <c r="S20" s="2"/>
      <c r="T20" s="6">
        <v>2125.4699999999998</v>
      </c>
      <c r="U20" s="2"/>
      <c r="V20" s="7">
        <f t="shared" si="5"/>
        <v>0</v>
      </c>
      <c r="W20" s="2"/>
      <c r="X20" s="6">
        <f t="shared" si="6"/>
        <v>13.170000000000073</v>
      </c>
      <c r="Y20" s="2"/>
      <c r="Z20" s="7">
        <f t="shared" si="7"/>
        <v>6.1962765882369892E-3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25.66</v>
      </c>
      <c r="E21" s="2"/>
      <c r="F21" s="7">
        <f t="shared" si="0"/>
        <v>0</v>
      </c>
      <c r="G21" s="2"/>
      <c r="H21" s="6">
        <v>233.15</v>
      </c>
      <c r="I21" s="2"/>
      <c r="J21" s="7">
        <f t="shared" si="1"/>
        <v>0</v>
      </c>
      <c r="K21" s="2"/>
      <c r="L21" s="6">
        <f t="shared" si="2"/>
        <v>-207.49</v>
      </c>
      <c r="M21" s="2"/>
      <c r="N21" s="7">
        <f t="shared" si="3"/>
        <v>-0.88994209736221319</v>
      </c>
      <c r="O21" s="11"/>
      <c r="P21" s="6">
        <v>125.1</v>
      </c>
      <c r="Q21" s="2"/>
      <c r="R21" s="7">
        <f t="shared" si="4"/>
        <v>0</v>
      </c>
      <c r="S21" s="2"/>
      <c r="T21" s="6">
        <v>1388.84</v>
      </c>
      <c r="U21" s="2"/>
      <c r="V21" s="7">
        <f t="shared" si="5"/>
        <v>0</v>
      </c>
      <c r="W21" s="2"/>
      <c r="X21" s="6">
        <f t="shared" si="6"/>
        <v>-1263.74</v>
      </c>
      <c r="Y21" s="2"/>
      <c r="Z21" s="7">
        <f t="shared" si="7"/>
        <v>-0.90992482935399333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931.95</v>
      </c>
      <c r="E22" s="2"/>
      <c r="F22" s="7">
        <f t="shared" si="0"/>
        <v>0</v>
      </c>
      <c r="G22" s="2"/>
      <c r="H22" s="6">
        <v>944.6</v>
      </c>
      <c r="I22" s="2"/>
      <c r="J22" s="7">
        <f t="shared" si="1"/>
        <v>0</v>
      </c>
      <c r="K22" s="2"/>
      <c r="L22" s="6">
        <f t="shared" si="2"/>
        <v>-12.649999999999977</v>
      </c>
      <c r="M22" s="2"/>
      <c r="N22" s="7">
        <f t="shared" si="3"/>
        <v>-1.3391911920389559E-2</v>
      </c>
      <c r="O22" s="11"/>
      <c r="P22" s="6">
        <v>5591.7</v>
      </c>
      <c r="Q22" s="2"/>
      <c r="R22" s="7">
        <f t="shared" si="4"/>
        <v>0</v>
      </c>
      <c r="S22" s="2"/>
      <c r="T22" s="6">
        <v>5061.1099999999997</v>
      </c>
      <c r="U22" s="2"/>
      <c r="V22" s="7">
        <f t="shared" si="5"/>
        <v>0</v>
      </c>
      <c r="W22" s="2"/>
      <c r="X22" s="6">
        <f t="shared" si="6"/>
        <v>530.59000000000015</v>
      </c>
      <c r="Y22" s="2"/>
      <c r="Z22" s="7">
        <f t="shared" si="7"/>
        <v>0.10483668602342178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19.62</v>
      </c>
      <c r="E23" s="2"/>
      <c r="F23" s="7">
        <f t="shared" si="0"/>
        <v>0</v>
      </c>
      <c r="G23" s="2"/>
      <c r="H23" s="6">
        <v>17.32</v>
      </c>
      <c r="I23" s="2"/>
      <c r="J23" s="7">
        <f t="shared" si="1"/>
        <v>0</v>
      </c>
      <c r="K23" s="2"/>
      <c r="L23" s="6">
        <f t="shared" si="2"/>
        <v>2.3000000000000007</v>
      </c>
      <c r="M23" s="2"/>
      <c r="N23" s="7">
        <f t="shared" si="3"/>
        <v>0.13279445727482683</v>
      </c>
      <c r="O23" s="11"/>
      <c r="P23" s="6">
        <v>108.15</v>
      </c>
      <c r="Q23" s="2"/>
      <c r="R23" s="7">
        <f t="shared" si="4"/>
        <v>0</v>
      </c>
      <c r="S23" s="2"/>
      <c r="T23" s="6">
        <v>103.18</v>
      </c>
      <c r="U23" s="2"/>
      <c r="V23" s="7">
        <f t="shared" si="5"/>
        <v>0</v>
      </c>
      <c r="W23" s="2"/>
      <c r="X23" s="6">
        <f t="shared" si="6"/>
        <v>4.9699999999999989</v>
      </c>
      <c r="Y23" s="2"/>
      <c r="Z23" s="7">
        <f t="shared" si="7"/>
        <v>4.8168249660786963E-2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514.27</v>
      </c>
      <c r="E24" s="2"/>
      <c r="F24" s="7">
        <f t="shared" si="0"/>
        <v>0</v>
      </c>
      <c r="G24" s="2"/>
      <c r="H24" s="6">
        <v>417.84</v>
      </c>
      <c r="I24" s="2"/>
      <c r="J24" s="7">
        <f t="shared" si="1"/>
        <v>0</v>
      </c>
      <c r="K24" s="2"/>
      <c r="L24" s="6">
        <f t="shared" si="2"/>
        <v>96.43</v>
      </c>
      <c r="M24" s="2"/>
      <c r="N24" s="7">
        <f t="shared" si="3"/>
        <v>0.23078211755695963</v>
      </c>
      <c r="O24" s="11"/>
      <c r="P24" s="6">
        <v>3994.94</v>
      </c>
      <c r="Q24" s="2"/>
      <c r="R24" s="7">
        <f t="shared" si="4"/>
        <v>0</v>
      </c>
      <c r="S24" s="2"/>
      <c r="T24" s="6">
        <v>3524.67</v>
      </c>
      <c r="U24" s="2"/>
      <c r="V24" s="7">
        <f t="shared" si="5"/>
        <v>0</v>
      </c>
      <c r="W24" s="2"/>
      <c r="X24" s="6">
        <f t="shared" si="6"/>
        <v>470.27</v>
      </c>
      <c r="Y24" s="2"/>
      <c r="Z24" s="7">
        <f t="shared" si="7"/>
        <v>0.13342241968751684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464.78</v>
      </c>
      <c r="E25" s="2"/>
      <c r="F25" s="7">
        <f t="shared" si="0"/>
        <v>0</v>
      </c>
      <c r="G25" s="2"/>
      <c r="H25" s="6">
        <v>410.22</v>
      </c>
      <c r="I25" s="2"/>
      <c r="J25" s="7">
        <f t="shared" si="1"/>
        <v>0</v>
      </c>
      <c r="K25" s="2"/>
      <c r="L25" s="6">
        <f t="shared" si="2"/>
        <v>54.559999999999945</v>
      </c>
      <c r="M25" s="2"/>
      <c r="N25" s="7">
        <f t="shared" si="3"/>
        <v>0.13300180391009689</v>
      </c>
      <c r="O25" s="11"/>
      <c r="P25" s="6">
        <v>4383.82</v>
      </c>
      <c r="Q25" s="2"/>
      <c r="R25" s="7">
        <f t="shared" si="4"/>
        <v>0</v>
      </c>
      <c r="S25" s="2"/>
      <c r="T25" s="6">
        <v>3022.14</v>
      </c>
      <c r="U25" s="2"/>
      <c r="V25" s="7">
        <f t="shared" si="5"/>
        <v>0</v>
      </c>
      <c r="W25" s="2"/>
      <c r="X25" s="6">
        <f t="shared" si="6"/>
        <v>1361.6799999999998</v>
      </c>
      <c r="Y25" s="2"/>
      <c r="Z25" s="7">
        <f t="shared" si="7"/>
        <v>0.45056814045676241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232.08</v>
      </c>
      <c r="E26" s="2"/>
      <c r="F26" s="7">
        <f t="shared" si="0"/>
        <v>0</v>
      </c>
      <c r="G26" s="2"/>
      <c r="H26" s="6">
        <v>204.83</v>
      </c>
      <c r="I26" s="2"/>
      <c r="J26" s="7">
        <f t="shared" si="1"/>
        <v>0</v>
      </c>
      <c r="K26" s="2"/>
      <c r="L26" s="6">
        <f t="shared" si="2"/>
        <v>27.25</v>
      </c>
      <c r="M26" s="2"/>
      <c r="N26" s="7">
        <f t="shared" si="3"/>
        <v>0.13303715276082603</v>
      </c>
      <c r="O26" s="11"/>
      <c r="P26" s="6">
        <v>8119.95</v>
      </c>
      <c r="Q26" s="2"/>
      <c r="R26" s="7">
        <f t="shared" si="4"/>
        <v>0</v>
      </c>
      <c r="S26" s="2"/>
      <c r="T26" s="6">
        <v>2701.77</v>
      </c>
      <c r="U26" s="2"/>
      <c r="V26" s="7">
        <f t="shared" si="5"/>
        <v>0</v>
      </c>
      <c r="W26" s="2"/>
      <c r="X26" s="6">
        <f t="shared" si="6"/>
        <v>5418.18</v>
      </c>
      <c r="Y26" s="2"/>
      <c r="Z26" s="7">
        <f t="shared" si="7"/>
        <v>2.0054186699830114</v>
      </c>
    </row>
    <row r="27" spans="1:26" s="27" customFormat="1" outlineLevel="1" collapsed="1" x14ac:dyDescent="0.25">
      <c r="A27" s="25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4779.8999999999996</v>
      </c>
      <c r="E27" s="1"/>
      <c r="F27" s="5">
        <f t="shared" ref="F27:F29" si="8">IF(D$12=0,0,D27/D$12)</f>
        <v>0</v>
      </c>
      <c r="G27" s="1"/>
      <c r="H27" s="1">
        <f>SUM(OSRRefH22_1x_0)</f>
        <v>4440.8599999999997</v>
      </c>
      <c r="I27" s="1"/>
      <c r="J27" s="5">
        <f t="shared" ref="J27:J29" si="9">IF(H$12=0,0,H27/H$12)</f>
        <v>0</v>
      </c>
      <c r="K27" s="1"/>
      <c r="L27" s="1">
        <f t="shared" ref="L27:L29" si="10">+D27-H27</f>
        <v>339.03999999999996</v>
      </c>
      <c r="M27" s="1"/>
      <c r="N27" s="5">
        <f t="shared" ref="N27:N29" si="11">IF(H27=0,0,L27/H27)</f>
        <v>7.6345572704386092E-2</v>
      </c>
      <c r="O27" s="13"/>
      <c r="P27" s="1">
        <f>SUM(OSRRefP22_1x_0)</f>
        <v>27878.959999999999</v>
      </c>
      <c r="Q27" s="1"/>
      <c r="R27" s="5">
        <f t="shared" ref="R27:R29" si="12">IF(P$12=0,0,P27/P$12)</f>
        <v>0</v>
      </c>
      <c r="S27" s="1"/>
      <c r="T27" s="1">
        <f>SUM(OSRRefT22_1x_0)</f>
        <v>24646.769999999997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3232.1900000000023</v>
      </c>
      <c r="Y27" s="1"/>
      <c r="Z27" s="5">
        <f t="shared" ref="Z27:Z29" si="15">IF(T27=0,0,X27/T27)</f>
        <v>0.13114051050097042</v>
      </c>
    </row>
    <row r="28" spans="1:26" s="24" customFormat="1" hidden="1" outlineLevel="2" x14ac:dyDescent="0.25">
      <c r="A28" s="26"/>
      <c r="B28" s="11" t="str">
        <f>CONCATENATE("          ", "6001", " - ", "ADMINISTRATIVE SALARIES")</f>
        <v xml:space="preserve">          6001 - ADMINISTRATIVE SALARIES</v>
      </c>
      <c r="C28" s="11"/>
      <c r="D28" s="6">
        <v>4779.8999999999996</v>
      </c>
      <c r="E28" s="2"/>
      <c r="F28" s="7">
        <f t="shared" si="8"/>
        <v>0</v>
      </c>
      <c r="G28" s="2"/>
      <c r="H28" s="6">
        <v>4440.8599999999997</v>
      </c>
      <c r="I28" s="2"/>
      <c r="J28" s="7">
        <f t="shared" si="9"/>
        <v>0</v>
      </c>
      <c r="K28" s="2"/>
      <c r="L28" s="6">
        <f t="shared" si="10"/>
        <v>339.03999999999996</v>
      </c>
      <c r="M28" s="2"/>
      <c r="N28" s="7">
        <f t="shared" si="11"/>
        <v>7.6345572704386092E-2</v>
      </c>
      <c r="O28" s="11"/>
      <c r="P28" s="6">
        <v>27878.959999999999</v>
      </c>
      <c r="Q28" s="2"/>
      <c r="R28" s="7">
        <f t="shared" si="12"/>
        <v>0</v>
      </c>
      <c r="S28" s="2"/>
      <c r="T28" s="6">
        <v>24646.769999999997</v>
      </c>
      <c r="U28" s="2"/>
      <c r="V28" s="7">
        <f t="shared" si="13"/>
        <v>0</v>
      </c>
      <c r="W28" s="2"/>
      <c r="X28" s="6">
        <f t="shared" si="14"/>
        <v>3232.1900000000023</v>
      </c>
      <c r="Y28" s="2"/>
      <c r="Z28" s="7">
        <f t="shared" si="15"/>
        <v>0.13114051050097042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0</v>
      </c>
      <c r="Q29" s="2"/>
      <c r="R29" s="7">
        <f t="shared" si="12"/>
        <v>0</v>
      </c>
      <c r="S29" s="2"/>
      <c r="T29" s="6"/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7" customFormat="1" outlineLevel="1" collapsed="1" x14ac:dyDescent="0.25">
      <c r="A30" s="25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ref="F30:F31" si="16">IF(D$12=0,0,D30/D$12)</f>
        <v>0</v>
      </c>
      <c r="G30" s="1"/>
      <c r="H30" s="1">
        <f>SUM(OSRRefH22_2x_0)</f>
        <v>0</v>
      </c>
      <c r="I30" s="1"/>
      <c r="J30" s="5">
        <f t="shared" ref="J30:J31" si="17">IF(H$12=0,0,H30/H$12)</f>
        <v>0</v>
      </c>
      <c r="K30" s="1"/>
      <c r="L30" s="1">
        <f t="shared" ref="L30:L31" si="18">+D30-H30</f>
        <v>0</v>
      </c>
      <c r="M30" s="1"/>
      <c r="N30" s="5">
        <f t="shared" ref="N30:N31" si="19">IF(H30=0,0,L30/H30)</f>
        <v>0</v>
      </c>
      <c r="O30" s="13"/>
      <c r="P30" s="1">
        <f>SUM(OSRRefP22_2x_0)</f>
        <v>0</v>
      </c>
      <c r="Q30" s="1"/>
      <c r="R30" s="5">
        <f t="shared" ref="R30:R31" si="20">IF(P$12=0,0,P30/P$12)</f>
        <v>0</v>
      </c>
      <c r="S30" s="1"/>
      <c r="T30" s="1">
        <f>SUM(OSRRefT22_2x_0)</f>
        <v>16.5</v>
      </c>
      <c r="U30" s="1"/>
      <c r="V30" s="5">
        <f t="shared" ref="V30:V31" si="21">IF(T$12=0,0,T30/T$12)</f>
        <v>0</v>
      </c>
      <c r="W30" s="1"/>
      <c r="X30" s="1">
        <f t="shared" ref="X30:X31" si="22">+P30-T30</f>
        <v>-16.5</v>
      </c>
      <c r="Y30" s="1"/>
      <c r="Z30" s="5">
        <f t="shared" ref="Z30:Z31" si="23">IF(T30=0,0,X30/T30)</f>
        <v>-1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/>
      <c r="Q31" s="2"/>
      <c r="R31" s="7">
        <f t="shared" si="20"/>
        <v>0</v>
      </c>
      <c r="S31" s="2"/>
      <c r="T31" s="6">
        <v>16.5</v>
      </c>
      <c r="U31" s="2"/>
      <c r="V31" s="7">
        <f t="shared" si="21"/>
        <v>0</v>
      </c>
      <c r="W31" s="2"/>
      <c r="X31" s="6">
        <f t="shared" si="22"/>
        <v>-16.5</v>
      </c>
      <c r="Y31" s="2"/>
      <c r="Z31" s="7">
        <f t="shared" si="23"/>
        <v>-1</v>
      </c>
    </row>
    <row r="32" spans="1:26" s="61" customFormat="1" x14ac:dyDescent="0.25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collapsed="1" x14ac:dyDescent="0.25">
      <c r="A33" s="10"/>
      <c r="B33" s="28" t="s">
        <v>0</v>
      </c>
      <c r="C33" s="10"/>
      <c r="D33" s="4">
        <f>SUM(OSRRefD25x_0)</f>
        <v>4041.94</v>
      </c>
      <c r="E33" s="4"/>
      <c r="F33" s="12">
        <f t="shared" ref="F33:F35" si="24">IF(D$12=0,0,D33/D$12)</f>
        <v>0</v>
      </c>
      <c r="G33" s="4"/>
      <c r="H33" s="4">
        <f>SUM(OSRRefH25x_0)</f>
        <v>0</v>
      </c>
      <c r="I33" s="4"/>
      <c r="J33" s="12">
        <f t="shared" ref="J33:J35" si="25">IF(H$12=0,0,H33/H$12)</f>
        <v>0</v>
      </c>
      <c r="K33" s="4"/>
      <c r="L33" s="4">
        <f t="shared" ref="L33:L35" si="26">+D33-H33</f>
        <v>4041.94</v>
      </c>
      <c r="M33" s="4"/>
      <c r="N33" s="12">
        <f t="shared" ref="N33:N35" si="27">IF(H33=0,0,L33/H33)</f>
        <v>0</v>
      </c>
      <c r="O33" s="10"/>
      <c r="P33" s="4">
        <f>SUM(OSRRefP25x_0)</f>
        <v>330455.33</v>
      </c>
      <c r="Q33" s="4"/>
      <c r="R33" s="12">
        <f t="shared" ref="R33:R35" si="28">IF(P$12=0,0,P33/P$12)</f>
        <v>0</v>
      </c>
      <c r="S33" s="4"/>
      <c r="T33" s="4">
        <f>SUM(OSRRefT25x_0)</f>
        <v>277818.02</v>
      </c>
      <c r="U33" s="4"/>
      <c r="V33" s="12">
        <f t="shared" ref="V33:V35" si="29">IF(T$12=0,0,T33/T$12)</f>
        <v>0</v>
      </c>
      <c r="W33" s="4"/>
      <c r="X33" s="4">
        <f t="shared" ref="X33:X35" si="30">+P33-T33</f>
        <v>52637.31</v>
      </c>
      <c r="Y33" s="4"/>
      <c r="Z33" s="12">
        <f t="shared" ref="Z33:Z35" si="31">IF(T33=0,0,X33/T33)</f>
        <v>0.18946686755596343</v>
      </c>
    </row>
    <row r="34" spans="1:26" s="24" customFormat="1" hidden="1" outlineLevel="1" x14ac:dyDescent="0.25">
      <c r="A34" s="44"/>
      <c r="B34" s="11" t="str">
        <f>CONCATENATE("          ", "9160", " - ", "MISC. INCOME")</f>
        <v xml:space="preserve">          9160 - MISC. INCOME</v>
      </c>
      <c r="C34" s="11"/>
      <c r="D34" s="2">
        <f>0</f>
        <v>0</v>
      </c>
      <c r="E34" s="2"/>
      <c r="F34" s="19">
        <f t="shared" si="24"/>
        <v>0</v>
      </c>
      <c r="G34" s="2"/>
      <c r="H34" s="2">
        <f t="shared" ref="H34:H35" si="32">0</f>
        <v>0</v>
      </c>
      <c r="I34" s="2"/>
      <c r="J34" s="19">
        <f t="shared" si="25"/>
        <v>0</v>
      </c>
      <c r="K34" s="2"/>
      <c r="L34" s="2">
        <f t="shared" si="26"/>
        <v>0</v>
      </c>
      <c r="M34" s="2"/>
      <c r="N34" s="19">
        <f t="shared" si="27"/>
        <v>0</v>
      </c>
      <c r="O34" s="11"/>
      <c r="P34" s="2">
        <f>--103039.27</f>
        <v>103039.27</v>
      </c>
      <c r="Q34" s="2"/>
      <c r="R34" s="19">
        <f t="shared" si="28"/>
        <v>0</v>
      </c>
      <c r="S34" s="2"/>
      <c r="T34" s="2">
        <f>--59887.02</f>
        <v>59887.02</v>
      </c>
      <c r="U34" s="2"/>
      <c r="V34" s="19">
        <f t="shared" si="29"/>
        <v>0</v>
      </c>
      <c r="W34" s="2"/>
      <c r="X34" s="2">
        <f t="shared" si="30"/>
        <v>43152.250000000007</v>
      </c>
      <c r="Y34" s="2"/>
      <c r="Z34" s="19">
        <f t="shared" si="31"/>
        <v>0.72056098299765137</v>
      </c>
    </row>
    <row r="35" spans="1:26" s="24" customFormat="1" hidden="1" outlineLevel="1" x14ac:dyDescent="0.25">
      <c r="A35" s="44"/>
      <c r="B35" s="11" t="str">
        <f>CONCATENATE("          ", "9165", " - ", "OTHER INCOME")</f>
        <v xml:space="preserve">          9165 - OTHER INCOME</v>
      </c>
      <c r="C35" s="11"/>
      <c r="D35" s="2">
        <f>--4041.94</f>
        <v>4041.94</v>
      </c>
      <c r="E35" s="2"/>
      <c r="F35" s="19">
        <f t="shared" si="24"/>
        <v>0</v>
      </c>
      <c r="G35" s="2"/>
      <c r="H35" s="2">
        <f t="shared" si="32"/>
        <v>0</v>
      </c>
      <c r="I35" s="2"/>
      <c r="J35" s="19">
        <f t="shared" si="25"/>
        <v>0</v>
      </c>
      <c r="K35" s="2"/>
      <c r="L35" s="2">
        <f t="shared" si="26"/>
        <v>4041.94</v>
      </c>
      <c r="M35" s="2"/>
      <c r="N35" s="19">
        <f t="shared" si="27"/>
        <v>0</v>
      </c>
      <c r="O35" s="11"/>
      <c r="P35" s="2">
        <f>--227416.06</f>
        <v>227416.06</v>
      </c>
      <c r="Q35" s="2"/>
      <c r="R35" s="19">
        <f t="shared" si="28"/>
        <v>0</v>
      </c>
      <c r="S35" s="2"/>
      <c r="T35" s="2">
        <f>--217931</f>
        <v>217931</v>
      </c>
      <c r="U35" s="2"/>
      <c r="V35" s="19">
        <f t="shared" si="29"/>
        <v>0</v>
      </c>
      <c r="W35" s="2"/>
      <c r="X35" s="2">
        <f t="shared" si="30"/>
        <v>9485.0599999999977</v>
      </c>
      <c r="Y35" s="2"/>
      <c r="Z35" s="19">
        <f t="shared" si="31"/>
        <v>4.3523225241016643E-2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3</v>
      </c>
      <c r="C37" s="29"/>
      <c r="D37" s="20">
        <f>+D16-D18+D33</f>
        <v>-3167.4299999999989</v>
      </c>
      <c r="E37" s="14"/>
      <c r="F37" s="21">
        <f>IF(D$12=0,0,D37/D$12)</f>
        <v>0</v>
      </c>
      <c r="G37" s="14"/>
      <c r="H37" s="20">
        <f>+H16-H18+H33</f>
        <v>-6870.8899999999994</v>
      </c>
      <c r="I37" s="14"/>
      <c r="J37" s="21">
        <f>IF(H$12=0,0,H37/H$12)</f>
        <v>0</v>
      </c>
      <c r="K37" s="15"/>
      <c r="L37" s="20">
        <f>+D37-H37</f>
        <v>3703.4600000000005</v>
      </c>
      <c r="M37" s="15"/>
      <c r="N37" s="21">
        <f>IF(H37=0,0,L37/H37)</f>
        <v>-0.53900731928469248</v>
      </c>
      <c r="O37" s="28"/>
      <c r="P37" s="20">
        <f>+P16-P18+P33</f>
        <v>278114.07</v>
      </c>
      <c r="Q37" s="14"/>
      <c r="R37" s="21">
        <f>IF(P$12=0,0,P37/P$12)</f>
        <v>0</v>
      </c>
      <c r="S37" s="14"/>
      <c r="T37" s="20">
        <f>+T16-T18+T33</f>
        <v>235227.57</v>
      </c>
      <c r="U37" s="14"/>
      <c r="V37" s="21">
        <f>IF(T$12=0,0,T37/T$12)</f>
        <v>0</v>
      </c>
      <c r="W37" s="15"/>
      <c r="X37" s="20">
        <f>+P37-T37</f>
        <v>42886.5</v>
      </c>
      <c r="Y37" s="15"/>
      <c r="Z37" s="21">
        <f>IF(T37=0,0,X37/T37)</f>
        <v>0.18231918988067597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51"/>
      <c r="B39" s="10" t="s">
        <v>13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9" t="s">
        <v>4</v>
      </c>
      <c r="C41" s="29"/>
      <c r="D41" s="32">
        <f>+D37-D39</f>
        <v>-3167.4299999999989</v>
      </c>
      <c r="E41" s="14"/>
      <c r="F41" s="30">
        <f>IF(D$12=0,0,D41/D$12)</f>
        <v>0</v>
      </c>
      <c r="G41" s="14"/>
      <c r="H41" s="32">
        <f>+H37-H39</f>
        <v>-6870.8899999999994</v>
      </c>
      <c r="I41" s="14"/>
      <c r="J41" s="30">
        <f>IF(H$12=0,0,H41/H$12)</f>
        <v>0</v>
      </c>
      <c r="K41" s="15"/>
      <c r="L41" s="32">
        <f>D41-H41</f>
        <v>3703.4600000000005</v>
      </c>
      <c r="M41" s="15"/>
      <c r="N41" s="30">
        <f>IF(H41=0,0,L41/H41)</f>
        <v>-0.53900731928469248</v>
      </c>
      <c r="O41" s="28"/>
      <c r="P41" s="32">
        <f>+P37-P39</f>
        <v>278114.07</v>
      </c>
      <c r="Q41" s="14"/>
      <c r="R41" s="30">
        <f>IF(P$12=0,0,P41/P$12)</f>
        <v>0</v>
      </c>
      <c r="S41" s="14"/>
      <c r="T41" s="32">
        <f>+T37-T39</f>
        <v>235227.57</v>
      </c>
      <c r="U41" s="14"/>
      <c r="V41" s="30">
        <f>IF(T$12=0,0,T41/T$12)</f>
        <v>0</v>
      </c>
      <c r="W41" s="15"/>
      <c r="X41" s="32">
        <f>P41-T41</f>
        <v>42886.5</v>
      </c>
      <c r="Y41" s="15"/>
      <c r="Z41" s="30">
        <f>IF(T41=0,0,X41/T41)</f>
        <v>0.18231918988067597</v>
      </c>
    </row>
    <row r="42" spans="1:26" ht="15.75" thickTop="1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9" t="s">
        <v>5</v>
      </c>
      <c r="C44" s="29"/>
      <c r="D44" s="36">
        <f>SUM(D41:D43)</f>
        <v>-3167.4299999999989</v>
      </c>
      <c r="E44" s="14"/>
      <c r="F44" s="31">
        <f>IF(D$12=0,0,D44/D$12)</f>
        <v>0</v>
      </c>
      <c r="G44" s="14"/>
      <c r="H44" s="36">
        <f>SUM(H41:H43)</f>
        <v>-6870.8899999999994</v>
      </c>
      <c r="I44" s="14"/>
      <c r="J44" s="31">
        <f>IF(H$12=0,0,H44/H$12)</f>
        <v>0</v>
      </c>
      <c r="K44" s="15"/>
      <c r="L44" s="36">
        <f>+D44-H44</f>
        <v>3703.4600000000005</v>
      </c>
      <c r="M44" s="15"/>
      <c r="N44" s="31">
        <f>IF(H44=0,0,L44/H44)</f>
        <v>-0.53900731928469248</v>
      </c>
      <c r="O44" s="28"/>
      <c r="P44" s="36">
        <f>SUM(P41:P43)</f>
        <v>278114.07</v>
      </c>
      <c r="Q44" s="14"/>
      <c r="R44" s="31">
        <f>IF(P$12=0,0,P44/P$12)</f>
        <v>0</v>
      </c>
      <c r="S44" s="14"/>
      <c r="T44" s="36">
        <f>SUM(T41:T43)</f>
        <v>235227.57</v>
      </c>
      <c r="U44" s="14"/>
      <c r="V44" s="31">
        <f>IF(T$12=0,0,T44/T$12)</f>
        <v>0</v>
      </c>
      <c r="W44" s="15"/>
      <c r="X44" s="36">
        <f>+P44-T44</f>
        <v>42886.5</v>
      </c>
      <c r="Y44" s="15"/>
      <c r="Z44" s="31">
        <f>IF(T44=0,0,X44/T44)</f>
        <v>0.18231918988067597</v>
      </c>
    </row>
    <row r="45" spans="1:26" ht="15.75" thickTop="1" x14ac:dyDescent="0.25">
      <c r="A45" s="9"/>
      <c r="C45" s="9"/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25">
      <c r="A46" s="9"/>
      <c r="B46" s="62">
        <v>43847.45428302083</v>
      </c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25">
      <c r="A47" s="9"/>
      <c r="B47" s="56" t="s">
        <v>313</v>
      </c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25">
      <c r="A48" s="9"/>
      <c r="B48" s="54"/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  <row r="49" spans="4:24" x14ac:dyDescent="0.25">
      <c r="D49" s="17"/>
      <c r="E49" s="17"/>
      <c r="G49" s="17"/>
      <c r="H49" s="17"/>
      <c r="I49" s="17"/>
      <c r="J49" s="42"/>
      <c r="K49" s="17"/>
      <c r="L49" s="17"/>
      <c r="M49" s="17"/>
      <c r="P49" s="17"/>
      <c r="Q49" s="17"/>
      <c r="R49" s="42"/>
      <c r="S49" s="17"/>
      <c r="T49" s="17"/>
      <c r="U49" s="17"/>
      <c r="V49" s="42"/>
      <c r="W49" s="17"/>
      <c r="X49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296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21350</v>
      </c>
      <c r="E12" s="4"/>
      <c r="F12" s="12"/>
      <c r="G12" s="4"/>
      <c r="H12" s="4">
        <f>SUM(OSRRefH13x_0)</f>
        <v>39459</v>
      </c>
      <c r="I12" s="4"/>
      <c r="J12" s="12"/>
      <c r="K12" s="4"/>
      <c r="L12" s="4">
        <f t="shared" ref="L12:L13" si="0">+D12-H12</f>
        <v>-18109</v>
      </c>
      <c r="M12" s="4"/>
      <c r="N12" s="12">
        <f t="shared" ref="N12:N13" si="1">IF(H12=0,0,L12/H12)</f>
        <v>-0.45893205605818699</v>
      </c>
      <c r="O12" s="10"/>
      <c r="P12" s="4">
        <f>SUM(OSRRefP13x_0)</f>
        <v>166801</v>
      </c>
      <c r="Q12" s="4"/>
      <c r="R12" s="12"/>
      <c r="S12" s="4"/>
      <c r="T12" s="4">
        <f>SUM(OSRRefT13x_0)</f>
        <v>200269</v>
      </c>
      <c r="U12" s="4"/>
      <c r="V12" s="12"/>
      <c r="W12" s="4"/>
      <c r="X12" s="4">
        <f t="shared" ref="X12:X13" si="2">+P12-T12</f>
        <v>-33468</v>
      </c>
      <c r="Y12" s="4"/>
      <c r="Z12" s="12">
        <f t="shared" ref="Z12:Z13" si="3">IF(T12=0,0,X12/T12)</f>
        <v>-0.16711523001562897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--21350</f>
        <v>21350</v>
      </c>
      <c r="E13" s="2"/>
      <c r="F13" s="19"/>
      <c r="G13" s="2"/>
      <c r="H13" s="2">
        <f>--39459</f>
        <v>39459</v>
      </c>
      <c r="I13" s="2"/>
      <c r="J13" s="19"/>
      <c r="K13" s="2"/>
      <c r="L13" s="2">
        <f t="shared" si="0"/>
        <v>-18109</v>
      </c>
      <c r="M13" s="2"/>
      <c r="N13" s="19">
        <f t="shared" si="1"/>
        <v>-0.45893205605818699</v>
      </c>
      <c r="O13" s="11"/>
      <c r="P13" s="2">
        <f>--166801</f>
        <v>166801</v>
      </c>
      <c r="Q13" s="2"/>
      <c r="R13" s="19"/>
      <c r="S13" s="2"/>
      <c r="T13" s="2">
        <f>--200269</f>
        <v>200269</v>
      </c>
      <c r="U13" s="2"/>
      <c r="V13" s="19"/>
      <c r="W13" s="2"/>
      <c r="X13" s="2">
        <f t="shared" si="2"/>
        <v>-33468</v>
      </c>
      <c r="Y13" s="2"/>
      <c r="Z13" s="19">
        <f t="shared" si="3"/>
        <v>-0.16711523001562897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D12-D15</f>
        <v>21350</v>
      </c>
      <c r="E17" s="14"/>
      <c r="F17" s="21">
        <f>IF(D$12=0,0,D17/D$12)</f>
        <v>1</v>
      </c>
      <c r="G17" s="14"/>
      <c r="H17" s="20">
        <f>H12-H15</f>
        <v>39459</v>
      </c>
      <c r="I17" s="14"/>
      <c r="J17" s="21">
        <f>IF(H$12=0,0,H17/H$12)</f>
        <v>1</v>
      </c>
      <c r="K17" s="15"/>
      <c r="L17" s="20">
        <f>+D17-H17</f>
        <v>-18109</v>
      </c>
      <c r="M17" s="15"/>
      <c r="N17" s="21">
        <f>IF(H17=0,0,L17/H17)</f>
        <v>-0.45893205605818699</v>
      </c>
      <c r="O17" s="28"/>
      <c r="P17" s="20">
        <f>P12-P15</f>
        <v>166801</v>
      </c>
      <c r="Q17" s="14"/>
      <c r="R17" s="21">
        <f>IF(P$12=0,0,P17/P$12)</f>
        <v>1</v>
      </c>
      <c r="S17" s="14"/>
      <c r="T17" s="20">
        <f>T12-T15</f>
        <v>200269</v>
      </c>
      <c r="U17" s="14"/>
      <c r="V17" s="21">
        <f>IF(T$12=0,0,T17/T$12)</f>
        <v>1</v>
      </c>
      <c r="W17" s="15"/>
      <c r="X17" s="20">
        <f>+P17-T17</f>
        <v>-33468</v>
      </c>
      <c r="Y17" s="15"/>
      <c r="Z17" s="21">
        <f>IF(T17=0,0,X17/T17)</f>
        <v>-0.16711523001562897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20034.310000000001</v>
      </c>
      <c r="E19" s="22"/>
      <c r="F19" s="33">
        <f t="shared" ref="F19:F28" si="4">IF(D$12=0,0,D19/D$12)</f>
        <v>0.93837517564402817</v>
      </c>
      <c r="G19" s="22"/>
      <c r="H19" s="22">
        <f>SUM(OSRRefH22x_0)</f>
        <v>35569.699999999997</v>
      </c>
      <c r="I19" s="22"/>
      <c r="J19" s="33">
        <f t="shared" ref="J19:J28" si="5">IF(H$12=0,0,H19/H$12)</f>
        <v>0.90143440026356458</v>
      </c>
      <c r="K19" s="4"/>
      <c r="L19" s="22">
        <f t="shared" ref="L19:L28" si="6">+D19-H19</f>
        <v>-15535.389999999996</v>
      </c>
      <c r="M19" s="4"/>
      <c r="N19" s="33">
        <f t="shared" ref="N19:N28" si="7">IF(H19=0,0,L19/H19)</f>
        <v>-0.43675909552231246</v>
      </c>
      <c r="O19" s="10"/>
      <c r="P19" s="22">
        <f>SUM(OSRRefP22x_0)</f>
        <v>165274.94999999995</v>
      </c>
      <c r="Q19" s="22"/>
      <c r="R19" s="33">
        <f t="shared" ref="R19:R28" si="8">IF(P$12=0,0,P19/P$12)</f>
        <v>0.99085107403432804</v>
      </c>
      <c r="S19" s="22"/>
      <c r="T19" s="22">
        <f>SUM(OSRRefT22x_0)</f>
        <v>198581.78000000003</v>
      </c>
      <c r="U19" s="22"/>
      <c r="V19" s="33">
        <f t="shared" ref="V19:V28" si="9">IF(T$12=0,0,T19/T$12)</f>
        <v>0.99157523131388292</v>
      </c>
      <c r="W19" s="4"/>
      <c r="X19" s="22">
        <f t="shared" ref="X19:X28" si="10">+P19-T19</f>
        <v>-33306.830000000075</v>
      </c>
      <c r="Y19" s="4"/>
      <c r="Z19" s="33">
        <f t="shared" ref="Z19:Z28" si="11">IF(T19=0,0,X19/T19)</f>
        <v>-0.16772349406879156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3916.68</v>
      </c>
      <c r="E20" s="1"/>
      <c r="F20" s="5">
        <f t="shared" si="4"/>
        <v>0.1834510538641686</v>
      </c>
      <c r="G20" s="1"/>
      <c r="H20" s="1">
        <f>SUM(OSRRefH22_0x_0)</f>
        <v>3597.12</v>
      </c>
      <c r="I20" s="1"/>
      <c r="J20" s="5">
        <f t="shared" si="5"/>
        <v>9.116095187409716E-2</v>
      </c>
      <c r="K20" s="1"/>
      <c r="L20" s="1">
        <f t="shared" si="6"/>
        <v>319.55999999999995</v>
      </c>
      <c r="M20" s="1"/>
      <c r="N20" s="5">
        <f t="shared" si="7"/>
        <v>8.8837736856151581E-2</v>
      </c>
      <c r="O20" s="13"/>
      <c r="P20" s="1">
        <f>SUM(OSRRefP22_0x_0)</f>
        <v>27100.460000000003</v>
      </c>
      <c r="Q20" s="1"/>
      <c r="R20" s="5">
        <f t="shared" si="8"/>
        <v>0.16247180772297529</v>
      </c>
      <c r="S20" s="1"/>
      <c r="T20" s="1">
        <f>SUM(OSRRefT22_0x_0)</f>
        <v>25966.179999999997</v>
      </c>
      <c r="U20" s="1"/>
      <c r="V20" s="5">
        <f t="shared" si="9"/>
        <v>0.1296565119913716</v>
      </c>
      <c r="W20" s="1"/>
      <c r="X20" s="1">
        <f t="shared" si="10"/>
        <v>1134.2800000000061</v>
      </c>
      <c r="Y20" s="1"/>
      <c r="Z20" s="5">
        <f t="shared" si="11"/>
        <v>4.3682975316354053E-2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907.16</v>
      </c>
      <c r="E21" s="2"/>
      <c r="F21" s="7">
        <f t="shared" si="4"/>
        <v>4.2489929742388757E-2</v>
      </c>
      <c r="G21" s="2"/>
      <c r="H21" s="6">
        <v>691.51</v>
      </c>
      <c r="I21" s="2"/>
      <c r="J21" s="7">
        <f t="shared" si="5"/>
        <v>1.7524772548721458E-2</v>
      </c>
      <c r="K21" s="2"/>
      <c r="L21" s="6">
        <f t="shared" si="6"/>
        <v>215.64999999999998</v>
      </c>
      <c r="M21" s="2"/>
      <c r="N21" s="7">
        <f t="shared" si="7"/>
        <v>0.31185376928750125</v>
      </c>
      <c r="O21" s="11"/>
      <c r="P21" s="6">
        <v>6796.74</v>
      </c>
      <c r="Q21" s="2"/>
      <c r="R21" s="7">
        <f t="shared" si="8"/>
        <v>4.0747597436466207E-2</v>
      </c>
      <c r="S21" s="2"/>
      <c r="T21" s="6">
        <v>6018.42</v>
      </c>
      <c r="U21" s="2"/>
      <c r="V21" s="7">
        <f t="shared" si="9"/>
        <v>3.0051680489741297E-2</v>
      </c>
      <c r="W21" s="2"/>
      <c r="X21" s="6">
        <f t="shared" si="10"/>
        <v>778.31999999999971</v>
      </c>
      <c r="Y21" s="2"/>
      <c r="Z21" s="7">
        <f t="shared" si="11"/>
        <v>0.1293229784561396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70.650000000000006</v>
      </c>
      <c r="E22" s="2"/>
      <c r="F22" s="7">
        <f t="shared" si="4"/>
        <v>3.3091334894613587E-3</v>
      </c>
      <c r="G22" s="2"/>
      <c r="H22" s="6">
        <v>62.15</v>
      </c>
      <c r="I22" s="2"/>
      <c r="J22" s="7">
        <f t="shared" si="5"/>
        <v>1.5750525862287437E-3</v>
      </c>
      <c r="K22" s="2"/>
      <c r="L22" s="6">
        <f t="shared" si="6"/>
        <v>8.5000000000000071</v>
      </c>
      <c r="M22" s="2"/>
      <c r="N22" s="7">
        <f t="shared" si="7"/>
        <v>0.13676588897827849</v>
      </c>
      <c r="O22" s="11"/>
      <c r="P22" s="6">
        <v>287.29000000000002</v>
      </c>
      <c r="Q22" s="2"/>
      <c r="R22" s="7">
        <f t="shared" si="8"/>
        <v>1.7223517844617239E-3</v>
      </c>
      <c r="S22" s="2"/>
      <c r="T22" s="6">
        <v>359.91</v>
      </c>
      <c r="U22" s="2"/>
      <c r="V22" s="7">
        <f t="shared" si="9"/>
        <v>1.7971328563082655E-3</v>
      </c>
      <c r="W22" s="2"/>
      <c r="X22" s="6">
        <f t="shared" si="10"/>
        <v>-72.62</v>
      </c>
      <c r="Y22" s="2"/>
      <c r="Z22" s="7">
        <f t="shared" si="11"/>
        <v>-0.20177266538856936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5.8234660421545667E-2</v>
      </c>
      <c r="G23" s="2"/>
      <c r="H23" s="6">
        <v>1243.31</v>
      </c>
      <c r="I23" s="2"/>
      <c r="J23" s="7">
        <f t="shared" si="5"/>
        <v>3.1508907980435388E-2</v>
      </c>
      <c r="K23" s="2"/>
      <c r="L23" s="6">
        <f t="shared" si="6"/>
        <v>0</v>
      </c>
      <c r="M23" s="2"/>
      <c r="N23" s="7">
        <f t="shared" si="7"/>
        <v>0</v>
      </c>
      <c r="O23" s="11"/>
      <c r="P23" s="6">
        <v>7459.86</v>
      </c>
      <c r="Q23" s="2"/>
      <c r="R23" s="7">
        <f t="shared" si="8"/>
        <v>4.4723113170784347E-2</v>
      </c>
      <c r="S23" s="2"/>
      <c r="T23" s="6">
        <v>7325.98</v>
      </c>
      <c r="U23" s="2"/>
      <c r="V23" s="7">
        <f t="shared" si="9"/>
        <v>3.6580698959898933E-2</v>
      </c>
      <c r="W23" s="2"/>
      <c r="X23" s="6">
        <f t="shared" si="10"/>
        <v>133.88000000000011</v>
      </c>
      <c r="Y23" s="2"/>
      <c r="Z23" s="7">
        <f t="shared" si="11"/>
        <v>1.8274688164586869E-2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54.02</v>
      </c>
      <c r="E24" s="2"/>
      <c r="F24" s="7">
        <f t="shared" si="4"/>
        <v>2.5302107728337239E-3</v>
      </c>
      <c r="G24" s="2"/>
      <c r="H24" s="6">
        <v>52.13</v>
      </c>
      <c r="I24" s="2"/>
      <c r="J24" s="7">
        <f t="shared" si="5"/>
        <v>1.3211181226082771E-3</v>
      </c>
      <c r="K24" s="2"/>
      <c r="L24" s="6">
        <f t="shared" si="6"/>
        <v>1.8900000000000006</v>
      </c>
      <c r="M24" s="2"/>
      <c r="N24" s="7">
        <f t="shared" si="7"/>
        <v>3.625551505850759E-2</v>
      </c>
      <c r="O24" s="11"/>
      <c r="P24" s="6">
        <v>288.94</v>
      </c>
      <c r="Q24" s="2"/>
      <c r="R24" s="7">
        <f t="shared" si="8"/>
        <v>1.7322438114879407E-3</v>
      </c>
      <c r="S24" s="2"/>
      <c r="T24" s="6">
        <v>301.88</v>
      </c>
      <c r="U24" s="2"/>
      <c r="V24" s="7">
        <f t="shared" si="9"/>
        <v>1.5073725838746885E-3</v>
      </c>
      <c r="W24" s="2"/>
      <c r="X24" s="6">
        <f t="shared" si="10"/>
        <v>-12.939999999999998</v>
      </c>
      <c r="Y24" s="2"/>
      <c r="Z24" s="7">
        <f t="shared" si="11"/>
        <v>-4.2864714456075252E-2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2.9951756440281033E-2</v>
      </c>
      <c r="G25" s="2"/>
      <c r="H25" s="6">
        <v>544.30999999999995</v>
      </c>
      <c r="I25" s="2"/>
      <c r="J25" s="7">
        <f t="shared" si="5"/>
        <v>1.3794318153019588E-2</v>
      </c>
      <c r="K25" s="2"/>
      <c r="L25" s="6">
        <f t="shared" si="6"/>
        <v>95.160000000000082</v>
      </c>
      <c r="M25" s="2"/>
      <c r="N25" s="7">
        <f t="shared" si="7"/>
        <v>0.17482684499641765</v>
      </c>
      <c r="O25" s="11"/>
      <c r="P25" s="6">
        <v>4607.24</v>
      </c>
      <c r="Q25" s="2"/>
      <c r="R25" s="7">
        <f t="shared" si="8"/>
        <v>2.7621177331071157E-2</v>
      </c>
      <c r="S25" s="2"/>
      <c r="T25" s="6">
        <v>4131.53</v>
      </c>
      <c r="U25" s="2"/>
      <c r="V25" s="7">
        <f t="shared" si="9"/>
        <v>2.0629902780759875E-2</v>
      </c>
      <c r="W25" s="2"/>
      <c r="X25" s="6">
        <f t="shared" si="10"/>
        <v>475.71000000000004</v>
      </c>
      <c r="Y25" s="2"/>
      <c r="Z25" s="7">
        <f t="shared" si="11"/>
        <v>0.11514136409514153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577.94000000000005</v>
      </c>
      <c r="E26" s="2"/>
      <c r="F26" s="7">
        <f t="shared" si="4"/>
        <v>2.7069789227166279E-2</v>
      </c>
      <c r="G26" s="2"/>
      <c r="H26" s="6">
        <v>534.38</v>
      </c>
      <c r="I26" s="2"/>
      <c r="J26" s="7">
        <f t="shared" si="5"/>
        <v>1.3542664537874756E-2</v>
      </c>
      <c r="K26" s="2"/>
      <c r="L26" s="6">
        <f t="shared" si="6"/>
        <v>43.560000000000059</v>
      </c>
      <c r="M26" s="2"/>
      <c r="N26" s="7">
        <f t="shared" si="7"/>
        <v>8.151502675998365E-2</v>
      </c>
      <c r="O26" s="11"/>
      <c r="P26" s="6">
        <v>4492.88</v>
      </c>
      <c r="Q26" s="2"/>
      <c r="R26" s="7">
        <f t="shared" si="8"/>
        <v>2.6935569930635908E-2</v>
      </c>
      <c r="S26" s="2"/>
      <c r="T26" s="6">
        <v>4070.27</v>
      </c>
      <c r="U26" s="2"/>
      <c r="V26" s="7">
        <f t="shared" si="9"/>
        <v>2.0324014200899791E-2</v>
      </c>
      <c r="W26" s="2"/>
      <c r="X26" s="6">
        <f t="shared" si="10"/>
        <v>422.61000000000013</v>
      </c>
      <c r="Y26" s="2"/>
      <c r="Z26" s="7">
        <f t="shared" si="11"/>
        <v>0.10382849295009916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288.57</v>
      </c>
      <c r="E27" s="2"/>
      <c r="F27" s="7">
        <f t="shared" si="4"/>
        <v>1.3516159250585479E-2</v>
      </c>
      <c r="G27" s="2"/>
      <c r="H27" s="6">
        <v>353.46</v>
      </c>
      <c r="I27" s="2"/>
      <c r="J27" s="7">
        <f t="shared" si="5"/>
        <v>8.9576522466357483E-3</v>
      </c>
      <c r="K27" s="2"/>
      <c r="L27" s="6">
        <f t="shared" si="6"/>
        <v>-64.889999999999986</v>
      </c>
      <c r="M27" s="2"/>
      <c r="N27" s="7">
        <f t="shared" si="7"/>
        <v>-0.18358512985910708</v>
      </c>
      <c r="O27" s="11"/>
      <c r="P27" s="6">
        <v>2265.6999999999998</v>
      </c>
      <c r="Q27" s="2"/>
      <c r="R27" s="7">
        <f t="shared" si="8"/>
        <v>1.3583251898969429E-2</v>
      </c>
      <c r="S27" s="2"/>
      <c r="T27" s="6">
        <v>2342.35</v>
      </c>
      <c r="U27" s="2"/>
      <c r="V27" s="7">
        <f t="shared" si="9"/>
        <v>1.1696018854640508E-2</v>
      </c>
      <c r="W27" s="2"/>
      <c r="X27" s="6">
        <f t="shared" si="10"/>
        <v>-76.650000000000091</v>
      </c>
      <c r="Y27" s="2"/>
      <c r="Z27" s="7">
        <f t="shared" si="11"/>
        <v>-3.2723546865327593E-2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135.56</v>
      </c>
      <c r="E28" s="2"/>
      <c r="F28" s="7">
        <f t="shared" si="4"/>
        <v>6.3494145199063231E-3</v>
      </c>
      <c r="G28" s="2"/>
      <c r="H28" s="6">
        <v>115.87</v>
      </c>
      <c r="I28" s="2"/>
      <c r="J28" s="7">
        <f t="shared" si="5"/>
        <v>2.9364656985732028E-3</v>
      </c>
      <c r="K28" s="2"/>
      <c r="L28" s="6">
        <f t="shared" si="6"/>
        <v>19.689999999999998</v>
      </c>
      <c r="M28" s="2"/>
      <c r="N28" s="7">
        <f t="shared" si="7"/>
        <v>0.16993182014326397</v>
      </c>
      <c r="O28" s="11"/>
      <c r="P28" s="6">
        <v>901.81</v>
      </c>
      <c r="Q28" s="2"/>
      <c r="R28" s="7">
        <f t="shared" si="8"/>
        <v>5.4065023590985665E-3</v>
      </c>
      <c r="S28" s="2"/>
      <c r="T28" s="6">
        <v>1415.84</v>
      </c>
      <c r="U28" s="2"/>
      <c r="V28" s="7">
        <f t="shared" si="9"/>
        <v>7.0696912652482404E-3</v>
      </c>
      <c r="W28" s="2"/>
      <c r="X28" s="6">
        <f t="shared" si="10"/>
        <v>-514.03</v>
      </c>
      <c r="Y28" s="2"/>
      <c r="Z28" s="7">
        <f t="shared" si="11"/>
        <v>-0.36305656006328396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12932.08</v>
      </c>
      <c r="E29" s="1"/>
      <c r="F29" s="5">
        <f t="shared" ref="F29:F35" si="12">IF(D$12=0,0,D29/D$12)</f>
        <v>0.6057180327868853</v>
      </c>
      <c r="G29" s="1"/>
      <c r="H29" s="1">
        <f>SUM(OSRRefH22_1x_0)</f>
        <v>12609.670000000002</v>
      </c>
      <c r="I29" s="1"/>
      <c r="J29" s="5">
        <f t="shared" ref="J29:J35" si="13">IF(H$12=0,0,H29/H$12)</f>
        <v>0.31956385108593732</v>
      </c>
      <c r="K29" s="1"/>
      <c r="L29" s="1">
        <f t="shared" ref="L29:L35" si="14">+D29-H29</f>
        <v>322.40999999999804</v>
      </c>
      <c r="M29" s="1"/>
      <c r="N29" s="5">
        <f t="shared" ref="N29:N35" si="15">IF(H29=0,0,L29/H29)</f>
        <v>2.556847245011154E-2</v>
      </c>
      <c r="O29" s="13"/>
      <c r="P29" s="1">
        <f>SUM(OSRRefP22_1x_0)</f>
        <v>100031.45</v>
      </c>
      <c r="Q29" s="1"/>
      <c r="R29" s="5">
        <f t="shared" ref="R29:R35" si="16">IF(P$12=0,0,P29/P$12)</f>
        <v>0.59970533749797661</v>
      </c>
      <c r="S29" s="1"/>
      <c r="T29" s="1">
        <f>SUM(OSRRefT22_1x_0)</f>
        <v>96988.849999999991</v>
      </c>
      <c r="U29" s="1"/>
      <c r="V29" s="5">
        <f t="shared" ref="V29:V35" si="17">IF(T$12=0,0,T29/T$12)</f>
        <v>0.4842928760816701</v>
      </c>
      <c r="W29" s="1"/>
      <c r="X29" s="1">
        <f t="shared" ref="X29:X35" si="18">+P29-T29</f>
        <v>3042.6000000000058</v>
      </c>
      <c r="Y29" s="1"/>
      <c r="Z29" s="5">
        <f t="shared" ref="Z29:Z35" si="19">IF(T29=0,0,X29/T29)</f>
        <v>3.1370616313112346E-2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5318</v>
      </c>
      <c r="E30" s="2"/>
      <c r="F30" s="7">
        <f t="shared" si="12"/>
        <v>0.24908665105386416</v>
      </c>
      <c r="G30" s="2"/>
      <c r="H30" s="6">
        <v>5206.43</v>
      </c>
      <c r="I30" s="2"/>
      <c r="J30" s="7">
        <f t="shared" si="13"/>
        <v>0.13194531032210649</v>
      </c>
      <c r="K30" s="2"/>
      <c r="L30" s="6">
        <f t="shared" si="14"/>
        <v>111.56999999999971</v>
      </c>
      <c r="M30" s="2"/>
      <c r="N30" s="7">
        <f t="shared" si="15"/>
        <v>2.1429271112835418E-2</v>
      </c>
      <c r="O30" s="11"/>
      <c r="P30" s="6">
        <v>34499.879999999997</v>
      </c>
      <c r="Q30" s="2"/>
      <c r="R30" s="7">
        <f t="shared" si="16"/>
        <v>0.20683257294620536</v>
      </c>
      <c r="S30" s="2"/>
      <c r="T30" s="6">
        <v>34998.86</v>
      </c>
      <c r="U30" s="2"/>
      <c r="V30" s="7">
        <f t="shared" si="17"/>
        <v>0.17475924881035007</v>
      </c>
      <c r="W30" s="2"/>
      <c r="X30" s="6">
        <f t="shared" si="18"/>
        <v>-498.9800000000032</v>
      </c>
      <c r="Y30" s="2"/>
      <c r="Z30" s="7">
        <f t="shared" si="19"/>
        <v>-1.4257035800594739E-2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5.5230714688743639E-2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5841.27</v>
      </c>
      <c r="E32" s="2"/>
      <c r="F32" s="7">
        <f t="shared" si="12"/>
        <v>0.27359578454332556</v>
      </c>
      <c r="G32" s="2"/>
      <c r="H32" s="6">
        <v>3717.77</v>
      </c>
      <c r="I32" s="2"/>
      <c r="J32" s="7">
        <f t="shared" si="13"/>
        <v>9.4218555969487319E-2</v>
      </c>
      <c r="K32" s="2"/>
      <c r="L32" s="6">
        <f t="shared" si="14"/>
        <v>2123.5000000000005</v>
      </c>
      <c r="M32" s="2"/>
      <c r="N32" s="7">
        <f t="shared" si="15"/>
        <v>0.5711757316886199</v>
      </c>
      <c r="O32" s="11"/>
      <c r="P32" s="6">
        <v>44937.310000000005</v>
      </c>
      <c r="Q32" s="2"/>
      <c r="R32" s="7">
        <f t="shared" si="16"/>
        <v>0.26940671818514278</v>
      </c>
      <c r="S32" s="2"/>
      <c r="T32" s="6">
        <v>19545.449999999997</v>
      </c>
      <c r="U32" s="2"/>
      <c r="V32" s="7">
        <f t="shared" si="17"/>
        <v>9.7595983402323866E-2</v>
      </c>
      <c r="W32" s="2"/>
      <c r="X32" s="6">
        <f t="shared" si="18"/>
        <v>25391.860000000008</v>
      </c>
      <c r="Y32" s="2"/>
      <c r="Z32" s="7">
        <f t="shared" si="19"/>
        <v>1.2991187207252846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/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4838.08</v>
      </c>
      <c r="U33" s="2"/>
      <c r="V33" s="7">
        <f t="shared" si="17"/>
        <v>2.415790761425882E-2</v>
      </c>
      <c r="W33" s="2"/>
      <c r="X33" s="6">
        <f t="shared" si="18"/>
        <v>-4838.08</v>
      </c>
      <c r="Y33" s="2"/>
      <c r="Z33" s="7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1597.5</v>
      </c>
      <c r="E34" s="2"/>
      <c r="F34" s="7">
        <f t="shared" si="12"/>
        <v>7.4824355971896961E-2</v>
      </c>
      <c r="G34" s="2"/>
      <c r="H34" s="6">
        <v>3387.44</v>
      </c>
      <c r="I34" s="2"/>
      <c r="J34" s="7">
        <f t="shared" si="13"/>
        <v>8.5847081781089227E-2</v>
      </c>
      <c r="K34" s="2"/>
      <c r="L34" s="6">
        <f t="shared" si="14"/>
        <v>-1789.94</v>
      </c>
      <c r="M34" s="2"/>
      <c r="N34" s="7">
        <f t="shared" si="15"/>
        <v>-0.52840493115745224</v>
      </c>
      <c r="O34" s="11"/>
      <c r="P34" s="6">
        <v>16644.929999999997</v>
      </c>
      <c r="Q34" s="2"/>
      <c r="R34" s="7">
        <f t="shared" si="16"/>
        <v>9.9789149945144193E-2</v>
      </c>
      <c r="S34" s="2"/>
      <c r="T34" s="6">
        <v>26076.929999999997</v>
      </c>
      <c r="U34" s="2"/>
      <c r="V34" s="7">
        <f t="shared" si="17"/>
        <v>0.13020951819802365</v>
      </c>
      <c r="W34" s="2"/>
      <c r="X34" s="6">
        <f t="shared" si="18"/>
        <v>-9432</v>
      </c>
      <c r="Y34" s="2"/>
      <c r="Z34" s="7">
        <f t="shared" si="19"/>
        <v>-0.36169901901795959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>
        <v>175.31</v>
      </c>
      <c r="E35" s="2"/>
      <c r="F35" s="7">
        <f t="shared" si="12"/>
        <v>8.2112412177985945E-3</v>
      </c>
      <c r="G35" s="2"/>
      <c r="H35" s="6">
        <v>298.02999999999997</v>
      </c>
      <c r="I35" s="2"/>
      <c r="J35" s="7">
        <f t="shared" si="13"/>
        <v>7.5529030132542628E-3</v>
      </c>
      <c r="K35" s="2"/>
      <c r="L35" s="6">
        <f t="shared" si="14"/>
        <v>-122.71999999999997</v>
      </c>
      <c r="M35" s="2"/>
      <c r="N35" s="7">
        <f t="shared" si="15"/>
        <v>-0.41177062711807533</v>
      </c>
      <c r="O35" s="11"/>
      <c r="P35" s="6">
        <v>3949.33</v>
      </c>
      <c r="Q35" s="2"/>
      <c r="R35" s="7">
        <f t="shared" si="16"/>
        <v>2.3676896421484284E-2</v>
      </c>
      <c r="S35" s="2"/>
      <c r="T35" s="6">
        <v>468.53</v>
      </c>
      <c r="U35" s="2"/>
      <c r="V35" s="7">
        <f t="shared" si="17"/>
        <v>2.3395033679700799E-3</v>
      </c>
      <c r="W35" s="2"/>
      <c r="X35" s="6">
        <f t="shared" si="18"/>
        <v>3480.8</v>
      </c>
      <c r="Y35" s="2"/>
      <c r="Z35" s="7">
        <f t="shared" si="19"/>
        <v>7.4291934347853932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39</v>
      </c>
      <c r="I36" s="1"/>
      <c r="J36" s="5">
        <f t="shared" ref="J36:J44" si="21">IF(H$12=0,0,H36/H$12)</f>
        <v>9.8836767277427203E-4</v>
      </c>
      <c r="K36" s="1"/>
      <c r="L36" s="1">
        <f t="shared" ref="L36:L44" si="22">+D36-H36</f>
        <v>-39</v>
      </c>
      <c r="M36" s="1"/>
      <c r="N36" s="5">
        <f t="shared" ref="N36:N44" si="23">IF(H36=0,0,L36/H36)</f>
        <v>-1</v>
      </c>
      <c r="O36" s="13"/>
      <c r="P36" s="1">
        <f>SUM(OSRRefP22_2x_0)</f>
        <v>106.77</v>
      </c>
      <c r="Q36" s="1"/>
      <c r="R36" s="5">
        <f t="shared" ref="R36:R44" si="24">IF(P$12=0,0,P36/P$12)</f>
        <v>6.4010407611465154E-4</v>
      </c>
      <c r="S36" s="1"/>
      <c r="T36" s="1">
        <f>SUM(OSRRefT22_2x_0)</f>
        <v>2526.94</v>
      </c>
      <c r="U36" s="1"/>
      <c r="V36" s="5">
        <f t="shared" ref="V36:V44" si="25">IF(T$12=0,0,T36/T$12)</f>
        <v>1.2617729154287483E-2</v>
      </c>
      <c r="W36" s="1"/>
      <c r="X36" s="1">
        <f t="shared" ref="X36:X44" si="26">+P36-T36</f>
        <v>-2420.17</v>
      </c>
      <c r="Y36" s="1"/>
      <c r="Z36" s="5">
        <f t="shared" ref="Z36:Z44" si="27">IF(T36=0,0,X36/T36)</f>
        <v>-0.95774731493426835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39</v>
      </c>
      <c r="I37" s="2"/>
      <c r="J37" s="7">
        <f t="shared" si="21"/>
        <v>9.8836767277427203E-4</v>
      </c>
      <c r="K37" s="2"/>
      <c r="L37" s="6">
        <f t="shared" si="22"/>
        <v>-39</v>
      </c>
      <c r="M37" s="2"/>
      <c r="N37" s="7">
        <f t="shared" si="23"/>
        <v>-1</v>
      </c>
      <c r="O37" s="11"/>
      <c r="P37" s="6">
        <v>106.77</v>
      </c>
      <c r="Q37" s="2"/>
      <c r="R37" s="7">
        <f t="shared" si="24"/>
        <v>6.4010407611465154E-4</v>
      </c>
      <c r="S37" s="2"/>
      <c r="T37" s="6">
        <v>2526.94</v>
      </c>
      <c r="U37" s="2"/>
      <c r="V37" s="7">
        <f t="shared" si="25"/>
        <v>1.2617729154287483E-2</v>
      </c>
      <c r="W37" s="2"/>
      <c r="X37" s="6">
        <f t="shared" si="26"/>
        <v>-2420.17</v>
      </c>
      <c r="Y37" s="2"/>
      <c r="Z37" s="7">
        <f t="shared" si="27"/>
        <v>-0.95774731493426835</v>
      </c>
    </row>
    <row r="38" spans="1:26" s="27" customFormat="1" outlineLevel="1" collapsed="1" x14ac:dyDescent="0.25">
      <c r="A38" s="25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1698.21</v>
      </c>
      <c r="E38" s="1"/>
      <c r="F38" s="5">
        <f t="shared" si="20"/>
        <v>7.9541451990632325E-2</v>
      </c>
      <c r="G38" s="1"/>
      <c r="H38" s="1">
        <f>SUM(OSRRefH22_3x_0)</f>
        <v>1929.1</v>
      </c>
      <c r="I38" s="1"/>
      <c r="J38" s="5">
        <f t="shared" si="21"/>
        <v>4.8888719937149952E-2</v>
      </c>
      <c r="K38" s="1"/>
      <c r="L38" s="1">
        <f t="shared" si="22"/>
        <v>-230.88999999999987</v>
      </c>
      <c r="M38" s="1"/>
      <c r="N38" s="5">
        <f t="shared" si="23"/>
        <v>-0.11968793738012538</v>
      </c>
      <c r="O38" s="13"/>
      <c r="P38" s="1">
        <f>SUM(OSRRefP22_3x_0)</f>
        <v>12556</v>
      </c>
      <c r="Q38" s="1"/>
      <c r="R38" s="5">
        <f t="shared" si="24"/>
        <v>7.5275328085563031E-2</v>
      </c>
      <c r="S38" s="1"/>
      <c r="T38" s="1">
        <f>SUM(OSRRefT22_3x_0)</f>
        <v>12062.86</v>
      </c>
      <c r="U38" s="1"/>
      <c r="V38" s="5">
        <f t="shared" si="25"/>
        <v>6.0233286230020625E-2</v>
      </c>
      <c r="W38" s="1"/>
      <c r="X38" s="1">
        <f t="shared" si="26"/>
        <v>493.13999999999942</v>
      </c>
      <c r="Y38" s="1"/>
      <c r="Z38" s="5">
        <f t="shared" si="27"/>
        <v>4.0880852467822672E-2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1698.21</v>
      </c>
      <c r="E39" s="2"/>
      <c r="F39" s="7">
        <f t="shared" si="20"/>
        <v>7.9541451990632325E-2</v>
      </c>
      <c r="G39" s="2"/>
      <c r="H39" s="6">
        <v>1929.1</v>
      </c>
      <c r="I39" s="2"/>
      <c r="J39" s="7">
        <f t="shared" si="21"/>
        <v>4.8888719937149952E-2</v>
      </c>
      <c r="K39" s="2"/>
      <c r="L39" s="6">
        <f t="shared" si="22"/>
        <v>-230.88999999999987</v>
      </c>
      <c r="M39" s="2"/>
      <c r="N39" s="7">
        <f t="shared" si="23"/>
        <v>-0.11968793738012538</v>
      </c>
      <c r="O39" s="11"/>
      <c r="P39" s="6">
        <v>12556</v>
      </c>
      <c r="Q39" s="2"/>
      <c r="R39" s="7">
        <f t="shared" si="24"/>
        <v>7.5275328085563031E-2</v>
      </c>
      <c r="S39" s="2"/>
      <c r="T39" s="6">
        <v>12062.86</v>
      </c>
      <c r="U39" s="2"/>
      <c r="V39" s="7">
        <f t="shared" si="25"/>
        <v>6.0233286230020625E-2</v>
      </c>
      <c r="W39" s="2"/>
      <c r="X39" s="6">
        <f t="shared" si="26"/>
        <v>493.13999999999942</v>
      </c>
      <c r="Y39" s="2"/>
      <c r="Z39" s="7">
        <f t="shared" si="27"/>
        <v>4.0880852467822672E-2</v>
      </c>
    </row>
    <row r="40" spans="1:26" s="27" customFormat="1" outlineLevel="1" collapsed="1" x14ac:dyDescent="0.25">
      <c r="A40" s="25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92.16</v>
      </c>
      <c r="I40" s="1"/>
      <c r="J40" s="5">
        <f t="shared" si="21"/>
        <v>2.3355888390481257E-3</v>
      </c>
      <c r="K40" s="1"/>
      <c r="L40" s="1">
        <f t="shared" si="22"/>
        <v>-92.16</v>
      </c>
      <c r="M40" s="1"/>
      <c r="N40" s="5">
        <f t="shared" si="23"/>
        <v>-1</v>
      </c>
      <c r="O40" s="13"/>
      <c r="P40" s="1">
        <f>SUM(OSRRefP22_4x_0)</f>
        <v>64.239999999999995</v>
      </c>
      <c r="Q40" s="1"/>
      <c r="R40" s="5">
        <f t="shared" si="24"/>
        <v>3.8512958555404341E-4</v>
      </c>
      <c r="S40" s="1"/>
      <c r="T40" s="1">
        <f>SUM(OSRRefT22_4x_0)</f>
        <v>92.16</v>
      </c>
      <c r="U40" s="1"/>
      <c r="V40" s="5">
        <f t="shared" si="25"/>
        <v>4.6018105647903569E-4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>
        <v>92.16</v>
      </c>
      <c r="I41" s="2"/>
      <c r="J41" s="7">
        <f t="shared" si="21"/>
        <v>2.3355888390481257E-3</v>
      </c>
      <c r="K41" s="2"/>
      <c r="L41" s="6">
        <f t="shared" si="22"/>
        <v>-92.16</v>
      </c>
      <c r="M41" s="2"/>
      <c r="N41" s="7">
        <f t="shared" si="23"/>
        <v>-1</v>
      </c>
      <c r="O41" s="11"/>
      <c r="P41" s="6">
        <v>64.239999999999995</v>
      </c>
      <c r="Q41" s="2"/>
      <c r="R41" s="7">
        <f t="shared" si="24"/>
        <v>3.8512958555404341E-4</v>
      </c>
      <c r="S41" s="2"/>
      <c r="T41" s="6">
        <v>92.16</v>
      </c>
      <c r="U41" s="2"/>
      <c r="V41" s="7">
        <f t="shared" si="25"/>
        <v>4.6018105647903569E-4</v>
      </c>
      <c r="W41" s="2"/>
      <c r="X41" s="6">
        <f t="shared" si="26"/>
        <v>-27.92</v>
      </c>
      <c r="Y41" s="2"/>
      <c r="Z41" s="7">
        <f t="shared" si="27"/>
        <v>-0.3029513888888889</v>
      </c>
    </row>
    <row r="42" spans="1:26" s="27" customFormat="1" outlineLevel="1" collapsed="1" x14ac:dyDescent="0.25">
      <c r="A42" s="25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0.47</v>
      </c>
      <c r="I42" s="1"/>
      <c r="J42" s="5">
        <f t="shared" si="21"/>
        <v>1.1911097594971995E-5</v>
      </c>
      <c r="K42" s="1"/>
      <c r="L42" s="1">
        <f t="shared" si="22"/>
        <v>-0.47</v>
      </c>
      <c r="M42" s="1"/>
      <c r="N42" s="5">
        <f t="shared" si="23"/>
        <v>-1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21.59</v>
      </c>
      <c r="U42" s="1"/>
      <c r="V42" s="5">
        <f t="shared" si="25"/>
        <v>1.0780500227194423E-4</v>
      </c>
      <c r="W42" s="1"/>
      <c r="X42" s="1">
        <f t="shared" si="26"/>
        <v>-21.59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1.0545815877644569E-4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>
        <v>0.47</v>
      </c>
      <c r="I44" s="2"/>
      <c r="J44" s="7">
        <f t="shared" si="21"/>
        <v>1.1911097594971995E-5</v>
      </c>
      <c r="K44" s="2"/>
      <c r="L44" s="6">
        <f t="shared" si="22"/>
        <v>-0.47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0.47</v>
      </c>
      <c r="U44" s="2"/>
      <c r="V44" s="7">
        <f t="shared" si="25"/>
        <v>2.3468434954985543E-6</v>
      </c>
      <c r="W44" s="2"/>
      <c r="X44" s="6">
        <f t="shared" si="26"/>
        <v>-0.47</v>
      </c>
      <c r="Y44" s="2"/>
      <c r="Z44" s="7">
        <f t="shared" si="27"/>
        <v>-1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5" si="28">IF(D$12=0,0,D45/D$12)</f>
        <v>0</v>
      </c>
      <c r="G45" s="1"/>
      <c r="H45" s="1">
        <f>SUM(OSRRefH22_6x_0)</f>
        <v>360</v>
      </c>
      <c r="I45" s="1"/>
      <c r="J45" s="5">
        <f t="shared" ref="J45:J55" si="29">IF(H$12=0,0,H45/H$12)</f>
        <v>9.1233939025317425E-3</v>
      </c>
      <c r="K45" s="1"/>
      <c r="L45" s="1">
        <f t="shared" ref="L45:L55" si="30">+D45-H45</f>
        <v>-360</v>
      </c>
      <c r="M45" s="1"/>
      <c r="N45" s="5">
        <f t="shared" ref="N45:N55" si="31">IF(H45=0,0,L45/H45)</f>
        <v>-1</v>
      </c>
      <c r="O45" s="13"/>
      <c r="P45" s="1">
        <f>SUM(OSRRefP22_6x_0)</f>
        <v>0</v>
      </c>
      <c r="Q45" s="1"/>
      <c r="R45" s="5">
        <f t="shared" ref="R45:R55" si="32">IF(P$12=0,0,P45/P$12)</f>
        <v>0</v>
      </c>
      <c r="S45" s="1"/>
      <c r="T45" s="1">
        <f>SUM(OSRRefT22_6x_0)</f>
        <v>661</v>
      </c>
      <c r="U45" s="1"/>
      <c r="V45" s="5">
        <f t="shared" ref="V45:V55" si="33">IF(T$12=0,0,T45/T$12)</f>
        <v>3.3005607457969031E-3</v>
      </c>
      <c r="W45" s="1"/>
      <c r="X45" s="1">
        <f t="shared" ref="X45:X55" si="34">+P45-T45</f>
        <v>-661</v>
      </c>
      <c r="Y45" s="1"/>
      <c r="Z45" s="5">
        <f t="shared" ref="Z45:Z55" si="35">IF(T45=0,0,X45/T45)</f>
        <v>-1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>
        <v>360</v>
      </c>
      <c r="I46" s="2"/>
      <c r="J46" s="7">
        <f t="shared" si="29"/>
        <v>9.1233939025317425E-3</v>
      </c>
      <c r="K46" s="2"/>
      <c r="L46" s="6">
        <f t="shared" si="30"/>
        <v>-360</v>
      </c>
      <c r="M46" s="2"/>
      <c r="N46" s="7">
        <f t="shared" si="31"/>
        <v>-1</v>
      </c>
      <c r="O46" s="11"/>
      <c r="P46" s="6"/>
      <c r="Q46" s="2"/>
      <c r="R46" s="7">
        <f t="shared" si="32"/>
        <v>0</v>
      </c>
      <c r="S46" s="2"/>
      <c r="T46" s="6">
        <v>661</v>
      </c>
      <c r="U46" s="2"/>
      <c r="V46" s="7">
        <f t="shared" si="33"/>
        <v>3.3005607457969031E-3</v>
      </c>
      <c r="W46" s="2"/>
      <c r="X46" s="6">
        <f t="shared" si="34"/>
        <v>-661</v>
      </c>
      <c r="Y46" s="2"/>
      <c r="Z46" s="7">
        <f t="shared" si="35"/>
        <v>-1</v>
      </c>
    </row>
    <row r="47" spans="1:26" s="27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1.3587822014051523E-3</v>
      </c>
      <c r="G47" s="1"/>
      <c r="H47" s="1">
        <f>SUM(OSRRefH22_7x_0)</f>
        <v>27.33</v>
      </c>
      <c r="I47" s="1"/>
      <c r="J47" s="5">
        <f t="shared" si="29"/>
        <v>6.9261765376720137E-4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174.06</v>
      </c>
      <c r="Q47" s="1"/>
      <c r="R47" s="5">
        <f t="shared" si="32"/>
        <v>1.0435189237474596E-3</v>
      </c>
      <c r="S47" s="1"/>
      <c r="T47" s="1">
        <f>SUM(OSRRefT22_7x_0)</f>
        <v>163.98</v>
      </c>
      <c r="U47" s="1"/>
      <c r="V47" s="5">
        <f t="shared" si="33"/>
        <v>8.1879871572734667E-4</v>
      </c>
      <c r="W47" s="1"/>
      <c r="X47" s="1">
        <f t="shared" si="34"/>
        <v>10.080000000000013</v>
      </c>
      <c r="Y47" s="1"/>
      <c r="Z47" s="5">
        <f t="shared" si="35"/>
        <v>6.1470911086717969E-2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1.3587822014051523E-3</v>
      </c>
      <c r="G48" s="2"/>
      <c r="H48" s="6">
        <v>27.33</v>
      </c>
      <c r="I48" s="2"/>
      <c r="J48" s="7">
        <f t="shared" si="29"/>
        <v>6.9261765376720137E-4</v>
      </c>
      <c r="K48" s="2"/>
      <c r="L48" s="6">
        <f t="shared" si="30"/>
        <v>1.6800000000000033</v>
      </c>
      <c r="M48" s="2"/>
      <c r="N48" s="7">
        <f t="shared" si="31"/>
        <v>6.1470911086718018E-2</v>
      </c>
      <c r="O48" s="11"/>
      <c r="P48" s="6">
        <v>174.06</v>
      </c>
      <c r="Q48" s="2"/>
      <c r="R48" s="7">
        <f t="shared" si="32"/>
        <v>1.0435189237474596E-3</v>
      </c>
      <c r="S48" s="2"/>
      <c r="T48" s="6">
        <v>163.98</v>
      </c>
      <c r="U48" s="2"/>
      <c r="V48" s="7">
        <f t="shared" si="33"/>
        <v>8.1879871572734667E-4</v>
      </c>
      <c r="W48" s="2"/>
      <c r="X48" s="6">
        <f t="shared" si="34"/>
        <v>10.080000000000013</v>
      </c>
      <c r="Y48" s="2"/>
      <c r="Z48" s="7">
        <f t="shared" si="35"/>
        <v>6.1470911086717969E-2</v>
      </c>
    </row>
    <row r="49" spans="1:26" s="27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8.388717175399088E-3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6"/>
      <c r="B50" s="11" t="str">
        <f>CONCATENATE("          ", "6336", " - ", "PROFESSIONAL SERVICES")</f>
        <v xml:space="preserve">          6336 - PROFESSIONAL SERVICES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1680</v>
      </c>
      <c r="U50" s="2"/>
      <c r="V50" s="7">
        <f t="shared" si="33"/>
        <v>8.388717175399088E-3</v>
      </c>
      <c r="W50" s="2"/>
      <c r="X50" s="6">
        <f t="shared" si="34"/>
        <v>-1680</v>
      </c>
      <c r="Y50" s="2"/>
      <c r="Z50" s="7">
        <f t="shared" si="35"/>
        <v>-1</v>
      </c>
    </row>
    <row r="51" spans="1:26" s="27" customFormat="1" outlineLevel="1" collapsed="1" x14ac:dyDescent="0.25">
      <c r="A51" s="25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3.7470725995316159E-2</v>
      </c>
      <c r="G51" s="1"/>
      <c r="H51" s="1">
        <f>SUM(OSRRefH22_9x_0)</f>
        <v>800</v>
      </c>
      <c r="I51" s="1"/>
      <c r="J51" s="5">
        <f t="shared" si="29"/>
        <v>2.0274208672292758E-2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4800</v>
      </c>
      <c r="Q51" s="1"/>
      <c r="R51" s="5">
        <f t="shared" si="32"/>
        <v>2.8776805894449073E-2</v>
      </c>
      <c r="S51" s="1"/>
      <c r="T51" s="1">
        <f>SUM(OSRRefT22_9x_0)</f>
        <v>4000</v>
      </c>
      <c r="U51" s="1"/>
      <c r="V51" s="5">
        <f t="shared" si="33"/>
        <v>1.9973136131902592E-2</v>
      </c>
      <c r="W51" s="1"/>
      <c r="X51" s="1">
        <f t="shared" si="34"/>
        <v>800</v>
      </c>
      <c r="Y51" s="1"/>
      <c r="Z51" s="5">
        <f t="shared" si="35"/>
        <v>0.2</v>
      </c>
    </row>
    <row r="52" spans="1:26" s="24" customFormat="1" hidden="1" outlineLevel="2" x14ac:dyDescent="0.25">
      <c r="A52" s="26"/>
      <c r="B52" s="11" t="str">
        <f>CONCATENATE("          ", "6273", " - ", "RENT")</f>
        <v xml:space="preserve">          6273 - RENT</v>
      </c>
      <c r="C52" s="11"/>
      <c r="D52" s="6">
        <v>800</v>
      </c>
      <c r="E52" s="2"/>
      <c r="F52" s="7">
        <f t="shared" si="28"/>
        <v>3.7470725995316159E-2</v>
      </c>
      <c r="G52" s="2"/>
      <c r="H52" s="6">
        <v>800</v>
      </c>
      <c r="I52" s="2"/>
      <c r="J52" s="7">
        <f t="shared" si="29"/>
        <v>2.0274208672292758E-2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4800</v>
      </c>
      <c r="Q52" s="2"/>
      <c r="R52" s="7">
        <f t="shared" si="32"/>
        <v>2.8776805894449073E-2</v>
      </c>
      <c r="S52" s="2"/>
      <c r="T52" s="6">
        <v>4000</v>
      </c>
      <c r="U52" s="2"/>
      <c r="V52" s="7">
        <f t="shared" si="33"/>
        <v>1.9973136131902592E-2</v>
      </c>
      <c r="W52" s="2"/>
      <c r="X52" s="6">
        <f t="shared" si="34"/>
        <v>800</v>
      </c>
      <c r="Y52" s="2"/>
      <c r="Z52" s="7">
        <f t="shared" si="35"/>
        <v>0.2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312.64999999999998</v>
      </c>
      <c r="E53" s="1"/>
      <c r="F53" s="5">
        <f t="shared" si="28"/>
        <v>1.4644028103044495E-2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312.64999999999998</v>
      </c>
      <c r="M53" s="1"/>
      <c r="N53" s="5">
        <f t="shared" si="31"/>
        <v>0</v>
      </c>
      <c r="O53" s="13"/>
      <c r="P53" s="1">
        <f>SUM(OSRRefP22_10x_0)</f>
        <v>749.96</v>
      </c>
      <c r="Q53" s="1"/>
      <c r="R53" s="5">
        <f t="shared" si="32"/>
        <v>4.4961361142918811E-3</v>
      </c>
      <c r="S53" s="1"/>
      <c r="T53" s="1">
        <f>SUM(OSRRefT22_10x_0)</f>
        <v>600</v>
      </c>
      <c r="U53" s="1"/>
      <c r="V53" s="5">
        <f t="shared" si="33"/>
        <v>2.9959704197853885E-3</v>
      </c>
      <c r="W53" s="1"/>
      <c r="X53" s="1">
        <f t="shared" si="34"/>
        <v>149.96000000000004</v>
      </c>
      <c r="Y53" s="1"/>
      <c r="Z53" s="5">
        <f t="shared" si="35"/>
        <v>0.2499333333333334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437.31</v>
      </c>
      <c r="Q54" s="2"/>
      <c r="R54" s="7">
        <f t="shared" si="32"/>
        <v>2.6217468720211509E-3</v>
      </c>
      <c r="S54" s="2"/>
      <c r="T54" s="6"/>
      <c r="U54" s="2"/>
      <c r="V54" s="7">
        <f t="shared" si="33"/>
        <v>0</v>
      </c>
      <c r="W54" s="2"/>
      <c r="X54" s="6">
        <f t="shared" si="34"/>
        <v>437.31</v>
      </c>
      <c r="Y54" s="2"/>
      <c r="Z54" s="7">
        <f t="shared" si="35"/>
        <v>0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312.64999999999998</v>
      </c>
      <c r="E55" s="2"/>
      <c r="F55" s="7">
        <f t="shared" si="28"/>
        <v>1.4644028103044495E-2</v>
      </c>
      <c r="G55" s="2"/>
      <c r="H55" s="6"/>
      <c r="I55" s="2"/>
      <c r="J55" s="7">
        <f t="shared" si="29"/>
        <v>0</v>
      </c>
      <c r="K55" s="2"/>
      <c r="L55" s="6">
        <f t="shared" si="30"/>
        <v>312.64999999999998</v>
      </c>
      <c r="M55" s="2"/>
      <c r="N55" s="7">
        <f t="shared" si="31"/>
        <v>0</v>
      </c>
      <c r="O55" s="11"/>
      <c r="P55" s="6">
        <v>312.64999999999998</v>
      </c>
      <c r="Q55" s="2"/>
      <c r="R55" s="7">
        <f t="shared" si="32"/>
        <v>1.8743892422707297E-3</v>
      </c>
      <c r="S55" s="2"/>
      <c r="T55" s="6">
        <v>600</v>
      </c>
      <c r="U55" s="2"/>
      <c r="V55" s="7">
        <f t="shared" si="33"/>
        <v>2.9959704197853885E-3</v>
      </c>
      <c r="W55" s="2"/>
      <c r="X55" s="6">
        <f t="shared" si="34"/>
        <v>-287.35000000000002</v>
      </c>
      <c r="Y55" s="2"/>
      <c r="Z55" s="7">
        <f t="shared" si="35"/>
        <v>-0.47891666666666671</v>
      </c>
    </row>
    <row r="56" spans="1:26" s="27" customFormat="1" outlineLevel="1" collapsed="1" x14ac:dyDescent="0.25">
      <c r="A56" s="25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SUM(OSRRefD22_11x_0)</f>
        <v>162.83000000000001</v>
      </c>
      <c r="E56" s="1"/>
      <c r="F56" s="5">
        <f t="shared" ref="F56:F60" si="36">IF(D$12=0,0,D56/D$12)</f>
        <v>7.6266978922716637E-3</v>
      </c>
      <c r="G56" s="1"/>
      <c r="H56" s="1">
        <f>SUM(OSRRefH22_11x_0)</f>
        <v>15773.929999999998</v>
      </c>
      <c r="I56" s="1"/>
      <c r="J56" s="5">
        <f t="shared" ref="J56:J60" si="37">IF(H$12=0,0,H56/H$12)</f>
        <v>0.3997549355026736</v>
      </c>
      <c r="K56" s="1"/>
      <c r="L56" s="1">
        <f t="shared" ref="L56:L60" si="38">+D56-H56</f>
        <v>-15611.099999999999</v>
      </c>
      <c r="M56" s="1"/>
      <c r="N56" s="5">
        <f t="shared" ref="N56:N60" si="39">IF(H56=0,0,L56/H56)</f>
        <v>-0.9896772712951053</v>
      </c>
      <c r="O56" s="13"/>
      <c r="P56" s="1">
        <f>SUM(OSRRefP22_11x_0)</f>
        <v>18560.660000000003</v>
      </c>
      <c r="Q56" s="1"/>
      <c r="R56" s="5">
        <f t="shared" ref="R56:R60" si="40">IF(P$12=0,0,P56/P$12)</f>
        <v>0.11127427293601359</v>
      </c>
      <c r="S56" s="1"/>
      <c r="T56" s="1">
        <f>SUM(OSRRefT22_11x_0)</f>
        <v>50029.299999999996</v>
      </c>
      <c r="U56" s="1"/>
      <c r="V56" s="5">
        <f t="shared" ref="V56:V60" si="41">IF(T$12=0,0,T56/T$12)</f>
        <v>0.24981050487094855</v>
      </c>
      <c r="W56" s="1"/>
      <c r="X56" s="1">
        <f t="shared" ref="X56:X60" si="42">+P56-T56</f>
        <v>-31468.639999999992</v>
      </c>
      <c r="Y56" s="1"/>
      <c r="Z56" s="5">
        <f t="shared" ref="Z56:Z60" si="43">IF(T56=0,0,X56/T56)</f>
        <v>-0.62900420353672737</v>
      </c>
    </row>
    <row r="57" spans="1:26" s="24" customFormat="1" hidden="1" outlineLevel="2" x14ac:dyDescent="0.25">
      <c r="A57" s="26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413.27</v>
      </c>
      <c r="Q57" s="2"/>
      <c r="R57" s="7">
        <f t="shared" si="40"/>
        <v>2.4776230358331186E-3</v>
      </c>
      <c r="S57" s="2"/>
      <c r="T57" s="6"/>
      <c r="U57" s="2"/>
      <c r="V57" s="7">
        <f t="shared" si="41"/>
        <v>0</v>
      </c>
      <c r="W57" s="2"/>
      <c r="X57" s="6">
        <f t="shared" si="42"/>
        <v>413.27</v>
      </c>
      <c r="Y57" s="2"/>
      <c r="Z57" s="7">
        <f t="shared" si="43"/>
        <v>0</v>
      </c>
    </row>
    <row r="58" spans="1:26" s="24" customFormat="1" hidden="1" outlineLevel="2" x14ac:dyDescent="0.25">
      <c r="A58" s="26"/>
      <c r="B58" s="11" t="str">
        <f>CONCATENATE("          ", "6241", " - ", "OFFICE EXPENSE")</f>
        <v xml:space="preserve">          6241 - OFFICE EXPENSE</v>
      </c>
      <c r="C58" s="11"/>
      <c r="D58" s="6">
        <v>162.83000000000001</v>
      </c>
      <c r="E58" s="2"/>
      <c r="F58" s="7">
        <f t="shared" si="36"/>
        <v>7.6266978922716637E-3</v>
      </c>
      <c r="G58" s="2"/>
      <c r="H58" s="6">
        <v>15773.929999999998</v>
      </c>
      <c r="I58" s="2"/>
      <c r="J58" s="7">
        <f t="shared" si="37"/>
        <v>0.3997549355026736</v>
      </c>
      <c r="K58" s="2"/>
      <c r="L58" s="6">
        <f t="shared" si="38"/>
        <v>-15611.099999999999</v>
      </c>
      <c r="M58" s="2"/>
      <c r="N58" s="7">
        <f t="shared" si="39"/>
        <v>-0.9896772712951053</v>
      </c>
      <c r="O58" s="11"/>
      <c r="P58" s="6">
        <v>18026.560000000001</v>
      </c>
      <c r="Q58" s="2"/>
      <c r="R58" s="7">
        <f t="shared" si="40"/>
        <v>0.10807225376346666</v>
      </c>
      <c r="S58" s="2"/>
      <c r="T58" s="6">
        <v>49669.88</v>
      </c>
      <c r="U58" s="2"/>
      <c r="V58" s="7">
        <f t="shared" si="41"/>
        <v>0.24801581872381645</v>
      </c>
      <c r="W58" s="2"/>
      <c r="X58" s="6">
        <f t="shared" si="42"/>
        <v>-31643.319999999996</v>
      </c>
      <c r="Y58" s="2"/>
      <c r="Z58" s="7">
        <f t="shared" si="43"/>
        <v>-0.63707260818830236</v>
      </c>
    </row>
    <row r="59" spans="1:26" s="24" customFormat="1" hidden="1" outlineLevel="2" x14ac:dyDescent="0.25">
      <c r="A59" s="26"/>
      <c r="B59" s="11" t="str">
        <f>CONCATENATE("          ", "6245", " - ", "PRINTING")</f>
        <v xml:space="preserve">          6245 - PRINTING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120.83</v>
      </c>
      <c r="Q59" s="2"/>
      <c r="R59" s="7">
        <f t="shared" si="40"/>
        <v>7.2439613671380866E-4</v>
      </c>
      <c r="S59" s="2"/>
      <c r="T59" s="6">
        <v>359.42</v>
      </c>
      <c r="U59" s="2"/>
      <c r="V59" s="7">
        <f t="shared" si="41"/>
        <v>1.7946861471321075E-3</v>
      </c>
      <c r="W59" s="2"/>
      <c r="X59" s="6">
        <f t="shared" si="42"/>
        <v>-238.59000000000003</v>
      </c>
      <c r="Y59" s="2"/>
      <c r="Z59" s="7">
        <f t="shared" si="43"/>
        <v>-0.66381948695119919</v>
      </c>
    </row>
    <row r="60" spans="1:26" s="24" customFormat="1" hidden="1" outlineLevel="2" x14ac:dyDescent="0.25">
      <c r="A60" s="26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/>
      <c r="Q60" s="2"/>
      <c r="R60" s="7">
        <f t="shared" si="40"/>
        <v>0</v>
      </c>
      <c r="S60" s="2"/>
      <c r="T60" s="6">
        <v>0</v>
      </c>
      <c r="U60" s="2"/>
      <c r="V60" s="7">
        <f t="shared" si="41"/>
        <v>0</v>
      </c>
      <c r="W60" s="2"/>
      <c r="X60" s="6">
        <f t="shared" si="42"/>
        <v>0</v>
      </c>
      <c r="Y60" s="2"/>
      <c r="Z60" s="7">
        <f t="shared" si="43"/>
        <v>0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SUM(OSRRefD22_12x_0)</f>
        <v>182.85</v>
      </c>
      <c r="E61" s="1"/>
      <c r="F61" s="5">
        <f t="shared" ref="F61:F64" si="44">IF(D$12=0,0,D61/D$12)</f>
        <v>8.564402810304449E-3</v>
      </c>
      <c r="G61" s="1"/>
      <c r="H61" s="1">
        <f>SUM(OSRRefH22_12x_0)</f>
        <v>340.92</v>
      </c>
      <c r="I61" s="1"/>
      <c r="J61" s="5">
        <f t="shared" ref="J61:J64" si="45">IF(H$12=0,0,H61/H$12)</f>
        <v>8.6398540256975593E-3</v>
      </c>
      <c r="K61" s="1"/>
      <c r="L61" s="1">
        <f t="shared" ref="L61:L64" si="46">+D61-H61</f>
        <v>-158.07000000000002</v>
      </c>
      <c r="M61" s="1"/>
      <c r="N61" s="5">
        <f t="shared" ref="N61:N64" si="47">IF(H61=0,0,L61/H61)</f>
        <v>-0.46365716297078496</v>
      </c>
      <c r="O61" s="13"/>
      <c r="P61" s="1">
        <f>SUM(OSRRefP22_12x_0)</f>
        <v>1131.3499999999999</v>
      </c>
      <c r="Q61" s="1"/>
      <c r="R61" s="5">
        <f t="shared" ref="R61:R64" si="48">IF(P$12=0,0,P61/P$12)</f>
        <v>6.7826331976426997E-3</v>
      </c>
      <c r="S61" s="1"/>
      <c r="T61" s="1">
        <f>SUM(OSRRefT22_12x_0)</f>
        <v>2188.92</v>
      </c>
      <c r="U61" s="1"/>
      <c r="V61" s="5">
        <f t="shared" ref="V61:V64" si="49">IF(T$12=0,0,T61/T$12)</f>
        <v>1.0929899285461056E-2</v>
      </c>
      <c r="W61" s="1"/>
      <c r="X61" s="1">
        <f t="shared" ref="X61:X64" si="50">+P61-T61</f>
        <v>-1057.5700000000002</v>
      </c>
      <c r="Y61" s="1"/>
      <c r="Z61" s="5">
        <f t="shared" ref="Z61:Z64" si="51">IF(T61=0,0,X61/T61)</f>
        <v>-0.48314694004349185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182.85</v>
      </c>
      <c r="E62" s="2"/>
      <c r="F62" s="7">
        <f t="shared" si="44"/>
        <v>8.564402810304449E-3</v>
      </c>
      <c r="G62" s="2"/>
      <c r="H62" s="6">
        <v>340.92</v>
      </c>
      <c r="I62" s="2"/>
      <c r="J62" s="7">
        <f t="shared" si="45"/>
        <v>8.6398540256975593E-3</v>
      </c>
      <c r="K62" s="2"/>
      <c r="L62" s="6">
        <f t="shared" si="46"/>
        <v>-158.07000000000002</v>
      </c>
      <c r="M62" s="2"/>
      <c r="N62" s="7">
        <f t="shared" si="47"/>
        <v>-0.46365716297078496</v>
      </c>
      <c r="O62" s="11"/>
      <c r="P62" s="6">
        <v>1131.3499999999999</v>
      </c>
      <c r="Q62" s="2"/>
      <c r="R62" s="7">
        <f t="shared" si="48"/>
        <v>6.7826331976426997E-3</v>
      </c>
      <c r="S62" s="2"/>
      <c r="T62" s="6">
        <v>2188.92</v>
      </c>
      <c r="U62" s="2"/>
      <c r="V62" s="7">
        <f t="shared" si="49"/>
        <v>1.0929899285461056E-2</v>
      </c>
      <c r="W62" s="2"/>
      <c r="X62" s="6">
        <f t="shared" si="50"/>
        <v>-1057.5700000000002</v>
      </c>
      <c r="Y62" s="2"/>
      <c r="Z62" s="7">
        <f t="shared" si="51"/>
        <v>-0.48314694004349185</v>
      </c>
    </row>
    <row r="63" spans="1:26" s="27" customFormat="1" outlineLevel="1" collapsed="1" x14ac:dyDescent="0.25">
      <c r="A63" s="25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0</v>
      </c>
      <c r="I63" s="1"/>
      <c r="J63" s="5">
        <f t="shared" si="45"/>
        <v>0</v>
      </c>
      <c r="K63" s="1"/>
      <c r="L63" s="1">
        <f t="shared" si="46"/>
        <v>0</v>
      </c>
      <c r="M63" s="1"/>
      <c r="N63" s="5">
        <f t="shared" si="47"/>
        <v>0</v>
      </c>
      <c r="O63" s="13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1600</v>
      </c>
      <c r="U63" s="1"/>
      <c r="V63" s="5">
        <f t="shared" si="49"/>
        <v>7.9892544527610364E-3</v>
      </c>
      <c r="W63" s="1"/>
      <c r="X63" s="1">
        <f t="shared" si="50"/>
        <v>-1600</v>
      </c>
      <c r="Y63" s="1"/>
      <c r="Z63" s="5">
        <f t="shared" si="51"/>
        <v>-1</v>
      </c>
    </row>
    <row r="64" spans="1:26" s="24" customFormat="1" hidden="1" outlineLevel="2" x14ac:dyDescent="0.25">
      <c r="A64" s="26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/>
      <c r="Q64" s="2"/>
      <c r="R64" s="7">
        <f t="shared" si="48"/>
        <v>0</v>
      </c>
      <c r="S64" s="2"/>
      <c r="T64" s="6">
        <v>1600</v>
      </c>
      <c r="U64" s="2"/>
      <c r="V64" s="7">
        <f t="shared" si="49"/>
        <v>7.9892544527610364E-3</v>
      </c>
      <c r="W64" s="2"/>
      <c r="X64" s="6">
        <f t="shared" si="50"/>
        <v>-1600</v>
      </c>
      <c r="Y64" s="2"/>
      <c r="Z64" s="7">
        <f t="shared" si="51"/>
        <v>-1</v>
      </c>
    </row>
    <row r="65" spans="1:26" s="61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8" t="s">
        <v>0</v>
      </c>
      <c r="C66" s="10"/>
      <c r="D66" s="4">
        <f>SUM(OSRRefD25x_0)</f>
        <v>1564.6</v>
      </c>
      <c r="E66" s="4"/>
      <c r="F66" s="12">
        <f t="shared" ref="F66:F68" si="52">IF(D$12=0,0,D66/D$12)</f>
        <v>7.3283372365339577E-2</v>
      </c>
      <c r="G66" s="4"/>
      <c r="H66" s="4">
        <f>SUM(OSRRefH25x_0)</f>
        <v>1802.55</v>
      </c>
      <c r="I66" s="4"/>
      <c r="J66" s="12">
        <f t="shared" ref="J66:J68" si="53">IF(H$12=0,0,H66/H$12)</f>
        <v>4.5681593552801644E-2</v>
      </c>
      <c r="K66" s="4"/>
      <c r="L66" s="4">
        <f t="shared" ref="L66:L68" si="54">+D66-H66</f>
        <v>-237.95000000000005</v>
      </c>
      <c r="M66" s="4"/>
      <c r="N66" s="12">
        <f t="shared" ref="N66:N68" si="55">IF(H66=0,0,L66/H66)</f>
        <v>-0.13200743391306763</v>
      </c>
      <c r="O66" s="10"/>
      <c r="P66" s="4">
        <f>SUM(OSRRefP25x_0)</f>
        <v>13751.34</v>
      </c>
      <c r="Q66" s="4"/>
      <c r="R66" s="12">
        <f t="shared" ref="R66:R68" si="56">IF(P$12=0,0,P66/P$12)</f>
        <v>8.2441592076786113E-2</v>
      </c>
      <c r="S66" s="4"/>
      <c r="T66" s="4">
        <f>SUM(OSRRefT25x_0)</f>
        <v>15233.29</v>
      </c>
      <c r="U66" s="4"/>
      <c r="V66" s="12">
        <f t="shared" ref="V66:V68" si="57">IF(T$12=0,0,T66/T$12)</f>
        <v>7.6064143726687614E-2</v>
      </c>
      <c r="W66" s="4"/>
      <c r="X66" s="4">
        <f t="shared" ref="X66:X68" si="58">+P66-T66</f>
        <v>-1481.9500000000007</v>
      </c>
      <c r="Y66" s="4"/>
      <c r="Z66" s="12">
        <f t="shared" ref="Z66:Z68" si="59">IF(T66=0,0,X66/T66)</f>
        <v>-9.7283646539913615E-2</v>
      </c>
    </row>
    <row r="67" spans="1:26" s="24" customFormat="1" hidden="1" outlineLevel="1" x14ac:dyDescent="0.25">
      <c r="A67" s="44"/>
      <c r="B67" s="11" t="str">
        <f>CONCATENATE("          ", "9150", " - ", "MISC. INCOME")</f>
        <v xml:space="preserve">          9150 - MISC. INCOME</v>
      </c>
      <c r="C67" s="11"/>
      <c r="D67" s="2">
        <f>--1564.6</f>
        <v>1564.6</v>
      </c>
      <c r="E67" s="2"/>
      <c r="F67" s="19">
        <f t="shared" si="52"/>
        <v>7.3283372365339577E-2</v>
      </c>
      <c r="G67" s="2"/>
      <c r="H67" s="2">
        <f>--1802.55</f>
        <v>1802.55</v>
      </c>
      <c r="I67" s="2"/>
      <c r="J67" s="19">
        <f t="shared" si="53"/>
        <v>4.5681593552801644E-2</v>
      </c>
      <c r="K67" s="2"/>
      <c r="L67" s="2">
        <f t="shared" si="54"/>
        <v>-237.95000000000005</v>
      </c>
      <c r="M67" s="2"/>
      <c r="N67" s="19">
        <f t="shared" si="55"/>
        <v>-0.13200743391306763</v>
      </c>
      <c r="O67" s="11"/>
      <c r="P67" s="2">
        <f>--13751.34</f>
        <v>13751.34</v>
      </c>
      <c r="Q67" s="2"/>
      <c r="R67" s="19">
        <f t="shared" si="56"/>
        <v>8.2441592076786113E-2</v>
      </c>
      <c r="S67" s="2"/>
      <c r="T67" s="2">
        <f>--15062.94</f>
        <v>15062.94</v>
      </c>
      <c r="U67" s="2"/>
      <c r="V67" s="19">
        <f t="shared" si="57"/>
        <v>7.5213537791670212E-2</v>
      </c>
      <c r="W67" s="2"/>
      <c r="X67" s="2">
        <f t="shared" si="58"/>
        <v>-1311.6000000000004</v>
      </c>
      <c r="Y67" s="2"/>
      <c r="Z67" s="19">
        <f t="shared" si="59"/>
        <v>-8.7074634832243925E-2</v>
      </c>
    </row>
    <row r="68" spans="1:26" s="24" customFormat="1" hidden="1" outlineLevel="1" x14ac:dyDescent="0.25">
      <c r="A68" s="44"/>
      <c r="B68" s="11" t="str">
        <f>CONCATENATE("          ", "9160", " - ", "MISC. INCOME")</f>
        <v xml:space="preserve">          9160 - MISC. INCOME</v>
      </c>
      <c r="C68" s="11"/>
      <c r="D68" s="2">
        <f>0</f>
        <v>0</v>
      </c>
      <c r="E68" s="2"/>
      <c r="F68" s="19">
        <f t="shared" si="52"/>
        <v>0</v>
      </c>
      <c r="G68" s="2"/>
      <c r="H68" s="2">
        <f>0</f>
        <v>0</v>
      </c>
      <c r="I68" s="2"/>
      <c r="J68" s="19">
        <f t="shared" si="53"/>
        <v>0</v>
      </c>
      <c r="K68" s="2"/>
      <c r="L68" s="2">
        <f t="shared" si="54"/>
        <v>0</v>
      </c>
      <c r="M68" s="2"/>
      <c r="N68" s="19">
        <f t="shared" si="55"/>
        <v>0</v>
      </c>
      <c r="O68" s="11"/>
      <c r="P68" s="2">
        <f>0</f>
        <v>0</v>
      </c>
      <c r="Q68" s="2"/>
      <c r="R68" s="19">
        <f t="shared" si="56"/>
        <v>0</v>
      </c>
      <c r="S68" s="2"/>
      <c r="T68" s="2">
        <f>--170.35</f>
        <v>170.35</v>
      </c>
      <c r="U68" s="2"/>
      <c r="V68" s="19">
        <f t="shared" si="57"/>
        <v>8.5060593501740155E-4</v>
      </c>
      <c r="W68" s="2"/>
      <c r="X68" s="2">
        <f t="shared" si="58"/>
        <v>-170.35</v>
      </c>
      <c r="Y68" s="2"/>
      <c r="Z68" s="19">
        <f t="shared" si="59"/>
        <v>-1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0">
        <f>+D17-D19+D66</f>
        <v>2880.2899999999986</v>
      </c>
      <c r="E70" s="14"/>
      <c r="F70" s="21">
        <f>IF(D$12=0,0,D70/D$12)</f>
        <v>0.13490819672131141</v>
      </c>
      <c r="G70" s="14"/>
      <c r="H70" s="20">
        <f>+H17-H19+H66</f>
        <v>5691.8500000000031</v>
      </c>
      <c r="I70" s="14"/>
      <c r="J70" s="21">
        <f>IF(H$12=0,0,H70/H$12)</f>
        <v>0.14424719328923702</v>
      </c>
      <c r="K70" s="15"/>
      <c r="L70" s="20">
        <f>+D70-H70</f>
        <v>-2811.5600000000045</v>
      </c>
      <c r="M70" s="15"/>
      <c r="N70" s="21">
        <f>IF(H70=0,0,L70/H70)</f>
        <v>-0.49396241995133444</v>
      </c>
      <c r="O70" s="28"/>
      <c r="P70" s="20">
        <f>+P17-P19+P66</f>
        <v>15277.390000000047</v>
      </c>
      <c r="Q70" s="14"/>
      <c r="R70" s="21">
        <f>IF(P$12=0,0,P70/P$12)</f>
        <v>9.1590518042458061E-2</v>
      </c>
      <c r="S70" s="14"/>
      <c r="T70" s="20">
        <f>+T17-T19+T66</f>
        <v>16920.509999999973</v>
      </c>
      <c r="U70" s="14"/>
      <c r="V70" s="21">
        <f>IF(T$12=0,0,T70/T$12)</f>
        <v>8.4488912412804637E-2</v>
      </c>
      <c r="W70" s="15"/>
      <c r="X70" s="20">
        <f>+P70-T70</f>
        <v>-1643.1199999999262</v>
      </c>
      <c r="Y70" s="15"/>
      <c r="Z70" s="21">
        <f>IF(T70=0,0,X70/T70)</f>
        <v>-9.7108184091373659E-2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2613.5100000000002</v>
      </c>
      <c r="E72" s="4"/>
      <c r="F72" s="12">
        <f>IF(D$12=0,0,D72/D$12)</f>
        <v>0.12241264637002343</v>
      </c>
      <c r="G72" s="4"/>
      <c r="H72" s="4">
        <v>4691.25</v>
      </c>
      <c r="I72" s="4"/>
      <c r="J72" s="12">
        <f>IF(H$12=0,0,H72/H$12)</f>
        <v>0.11888922679236676</v>
      </c>
      <c r="K72" s="4"/>
      <c r="L72" s="4">
        <f>+D72-H72</f>
        <v>-2077.7399999999998</v>
      </c>
      <c r="M72" s="4"/>
      <c r="N72" s="12">
        <f>IF(H72=0,0,L72/H72)</f>
        <v>-0.44289688249400477</v>
      </c>
      <c r="O72" s="10"/>
      <c r="P72" s="4">
        <v>18015.79</v>
      </c>
      <c r="Q72" s="4"/>
      <c r="R72" s="12">
        <f>IF(P$12=0,0,P72/P$12)</f>
        <v>0.10800768580524098</v>
      </c>
      <c r="S72" s="4"/>
      <c r="T72" s="4">
        <v>21612.06</v>
      </c>
      <c r="U72" s="4"/>
      <c r="V72" s="12">
        <f>IF(T$12=0,0,T72/T$12)</f>
        <v>0.10791515411771169</v>
      </c>
      <c r="W72" s="4"/>
      <c r="X72" s="4">
        <f>+P72-T72</f>
        <v>-3596.2700000000004</v>
      </c>
      <c r="Y72" s="4"/>
      <c r="Z72" s="12">
        <f>IF(T72=0,0,X72/T72)</f>
        <v>-0.16640107421504477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2">
        <f>+D70-D72</f>
        <v>266.77999999999838</v>
      </c>
      <c r="E74" s="14"/>
      <c r="F74" s="30">
        <f>IF(D$12=0,0,D74/D$12)</f>
        <v>1.2495550351287981E-2</v>
      </c>
      <c r="G74" s="14"/>
      <c r="H74" s="32">
        <f>+H70-H72</f>
        <v>1000.6000000000031</v>
      </c>
      <c r="I74" s="14"/>
      <c r="J74" s="30">
        <f>IF(H$12=0,0,H74/H$12)</f>
        <v>2.5357966496870249E-2</v>
      </c>
      <c r="K74" s="15"/>
      <c r="L74" s="32">
        <f>D74-H74</f>
        <v>-733.82000000000471</v>
      </c>
      <c r="M74" s="15"/>
      <c r="N74" s="30">
        <f>IF(H74=0,0,L74/H74)</f>
        <v>-0.73337997201679239</v>
      </c>
      <c r="O74" s="28"/>
      <c r="P74" s="32">
        <f>+P70-P72</f>
        <v>-2738.3999999999542</v>
      </c>
      <c r="Q74" s="14"/>
      <c r="R74" s="30">
        <f>IF(P$12=0,0,P74/P$12)</f>
        <v>-1.6417167762782924E-2</v>
      </c>
      <c r="S74" s="14"/>
      <c r="T74" s="32">
        <f>+T70-T72</f>
        <v>-4691.5500000000284</v>
      </c>
      <c r="U74" s="14"/>
      <c r="V74" s="30">
        <f>IF(T$12=0,0,T74/T$12)</f>
        <v>-2.3426241704907043E-2</v>
      </c>
      <c r="W74" s="15"/>
      <c r="X74" s="32">
        <f>P74-T74</f>
        <v>1953.1500000000742</v>
      </c>
      <c r="Y74" s="15"/>
      <c r="Z74" s="30">
        <f>IF(T74=0,0,X74/T74)</f>
        <v>-0.4163123061674846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6">
        <f>SUM(D74:D76)</f>
        <v>266.77999999999838</v>
      </c>
      <c r="E77" s="14"/>
      <c r="F77" s="31">
        <f>IF(D$12=0,0,D77/D$12)</f>
        <v>1.2495550351287981E-2</v>
      </c>
      <c r="G77" s="14"/>
      <c r="H77" s="36">
        <f>SUM(H74:H76)</f>
        <v>1000.6000000000031</v>
      </c>
      <c r="I77" s="14"/>
      <c r="J77" s="31">
        <f>IF(H$12=0,0,H77/H$12)</f>
        <v>2.5357966496870249E-2</v>
      </c>
      <c r="K77" s="15"/>
      <c r="L77" s="36">
        <f>+D77-H77</f>
        <v>-733.82000000000471</v>
      </c>
      <c r="M77" s="15"/>
      <c r="N77" s="31">
        <f>IF(H77=0,0,L77/H77)</f>
        <v>-0.73337997201679239</v>
      </c>
      <c r="O77" s="28"/>
      <c r="P77" s="36">
        <f>SUM(P74:P76)</f>
        <v>-2738.3999999999542</v>
      </c>
      <c r="Q77" s="14"/>
      <c r="R77" s="31">
        <f>IF(P$12=0,0,P77/P$12)</f>
        <v>-1.6417167762782924E-2</v>
      </c>
      <c r="S77" s="14"/>
      <c r="T77" s="36">
        <f>SUM(T74:T76)</f>
        <v>-4691.5500000000284</v>
      </c>
      <c r="U77" s="14"/>
      <c r="V77" s="31">
        <f>IF(T$12=0,0,T77/T$12)</f>
        <v>-2.3426241704907043E-2</v>
      </c>
      <c r="W77" s="15"/>
      <c r="X77" s="36">
        <f>+P77-T77</f>
        <v>1953.1500000000742</v>
      </c>
      <c r="Y77" s="15"/>
      <c r="Z77" s="31">
        <f>IF(T77=0,0,X77/T77)</f>
        <v>-0.4163123061674846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2">
        <v>43847.453402199077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6" t="s">
        <v>313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4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8" t="s">
        <v>12</v>
      </c>
    </row>
    <row r="3" spans="1:26" x14ac:dyDescent="0.25">
      <c r="D3" s="58" t="s">
        <v>294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8" t="str">
        <f>CONCATENATE("Period ",RIGHT(202006,2),", ",2020)</f>
        <v>Period 06, 2020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43827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","501", " - ", "ID Card Services")</f>
        <v>Department 501 - ID Card Services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2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6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6"/>
      <c r="W9" s="16"/>
      <c r="X9" s="16"/>
      <c r="Y9" s="16"/>
      <c r="Z9" s="39"/>
    </row>
    <row r="10" spans="1:26" x14ac:dyDescent="0.25">
      <c r="A10" s="10"/>
      <c r="B10" s="53"/>
      <c r="C10" s="10"/>
      <c r="D10" s="43" t="s">
        <v>10</v>
      </c>
      <c r="E10" s="35"/>
      <c r="F10" s="34" t="s">
        <v>14</v>
      </c>
      <c r="G10" s="35"/>
      <c r="H10" s="45" t="s">
        <v>306</v>
      </c>
      <c r="I10" s="35"/>
      <c r="J10" s="34" t="s">
        <v>14</v>
      </c>
      <c r="K10" s="10"/>
      <c r="L10" s="43" t="s">
        <v>11</v>
      </c>
      <c r="M10" s="10"/>
      <c r="N10" s="34" t="s">
        <v>15</v>
      </c>
      <c r="O10" s="10"/>
      <c r="P10" s="55" t="s">
        <v>10</v>
      </c>
      <c r="Q10" s="35"/>
      <c r="R10" s="34" t="s">
        <v>14</v>
      </c>
      <c r="S10" s="35"/>
      <c r="T10" s="45" t="s">
        <v>306</v>
      </c>
      <c r="U10" s="35"/>
      <c r="V10" s="34" t="s">
        <v>14</v>
      </c>
      <c r="W10" s="10"/>
      <c r="X10" s="43" t="s">
        <v>11</v>
      </c>
      <c r="Y10" s="10"/>
      <c r="Z10" s="34" t="s">
        <v>15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21350</v>
      </c>
      <c r="E12" s="4"/>
      <c r="F12" s="12"/>
      <c r="G12" s="4"/>
      <c r="H12" s="4">
        <f>SUM(OSRRefH13x_0)</f>
        <v>39459</v>
      </c>
      <c r="I12" s="4"/>
      <c r="J12" s="12"/>
      <c r="K12" s="4"/>
      <c r="L12" s="4">
        <f t="shared" ref="L12:L13" si="0">+D12-H12</f>
        <v>-18109</v>
      </c>
      <c r="M12" s="4"/>
      <c r="N12" s="12">
        <f t="shared" ref="N12:N13" si="1">IF(H12=0,0,L12/H12)</f>
        <v>-0.45893205605818699</v>
      </c>
      <c r="O12" s="10"/>
      <c r="P12" s="4">
        <f>SUM(OSRRefP13x_0)</f>
        <v>166801</v>
      </c>
      <c r="Q12" s="4"/>
      <c r="R12" s="12"/>
      <c r="S12" s="4"/>
      <c r="T12" s="4">
        <f>SUM(OSRRefT13x_0)</f>
        <v>200269</v>
      </c>
      <c r="U12" s="4"/>
      <c r="V12" s="12"/>
      <c r="W12" s="4"/>
      <c r="X12" s="4">
        <f t="shared" ref="X12:X13" si="2">+P12-T12</f>
        <v>-33468</v>
      </c>
      <c r="Y12" s="4"/>
      <c r="Z12" s="12">
        <f t="shared" ref="Z12:Z13" si="3">IF(T12=0,0,X12/T12)</f>
        <v>-0.16711523001562897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--21350</f>
        <v>21350</v>
      </c>
      <c r="E13" s="2"/>
      <c r="F13" s="19"/>
      <c r="G13" s="2"/>
      <c r="H13" s="2">
        <f>--39459</f>
        <v>39459</v>
      </c>
      <c r="I13" s="2"/>
      <c r="J13" s="19"/>
      <c r="K13" s="2"/>
      <c r="L13" s="2">
        <f t="shared" si="0"/>
        <v>-18109</v>
      </c>
      <c r="M13" s="2"/>
      <c r="N13" s="19">
        <f t="shared" si="1"/>
        <v>-0.45893205605818699</v>
      </c>
      <c r="O13" s="11"/>
      <c r="P13" s="2">
        <f>--166801</f>
        <v>166801</v>
      </c>
      <c r="Q13" s="2"/>
      <c r="R13" s="19"/>
      <c r="S13" s="2"/>
      <c r="T13" s="2">
        <f>--200269</f>
        <v>200269</v>
      </c>
      <c r="U13" s="2"/>
      <c r="V13" s="19"/>
      <c r="W13" s="2"/>
      <c r="X13" s="2">
        <f t="shared" si="2"/>
        <v>-33468</v>
      </c>
      <c r="Y13" s="2"/>
      <c r="Z13" s="19">
        <f t="shared" si="3"/>
        <v>-0.16711523001562897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D12-D15</f>
        <v>21350</v>
      </c>
      <c r="E17" s="14"/>
      <c r="F17" s="21">
        <f>IF(D$12=0,0,D17/D$12)</f>
        <v>1</v>
      </c>
      <c r="G17" s="14"/>
      <c r="H17" s="20">
        <f>H12-H15</f>
        <v>39459</v>
      </c>
      <c r="I17" s="14"/>
      <c r="J17" s="21">
        <f>IF(H$12=0,0,H17/H$12)</f>
        <v>1</v>
      </c>
      <c r="K17" s="15"/>
      <c r="L17" s="20">
        <f>+D17-H17</f>
        <v>-18109</v>
      </c>
      <c r="M17" s="15"/>
      <c r="N17" s="21">
        <f>IF(H17=0,0,L17/H17)</f>
        <v>-0.45893205605818699</v>
      </c>
      <c r="O17" s="28"/>
      <c r="P17" s="20">
        <f>P12-P15</f>
        <v>166801</v>
      </c>
      <c r="Q17" s="14"/>
      <c r="R17" s="21">
        <f>IF(P$12=0,0,P17/P$12)</f>
        <v>1</v>
      </c>
      <c r="S17" s="14"/>
      <c r="T17" s="20">
        <f>T12-T15</f>
        <v>200269</v>
      </c>
      <c r="U17" s="14"/>
      <c r="V17" s="21">
        <f>IF(T$12=0,0,T17/T$12)</f>
        <v>1</v>
      </c>
      <c r="W17" s="15"/>
      <c r="X17" s="20">
        <f>+P17-T17</f>
        <v>-33468</v>
      </c>
      <c r="Y17" s="15"/>
      <c r="Z17" s="21">
        <f>IF(T17=0,0,X17/T17)</f>
        <v>-0.16711523001562897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20034.310000000001</v>
      </c>
      <c r="E19" s="22"/>
      <c r="F19" s="33">
        <f t="shared" ref="F19:F28" si="4">IF(D$12=0,0,D19/D$12)</f>
        <v>0.93837517564402817</v>
      </c>
      <c r="G19" s="22"/>
      <c r="H19" s="22">
        <f>SUM(OSRRefH22x_0)</f>
        <v>35569.699999999997</v>
      </c>
      <c r="I19" s="22"/>
      <c r="J19" s="33">
        <f t="shared" ref="J19:J28" si="5">IF(H$12=0,0,H19/H$12)</f>
        <v>0.90143440026356458</v>
      </c>
      <c r="K19" s="4"/>
      <c r="L19" s="22">
        <f t="shared" ref="L19:L28" si="6">+D19-H19</f>
        <v>-15535.389999999996</v>
      </c>
      <c r="M19" s="4"/>
      <c r="N19" s="33">
        <f t="shared" ref="N19:N28" si="7">IF(H19=0,0,L19/H19)</f>
        <v>-0.43675909552231246</v>
      </c>
      <c r="O19" s="10"/>
      <c r="P19" s="22">
        <f>SUM(OSRRefP22x_0)</f>
        <v>165274.94999999995</v>
      </c>
      <c r="Q19" s="22"/>
      <c r="R19" s="33">
        <f t="shared" ref="R19:R28" si="8">IF(P$12=0,0,P19/P$12)</f>
        <v>0.99085107403432804</v>
      </c>
      <c r="S19" s="22"/>
      <c r="T19" s="22">
        <f>SUM(OSRRefT22x_0)</f>
        <v>198581.78000000003</v>
      </c>
      <c r="U19" s="22"/>
      <c r="V19" s="33">
        <f t="shared" ref="V19:V28" si="9">IF(T$12=0,0,T19/T$12)</f>
        <v>0.99157523131388292</v>
      </c>
      <c r="W19" s="4"/>
      <c r="X19" s="22">
        <f t="shared" ref="X19:X28" si="10">+P19-T19</f>
        <v>-33306.830000000075</v>
      </c>
      <c r="Y19" s="4"/>
      <c r="Z19" s="33">
        <f t="shared" ref="Z19:Z28" si="11">IF(T19=0,0,X19/T19)</f>
        <v>-0.16772349406879156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3916.68</v>
      </c>
      <c r="E20" s="1"/>
      <c r="F20" s="5">
        <f t="shared" si="4"/>
        <v>0.1834510538641686</v>
      </c>
      <c r="G20" s="1"/>
      <c r="H20" s="1">
        <f>SUM(OSRRefH22_0x_0)</f>
        <v>3597.12</v>
      </c>
      <c r="I20" s="1"/>
      <c r="J20" s="5">
        <f t="shared" si="5"/>
        <v>9.116095187409716E-2</v>
      </c>
      <c r="K20" s="1"/>
      <c r="L20" s="1">
        <f t="shared" si="6"/>
        <v>319.55999999999995</v>
      </c>
      <c r="M20" s="1"/>
      <c r="N20" s="5">
        <f t="shared" si="7"/>
        <v>8.8837736856151581E-2</v>
      </c>
      <c r="O20" s="13"/>
      <c r="P20" s="1">
        <f>SUM(OSRRefP22_0x_0)</f>
        <v>27100.460000000003</v>
      </c>
      <c r="Q20" s="1"/>
      <c r="R20" s="5">
        <f t="shared" si="8"/>
        <v>0.16247180772297529</v>
      </c>
      <c r="S20" s="1"/>
      <c r="T20" s="1">
        <f>SUM(OSRRefT22_0x_0)</f>
        <v>25966.179999999997</v>
      </c>
      <c r="U20" s="1"/>
      <c r="V20" s="5">
        <f t="shared" si="9"/>
        <v>0.1296565119913716</v>
      </c>
      <c r="W20" s="1"/>
      <c r="X20" s="1">
        <f t="shared" si="10"/>
        <v>1134.2800000000061</v>
      </c>
      <c r="Y20" s="1"/>
      <c r="Z20" s="5">
        <f t="shared" si="11"/>
        <v>4.3682975316354053E-2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907.16</v>
      </c>
      <c r="E21" s="2"/>
      <c r="F21" s="7">
        <f t="shared" si="4"/>
        <v>4.2489929742388757E-2</v>
      </c>
      <c r="G21" s="2"/>
      <c r="H21" s="6">
        <v>691.51</v>
      </c>
      <c r="I21" s="2"/>
      <c r="J21" s="7">
        <f t="shared" si="5"/>
        <v>1.7524772548721458E-2</v>
      </c>
      <c r="K21" s="2"/>
      <c r="L21" s="6">
        <f t="shared" si="6"/>
        <v>215.64999999999998</v>
      </c>
      <c r="M21" s="2"/>
      <c r="N21" s="7">
        <f t="shared" si="7"/>
        <v>0.31185376928750125</v>
      </c>
      <c r="O21" s="11"/>
      <c r="P21" s="6">
        <v>6796.74</v>
      </c>
      <c r="Q21" s="2"/>
      <c r="R21" s="7">
        <f t="shared" si="8"/>
        <v>4.0747597436466207E-2</v>
      </c>
      <c r="S21" s="2"/>
      <c r="T21" s="6">
        <v>6018.42</v>
      </c>
      <c r="U21" s="2"/>
      <c r="V21" s="7">
        <f t="shared" si="9"/>
        <v>3.0051680489741297E-2</v>
      </c>
      <c r="W21" s="2"/>
      <c r="X21" s="6">
        <f t="shared" si="10"/>
        <v>778.31999999999971</v>
      </c>
      <c r="Y21" s="2"/>
      <c r="Z21" s="7">
        <f t="shared" si="11"/>
        <v>0.1293229784561396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70.650000000000006</v>
      </c>
      <c r="E22" s="2"/>
      <c r="F22" s="7">
        <f t="shared" si="4"/>
        <v>3.3091334894613587E-3</v>
      </c>
      <c r="G22" s="2"/>
      <c r="H22" s="6">
        <v>62.15</v>
      </c>
      <c r="I22" s="2"/>
      <c r="J22" s="7">
        <f t="shared" si="5"/>
        <v>1.5750525862287437E-3</v>
      </c>
      <c r="K22" s="2"/>
      <c r="L22" s="6">
        <f t="shared" si="6"/>
        <v>8.5000000000000071</v>
      </c>
      <c r="M22" s="2"/>
      <c r="N22" s="7">
        <f t="shared" si="7"/>
        <v>0.13676588897827849</v>
      </c>
      <c r="O22" s="11"/>
      <c r="P22" s="6">
        <v>287.29000000000002</v>
      </c>
      <c r="Q22" s="2"/>
      <c r="R22" s="7">
        <f t="shared" si="8"/>
        <v>1.7223517844617239E-3</v>
      </c>
      <c r="S22" s="2"/>
      <c r="T22" s="6">
        <v>359.91</v>
      </c>
      <c r="U22" s="2"/>
      <c r="V22" s="7">
        <f t="shared" si="9"/>
        <v>1.7971328563082655E-3</v>
      </c>
      <c r="W22" s="2"/>
      <c r="X22" s="6">
        <f t="shared" si="10"/>
        <v>-72.62</v>
      </c>
      <c r="Y22" s="2"/>
      <c r="Z22" s="7">
        <f t="shared" si="11"/>
        <v>-0.20177266538856936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5.8234660421545667E-2</v>
      </c>
      <c r="G23" s="2"/>
      <c r="H23" s="6">
        <v>1243.31</v>
      </c>
      <c r="I23" s="2"/>
      <c r="J23" s="7">
        <f t="shared" si="5"/>
        <v>3.1508907980435388E-2</v>
      </c>
      <c r="K23" s="2"/>
      <c r="L23" s="6">
        <f t="shared" si="6"/>
        <v>0</v>
      </c>
      <c r="M23" s="2"/>
      <c r="N23" s="7">
        <f t="shared" si="7"/>
        <v>0</v>
      </c>
      <c r="O23" s="11"/>
      <c r="P23" s="6">
        <v>7459.86</v>
      </c>
      <c r="Q23" s="2"/>
      <c r="R23" s="7">
        <f t="shared" si="8"/>
        <v>4.4723113170784347E-2</v>
      </c>
      <c r="S23" s="2"/>
      <c r="T23" s="6">
        <v>7325.98</v>
      </c>
      <c r="U23" s="2"/>
      <c r="V23" s="7">
        <f t="shared" si="9"/>
        <v>3.6580698959898933E-2</v>
      </c>
      <c r="W23" s="2"/>
      <c r="X23" s="6">
        <f t="shared" si="10"/>
        <v>133.88000000000011</v>
      </c>
      <c r="Y23" s="2"/>
      <c r="Z23" s="7">
        <f t="shared" si="11"/>
        <v>1.8274688164586869E-2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54.02</v>
      </c>
      <c r="E24" s="2"/>
      <c r="F24" s="7">
        <f t="shared" si="4"/>
        <v>2.5302107728337239E-3</v>
      </c>
      <c r="G24" s="2"/>
      <c r="H24" s="6">
        <v>52.13</v>
      </c>
      <c r="I24" s="2"/>
      <c r="J24" s="7">
        <f t="shared" si="5"/>
        <v>1.3211181226082771E-3</v>
      </c>
      <c r="K24" s="2"/>
      <c r="L24" s="6">
        <f t="shared" si="6"/>
        <v>1.8900000000000006</v>
      </c>
      <c r="M24" s="2"/>
      <c r="N24" s="7">
        <f t="shared" si="7"/>
        <v>3.625551505850759E-2</v>
      </c>
      <c r="O24" s="11"/>
      <c r="P24" s="6">
        <v>288.94</v>
      </c>
      <c r="Q24" s="2"/>
      <c r="R24" s="7">
        <f t="shared" si="8"/>
        <v>1.7322438114879407E-3</v>
      </c>
      <c r="S24" s="2"/>
      <c r="T24" s="6">
        <v>301.88</v>
      </c>
      <c r="U24" s="2"/>
      <c r="V24" s="7">
        <f t="shared" si="9"/>
        <v>1.5073725838746885E-3</v>
      </c>
      <c r="W24" s="2"/>
      <c r="X24" s="6">
        <f t="shared" si="10"/>
        <v>-12.939999999999998</v>
      </c>
      <c r="Y24" s="2"/>
      <c r="Z24" s="7">
        <f t="shared" si="11"/>
        <v>-4.2864714456075252E-2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2.9951756440281033E-2</v>
      </c>
      <c r="G25" s="2"/>
      <c r="H25" s="6">
        <v>544.30999999999995</v>
      </c>
      <c r="I25" s="2"/>
      <c r="J25" s="7">
        <f t="shared" si="5"/>
        <v>1.3794318153019588E-2</v>
      </c>
      <c r="K25" s="2"/>
      <c r="L25" s="6">
        <f t="shared" si="6"/>
        <v>95.160000000000082</v>
      </c>
      <c r="M25" s="2"/>
      <c r="N25" s="7">
        <f t="shared" si="7"/>
        <v>0.17482684499641765</v>
      </c>
      <c r="O25" s="11"/>
      <c r="P25" s="6">
        <v>4607.24</v>
      </c>
      <c r="Q25" s="2"/>
      <c r="R25" s="7">
        <f t="shared" si="8"/>
        <v>2.7621177331071157E-2</v>
      </c>
      <c r="S25" s="2"/>
      <c r="T25" s="6">
        <v>4131.53</v>
      </c>
      <c r="U25" s="2"/>
      <c r="V25" s="7">
        <f t="shared" si="9"/>
        <v>2.0629902780759875E-2</v>
      </c>
      <c r="W25" s="2"/>
      <c r="X25" s="6">
        <f t="shared" si="10"/>
        <v>475.71000000000004</v>
      </c>
      <c r="Y25" s="2"/>
      <c r="Z25" s="7">
        <f t="shared" si="11"/>
        <v>0.11514136409514153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577.94000000000005</v>
      </c>
      <c r="E26" s="2"/>
      <c r="F26" s="7">
        <f t="shared" si="4"/>
        <v>2.7069789227166279E-2</v>
      </c>
      <c r="G26" s="2"/>
      <c r="H26" s="6">
        <v>534.38</v>
      </c>
      <c r="I26" s="2"/>
      <c r="J26" s="7">
        <f t="shared" si="5"/>
        <v>1.3542664537874756E-2</v>
      </c>
      <c r="K26" s="2"/>
      <c r="L26" s="6">
        <f t="shared" si="6"/>
        <v>43.560000000000059</v>
      </c>
      <c r="M26" s="2"/>
      <c r="N26" s="7">
        <f t="shared" si="7"/>
        <v>8.151502675998365E-2</v>
      </c>
      <c r="O26" s="11"/>
      <c r="P26" s="6">
        <v>4492.88</v>
      </c>
      <c r="Q26" s="2"/>
      <c r="R26" s="7">
        <f t="shared" si="8"/>
        <v>2.6935569930635908E-2</v>
      </c>
      <c r="S26" s="2"/>
      <c r="T26" s="6">
        <v>4070.27</v>
      </c>
      <c r="U26" s="2"/>
      <c r="V26" s="7">
        <f t="shared" si="9"/>
        <v>2.0324014200899791E-2</v>
      </c>
      <c r="W26" s="2"/>
      <c r="X26" s="6">
        <f t="shared" si="10"/>
        <v>422.61000000000013</v>
      </c>
      <c r="Y26" s="2"/>
      <c r="Z26" s="7">
        <f t="shared" si="11"/>
        <v>0.10382849295009916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288.57</v>
      </c>
      <c r="E27" s="2"/>
      <c r="F27" s="7">
        <f t="shared" si="4"/>
        <v>1.3516159250585479E-2</v>
      </c>
      <c r="G27" s="2"/>
      <c r="H27" s="6">
        <v>353.46</v>
      </c>
      <c r="I27" s="2"/>
      <c r="J27" s="7">
        <f t="shared" si="5"/>
        <v>8.9576522466357483E-3</v>
      </c>
      <c r="K27" s="2"/>
      <c r="L27" s="6">
        <f t="shared" si="6"/>
        <v>-64.889999999999986</v>
      </c>
      <c r="M27" s="2"/>
      <c r="N27" s="7">
        <f t="shared" si="7"/>
        <v>-0.18358512985910708</v>
      </c>
      <c r="O27" s="11"/>
      <c r="P27" s="6">
        <v>2265.6999999999998</v>
      </c>
      <c r="Q27" s="2"/>
      <c r="R27" s="7">
        <f t="shared" si="8"/>
        <v>1.3583251898969429E-2</v>
      </c>
      <c r="S27" s="2"/>
      <c r="T27" s="6">
        <v>2342.35</v>
      </c>
      <c r="U27" s="2"/>
      <c r="V27" s="7">
        <f t="shared" si="9"/>
        <v>1.1696018854640508E-2</v>
      </c>
      <c r="W27" s="2"/>
      <c r="X27" s="6">
        <f t="shared" si="10"/>
        <v>-76.650000000000091</v>
      </c>
      <c r="Y27" s="2"/>
      <c r="Z27" s="7">
        <f t="shared" si="11"/>
        <v>-3.2723546865327593E-2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135.56</v>
      </c>
      <c r="E28" s="2"/>
      <c r="F28" s="7">
        <f t="shared" si="4"/>
        <v>6.3494145199063231E-3</v>
      </c>
      <c r="G28" s="2"/>
      <c r="H28" s="6">
        <v>115.87</v>
      </c>
      <c r="I28" s="2"/>
      <c r="J28" s="7">
        <f t="shared" si="5"/>
        <v>2.9364656985732028E-3</v>
      </c>
      <c r="K28" s="2"/>
      <c r="L28" s="6">
        <f t="shared" si="6"/>
        <v>19.689999999999998</v>
      </c>
      <c r="M28" s="2"/>
      <c r="N28" s="7">
        <f t="shared" si="7"/>
        <v>0.16993182014326397</v>
      </c>
      <c r="O28" s="11"/>
      <c r="P28" s="6">
        <v>901.81</v>
      </c>
      <c r="Q28" s="2"/>
      <c r="R28" s="7">
        <f t="shared" si="8"/>
        <v>5.4065023590985665E-3</v>
      </c>
      <c r="S28" s="2"/>
      <c r="T28" s="6">
        <v>1415.84</v>
      </c>
      <c r="U28" s="2"/>
      <c r="V28" s="7">
        <f t="shared" si="9"/>
        <v>7.0696912652482404E-3</v>
      </c>
      <c r="W28" s="2"/>
      <c r="X28" s="6">
        <f t="shared" si="10"/>
        <v>-514.03</v>
      </c>
      <c r="Y28" s="2"/>
      <c r="Z28" s="7">
        <f t="shared" si="11"/>
        <v>-0.36305656006328396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12932.08</v>
      </c>
      <c r="E29" s="1"/>
      <c r="F29" s="5">
        <f t="shared" ref="F29:F35" si="12">IF(D$12=0,0,D29/D$12)</f>
        <v>0.6057180327868853</v>
      </c>
      <c r="G29" s="1"/>
      <c r="H29" s="1">
        <f>SUM(OSRRefH22_1x_0)</f>
        <v>12609.670000000002</v>
      </c>
      <c r="I29" s="1"/>
      <c r="J29" s="5">
        <f t="shared" ref="J29:J35" si="13">IF(H$12=0,0,H29/H$12)</f>
        <v>0.31956385108593732</v>
      </c>
      <c r="K29" s="1"/>
      <c r="L29" s="1">
        <f t="shared" ref="L29:L35" si="14">+D29-H29</f>
        <v>322.40999999999804</v>
      </c>
      <c r="M29" s="1"/>
      <c r="N29" s="5">
        <f t="shared" ref="N29:N35" si="15">IF(H29=0,0,L29/H29)</f>
        <v>2.556847245011154E-2</v>
      </c>
      <c r="O29" s="13"/>
      <c r="P29" s="1">
        <f>SUM(OSRRefP22_1x_0)</f>
        <v>100031.45</v>
      </c>
      <c r="Q29" s="1"/>
      <c r="R29" s="5">
        <f t="shared" ref="R29:R35" si="16">IF(P$12=0,0,P29/P$12)</f>
        <v>0.59970533749797661</v>
      </c>
      <c r="S29" s="1"/>
      <c r="T29" s="1">
        <f>SUM(OSRRefT22_1x_0)</f>
        <v>96988.849999999991</v>
      </c>
      <c r="U29" s="1"/>
      <c r="V29" s="5">
        <f t="shared" ref="V29:V35" si="17">IF(T$12=0,0,T29/T$12)</f>
        <v>0.4842928760816701</v>
      </c>
      <c r="W29" s="1"/>
      <c r="X29" s="1">
        <f t="shared" ref="X29:X35" si="18">+P29-T29</f>
        <v>3042.6000000000058</v>
      </c>
      <c r="Y29" s="1"/>
      <c r="Z29" s="5">
        <f t="shared" ref="Z29:Z35" si="19">IF(T29=0,0,X29/T29)</f>
        <v>3.1370616313112346E-2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5318</v>
      </c>
      <c r="E30" s="2"/>
      <c r="F30" s="7">
        <f t="shared" si="12"/>
        <v>0.24908665105386416</v>
      </c>
      <c r="G30" s="2"/>
      <c r="H30" s="6">
        <v>5206.43</v>
      </c>
      <c r="I30" s="2"/>
      <c r="J30" s="7">
        <f t="shared" si="13"/>
        <v>0.13194531032210649</v>
      </c>
      <c r="K30" s="2"/>
      <c r="L30" s="6">
        <f t="shared" si="14"/>
        <v>111.56999999999971</v>
      </c>
      <c r="M30" s="2"/>
      <c r="N30" s="7">
        <f t="shared" si="15"/>
        <v>2.1429271112835418E-2</v>
      </c>
      <c r="O30" s="11"/>
      <c r="P30" s="6">
        <v>34499.879999999997</v>
      </c>
      <c r="Q30" s="2"/>
      <c r="R30" s="7">
        <f t="shared" si="16"/>
        <v>0.20683257294620536</v>
      </c>
      <c r="S30" s="2"/>
      <c r="T30" s="6">
        <v>34998.86</v>
      </c>
      <c r="U30" s="2"/>
      <c r="V30" s="7">
        <f t="shared" si="17"/>
        <v>0.17475924881035007</v>
      </c>
      <c r="W30" s="2"/>
      <c r="X30" s="6">
        <f t="shared" si="18"/>
        <v>-498.9800000000032</v>
      </c>
      <c r="Y30" s="2"/>
      <c r="Z30" s="7">
        <f t="shared" si="19"/>
        <v>-1.4257035800594739E-2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5.5230714688743639E-2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5841.27</v>
      </c>
      <c r="E32" s="2"/>
      <c r="F32" s="7">
        <f t="shared" si="12"/>
        <v>0.27359578454332556</v>
      </c>
      <c r="G32" s="2"/>
      <c r="H32" s="6">
        <v>3717.77</v>
      </c>
      <c r="I32" s="2"/>
      <c r="J32" s="7">
        <f t="shared" si="13"/>
        <v>9.4218555969487319E-2</v>
      </c>
      <c r="K32" s="2"/>
      <c r="L32" s="6">
        <f t="shared" si="14"/>
        <v>2123.5000000000005</v>
      </c>
      <c r="M32" s="2"/>
      <c r="N32" s="7">
        <f t="shared" si="15"/>
        <v>0.5711757316886199</v>
      </c>
      <c r="O32" s="11"/>
      <c r="P32" s="6">
        <v>44937.310000000005</v>
      </c>
      <c r="Q32" s="2"/>
      <c r="R32" s="7">
        <f t="shared" si="16"/>
        <v>0.26940671818514278</v>
      </c>
      <c r="S32" s="2"/>
      <c r="T32" s="6">
        <v>19545.449999999997</v>
      </c>
      <c r="U32" s="2"/>
      <c r="V32" s="7">
        <f t="shared" si="17"/>
        <v>9.7595983402323866E-2</v>
      </c>
      <c r="W32" s="2"/>
      <c r="X32" s="6">
        <f t="shared" si="18"/>
        <v>25391.860000000008</v>
      </c>
      <c r="Y32" s="2"/>
      <c r="Z32" s="7">
        <f t="shared" si="19"/>
        <v>1.2991187207252846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/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4838.08</v>
      </c>
      <c r="U33" s="2"/>
      <c r="V33" s="7">
        <f t="shared" si="17"/>
        <v>2.415790761425882E-2</v>
      </c>
      <c r="W33" s="2"/>
      <c r="X33" s="6">
        <f t="shared" si="18"/>
        <v>-4838.08</v>
      </c>
      <c r="Y33" s="2"/>
      <c r="Z33" s="7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1597.5</v>
      </c>
      <c r="E34" s="2"/>
      <c r="F34" s="7">
        <f t="shared" si="12"/>
        <v>7.4824355971896961E-2</v>
      </c>
      <c r="G34" s="2"/>
      <c r="H34" s="6">
        <v>3387.44</v>
      </c>
      <c r="I34" s="2"/>
      <c r="J34" s="7">
        <f t="shared" si="13"/>
        <v>8.5847081781089227E-2</v>
      </c>
      <c r="K34" s="2"/>
      <c r="L34" s="6">
        <f t="shared" si="14"/>
        <v>-1789.94</v>
      </c>
      <c r="M34" s="2"/>
      <c r="N34" s="7">
        <f t="shared" si="15"/>
        <v>-0.52840493115745224</v>
      </c>
      <c r="O34" s="11"/>
      <c r="P34" s="6">
        <v>16644.929999999997</v>
      </c>
      <c r="Q34" s="2"/>
      <c r="R34" s="7">
        <f t="shared" si="16"/>
        <v>9.9789149945144193E-2</v>
      </c>
      <c r="S34" s="2"/>
      <c r="T34" s="6">
        <v>26076.929999999997</v>
      </c>
      <c r="U34" s="2"/>
      <c r="V34" s="7">
        <f t="shared" si="17"/>
        <v>0.13020951819802365</v>
      </c>
      <c r="W34" s="2"/>
      <c r="X34" s="6">
        <f t="shared" si="18"/>
        <v>-9432</v>
      </c>
      <c r="Y34" s="2"/>
      <c r="Z34" s="7">
        <f t="shared" si="19"/>
        <v>-0.36169901901795959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>
        <v>175.31</v>
      </c>
      <c r="E35" s="2"/>
      <c r="F35" s="7">
        <f t="shared" si="12"/>
        <v>8.2112412177985945E-3</v>
      </c>
      <c r="G35" s="2"/>
      <c r="H35" s="6">
        <v>298.02999999999997</v>
      </c>
      <c r="I35" s="2"/>
      <c r="J35" s="7">
        <f t="shared" si="13"/>
        <v>7.5529030132542628E-3</v>
      </c>
      <c r="K35" s="2"/>
      <c r="L35" s="6">
        <f t="shared" si="14"/>
        <v>-122.71999999999997</v>
      </c>
      <c r="M35" s="2"/>
      <c r="N35" s="7">
        <f t="shared" si="15"/>
        <v>-0.41177062711807533</v>
      </c>
      <c r="O35" s="11"/>
      <c r="P35" s="6">
        <v>3949.33</v>
      </c>
      <c r="Q35" s="2"/>
      <c r="R35" s="7">
        <f t="shared" si="16"/>
        <v>2.3676896421484284E-2</v>
      </c>
      <c r="S35" s="2"/>
      <c r="T35" s="6">
        <v>468.53</v>
      </c>
      <c r="U35" s="2"/>
      <c r="V35" s="7">
        <f t="shared" si="17"/>
        <v>2.3395033679700799E-3</v>
      </c>
      <c r="W35" s="2"/>
      <c r="X35" s="6">
        <f t="shared" si="18"/>
        <v>3480.8</v>
      </c>
      <c r="Y35" s="2"/>
      <c r="Z35" s="7">
        <f t="shared" si="19"/>
        <v>7.4291934347853932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39</v>
      </c>
      <c r="I36" s="1"/>
      <c r="J36" s="5">
        <f t="shared" ref="J36:J44" si="21">IF(H$12=0,0,H36/H$12)</f>
        <v>9.8836767277427203E-4</v>
      </c>
      <c r="K36" s="1"/>
      <c r="L36" s="1">
        <f t="shared" ref="L36:L44" si="22">+D36-H36</f>
        <v>-39</v>
      </c>
      <c r="M36" s="1"/>
      <c r="N36" s="5">
        <f t="shared" ref="N36:N44" si="23">IF(H36=0,0,L36/H36)</f>
        <v>-1</v>
      </c>
      <c r="O36" s="13"/>
      <c r="P36" s="1">
        <f>SUM(OSRRefP22_2x_0)</f>
        <v>106.77</v>
      </c>
      <c r="Q36" s="1"/>
      <c r="R36" s="5">
        <f t="shared" ref="R36:R44" si="24">IF(P$12=0,0,P36/P$12)</f>
        <v>6.4010407611465154E-4</v>
      </c>
      <c r="S36" s="1"/>
      <c r="T36" s="1">
        <f>SUM(OSRRefT22_2x_0)</f>
        <v>2526.94</v>
      </c>
      <c r="U36" s="1"/>
      <c r="V36" s="5">
        <f t="shared" ref="V36:V44" si="25">IF(T$12=0,0,T36/T$12)</f>
        <v>1.2617729154287483E-2</v>
      </c>
      <c r="W36" s="1"/>
      <c r="X36" s="1">
        <f t="shared" ref="X36:X44" si="26">+P36-T36</f>
        <v>-2420.17</v>
      </c>
      <c r="Y36" s="1"/>
      <c r="Z36" s="5">
        <f t="shared" ref="Z36:Z44" si="27">IF(T36=0,0,X36/T36)</f>
        <v>-0.95774731493426835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39</v>
      </c>
      <c r="I37" s="2"/>
      <c r="J37" s="7">
        <f t="shared" si="21"/>
        <v>9.8836767277427203E-4</v>
      </c>
      <c r="K37" s="2"/>
      <c r="L37" s="6">
        <f t="shared" si="22"/>
        <v>-39</v>
      </c>
      <c r="M37" s="2"/>
      <c r="N37" s="7">
        <f t="shared" si="23"/>
        <v>-1</v>
      </c>
      <c r="O37" s="11"/>
      <c r="P37" s="6">
        <v>106.77</v>
      </c>
      <c r="Q37" s="2"/>
      <c r="R37" s="7">
        <f t="shared" si="24"/>
        <v>6.4010407611465154E-4</v>
      </c>
      <c r="S37" s="2"/>
      <c r="T37" s="6">
        <v>2526.94</v>
      </c>
      <c r="U37" s="2"/>
      <c r="V37" s="7">
        <f t="shared" si="25"/>
        <v>1.2617729154287483E-2</v>
      </c>
      <c r="W37" s="2"/>
      <c r="X37" s="6">
        <f t="shared" si="26"/>
        <v>-2420.17</v>
      </c>
      <c r="Y37" s="2"/>
      <c r="Z37" s="7">
        <f t="shared" si="27"/>
        <v>-0.95774731493426835</v>
      </c>
    </row>
    <row r="38" spans="1:26" s="27" customFormat="1" outlineLevel="1" collapsed="1" x14ac:dyDescent="0.25">
      <c r="A38" s="25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1698.21</v>
      </c>
      <c r="E38" s="1"/>
      <c r="F38" s="5">
        <f t="shared" si="20"/>
        <v>7.9541451990632325E-2</v>
      </c>
      <c r="G38" s="1"/>
      <c r="H38" s="1">
        <f>SUM(OSRRefH22_3x_0)</f>
        <v>1929.1</v>
      </c>
      <c r="I38" s="1"/>
      <c r="J38" s="5">
        <f t="shared" si="21"/>
        <v>4.8888719937149952E-2</v>
      </c>
      <c r="K38" s="1"/>
      <c r="L38" s="1">
        <f t="shared" si="22"/>
        <v>-230.88999999999987</v>
      </c>
      <c r="M38" s="1"/>
      <c r="N38" s="5">
        <f t="shared" si="23"/>
        <v>-0.11968793738012538</v>
      </c>
      <c r="O38" s="13"/>
      <c r="P38" s="1">
        <f>SUM(OSRRefP22_3x_0)</f>
        <v>12556</v>
      </c>
      <c r="Q38" s="1"/>
      <c r="R38" s="5">
        <f t="shared" si="24"/>
        <v>7.5275328085563031E-2</v>
      </c>
      <c r="S38" s="1"/>
      <c r="T38" s="1">
        <f>SUM(OSRRefT22_3x_0)</f>
        <v>12062.86</v>
      </c>
      <c r="U38" s="1"/>
      <c r="V38" s="5">
        <f t="shared" si="25"/>
        <v>6.0233286230020625E-2</v>
      </c>
      <c r="W38" s="1"/>
      <c r="X38" s="1">
        <f t="shared" si="26"/>
        <v>493.13999999999942</v>
      </c>
      <c r="Y38" s="1"/>
      <c r="Z38" s="5">
        <f t="shared" si="27"/>
        <v>4.0880852467822672E-2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1698.21</v>
      </c>
      <c r="E39" s="2"/>
      <c r="F39" s="7">
        <f t="shared" si="20"/>
        <v>7.9541451990632325E-2</v>
      </c>
      <c r="G39" s="2"/>
      <c r="H39" s="6">
        <v>1929.1</v>
      </c>
      <c r="I39" s="2"/>
      <c r="J39" s="7">
        <f t="shared" si="21"/>
        <v>4.8888719937149952E-2</v>
      </c>
      <c r="K39" s="2"/>
      <c r="L39" s="6">
        <f t="shared" si="22"/>
        <v>-230.88999999999987</v>
      </c>
      <c r="M39" s="2"/>
      <c r="N39" s="7">
        <f t="shared" si="23"/>
        <v>-0.11968793738012538</v>
      </c>
      <c r="O39" s="11"/>
      <c r="P39" s="6">
        <v>12556</v>
      </c>
      <c r="Q39" s="2"/>
      <c r="R39" s="7">
        <f t="shared" si="24"/>
        <v>7.5275328085563031E-2</v>
      </c>
      <c r="S39" s="2"/>
      <c r="T39" s="6">
        <v>12062.86</v>
      </c>
      <c r="U39" s="2"/>
      <c r="V39" s="7">
        <f t="shared" si="25"/>
        <v>6.0233286230020625E-2</v>
      </c>
      <c r="W39" s="2"/>
      <c r="X39" s="6">
        <f t="shared" si="26"/>
        <v>493.13999999999942</v>
      </c>
      <c r="Y39" s="2"/>
      <c r="Z39" s="7">
        <f t="shared" si="27"/>
        <v>4.0880852467822672E-2</v>
      </c>
    </row>
    <row r="40" spans="1:26" s="27" customFormat="1" outlineLevel="1" collapsed="1" x14ac:dyDescent="0.25">
      <c r="A40" s="25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92.16</v>
      </c>
      <c r="I40" s="1"/>
      <c r="J40" s="5">
        <f t="shared" si="21"/>
        <v>2.3355888390481257E-3</v>
      </c>
      <c r="K40" s="1"/>
      <c r="L40" s="1">
        <f t="shared" si="22"/>
        <v>-92.16</v>
      </c>
      <c r="M40" s="1"/>
      <c r="N40" s="5">
        <f t="shared" si="23"/>
        <v>-1</v>
      </c>
      <c r="O40" s="13"/>
      <c r="P40" s="1">
        <f>SUM(OSRRefP22_4x_0)</f>
        <v>64.239999999999995</v>
      </c>
      <c r="Q40" s="1"/>
      <c r="R40" s="5">
        <f t="shared" si="24"/>
        <v>3.8512958555404341E-4</v>
      </c>
      <c r="S40" s="1"/>
      <c r="T40" s="1">
        <f>SUM(OSRRefT22_4x_0)</f>
        <v>92.16</v>
      </c>
      <c r="U40" s="1"/>
      <c r="V40" s="5">
        <f t="shared" si="25"/>
        <v>4.6018105647903569E-4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>
        <v>92.16</v>
      </c>
      <c r="I41" s="2"/>
      <c r="J41" s="7">
        <f t="shared" si="21"/>
        <v>2.3355888390481257E-3</v>
      </c>
      <c r="K41" s="2"/>
      <c r="L41" s="6">
        <f t="shared" si="22"/>
        <v>-92.16</v>
      </c>
      <c r="M41" s="2"/>
      <c r="N41" s="7">
        <f t="shared" si="23"/>
        <v>-1</v>
      </c>
      <c r="O41" s="11"/>
      <c r="P41" s="6">
        <v>64.239999999999995</v>
      </c>
      <c r="Q41" s="2"/>
      <c r="R41" s="7">
        <f t="shared" si="24"/>
        <v>3.8512958555404341E-4</v>
      </c>
      <c r="S41" s="2"/>
      <c r="T41" s="6">
        <v>92.16</v>
      </c>
      <c r="U41" s="2"/>
      <c r="V41" s="7">
        <f t="shared" si="25"/>
        <v>4.6018105647903569E-4</v>
      </c>
      <c r="W41" s="2"/>
      <c r="X41" s="6">
        <f t="shared" si="26"/>
        <v>-27.92</v>
      </c>
      <c r="Y41" s="2"/>
      <c r="Z41" s="7">
        <f t="shared" si="27"/>
        <v>-0.3029513888888889</v>
      </c>
    </row>
    <row r="42" spans="1:26" s="27" customFormat="1" outlineLevel="1" collapsed="1" x14ac:dyDescent="0.25">
      <c r="A42" s="25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0.47</v>
      </c>
      <c r="I42" s="1"/>
      <c r="J42" s="5">
        <f t="shared" si="21"/>
        <v>1.1911097594971995E-5</v>
      </c>
      <c r="K42" s="1"/>
      <c r="L42" s="1">
        <f t="shared" si="22"/>
        <v>-0.47</v>
      </c>
      <c r="M42" s="1"/>
      <c r="N42" s="5">
        <f t="shared" si="23"/>
        <v>-1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21.59</v>
      </c>
      <c r="U42" s="1"/>
      <c r="V42" s="5">
        <f t="shared" si="25"/>
        <v>1.0780500227194423E-4</v>
      </c>
      <c r="W42" s="1"/>
      <c r="X42" s="1">
        <f t="shared" si="26"/>
        <v>-21.59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1.0545815877644569E-4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>
        <v>0.47</v>
      </c>
      <c r="I44" s="2"/>
      <c r="J44" s="7">
        <f t="shared" si="21"/>
        <v>1.1911097594971995E-5</v>
      </c>
      <c r="K44" s="2"/>
      <c r="L44" s="6">
        <f t="shared" si="22"/>
        <v>-0.47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0.47</v>
      </c>
      <c r="U44" s="2"/>
      <c r="V44" s="7">
        <f t="shared" si="25"/>
        <v>2.3468434954985543E-6</v>
      </c>
      <c r="W44" s="2"/>
      <c r="X44" s="6">
        <f t="shared" si="26"/>
        <v>-0.47</v>
      </c>
      <c r="Y44" s="2"/>
      <c r="Z44" s="7">
        <f t="shared" si="27"/>
        <v>-1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5" si="28">IF(D$12=0,0,D45/D$12)</f>
        <v>0</v>
      </c>
      <c r="G45" s="1"/>
      <c r="H45" s="1">
        <f>SUM(OSRRefH22_6x_0)</f>
        <v>360</v>
      </c>
      <c r="I45" s="1"/>
      <c r="J45" s="5">
        <f t="shared" ref="J45:J55" si="29">IF(H$12=0,0,H45/H$12)</f>
        <v>9.1233939025317425E-3</v>
      </c>
      <c r="K45" s="1"/>
      <c r="L45" s="1">
        <f t="shared" ref="L45:L55" si="30">+D45-H45</f>
        <v>-360</v>
      </c>
      <c r="M45" s="1"/>
      <c r="N45" s="5">
        <f t="shared" ref="N45:N55" si="31">IF(H45=0,0,L45/H45)</f>
        <v>-1</v>
      </c>
      <c r="O45" s="13"/>
      <c r="P45" s="1">
        <f>SUM(OSRRefP22_6x_0)</f>
        <v>0</v>
      </c>
      <c r="Q45" s="1"/>
      <c r="R45" s="5">
        <f t="shared" ref="R45:R55" si="32">IF(P$12=0,0,P45/P$12)</f>
        <v>0</v>
      </c>
      <c r="S45" s="1"/>
      <c r="T45" s="1">
        <f>SUM(OSRRefT22_6x_0)</f>
        <v>661</v>
      </c>
      <c r="U45" s="1"/>
      <c r="V45" s="5">
        <f t="shared" ref="V45:V55" si="33">IF(T$12=0,0,T45/T$12)</f>
        <v>3.3005607457969031E-3</v>
      </c>
      <c r="W45" s="1"/>
      <c r="X45" s="1">
        <f t="shared" ref="X45:X55" si="34">+P45-T45</f>
        <v>-661</v>
      </c>
      <c r="Y45" s="1"/>
      <c r="Z45" s="5">
        <f t="shared" ref="Z45:Z55" si="35">IF(T45=0,0,X45/T45)</f>
        <v>-1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>
        <v>360</v>
      </c>
      <c r="I46" s="2"/>
      <c r="J46" s="7">
        <f t="shared" si="29"/>
        <v>9.1233939025317425E-3</v>
      </c>
      <c r="K46" s="2"/>
      <c r="L46" s="6">
        <f t="shared" si="30"/>
        <v>-360</v>
      </c>
      <c r="M46" s="2"/>
      <c r="N46" s="7">
        <f t="shared" si="31"/>
        <v>-1</v>
      </c>
      <c r="O46" s="11"/>
      <c r="P46" s="6"/>
      <c r="Q46" s="2"/>
      <c r="R46" s="7">
        <f t="shared" si="32"/>
        <v>0</v>
      </c>
      <c r="S46" s="2"/>
      <c r="T46" s="6">
        <v>661</v>
      </c>
      <c r="U46" s="2"/>
      <c r="V46" s="7">
        <f t="shared" si="33"/>
        <v>3.3005607457969031E-3</v>
      </c>
      <c r="W46" s="2"/>
      <c r="X46" s="6">
        <f t="shared" si="34"/>
        <v>-661</v>
      </c>
      <c r="Y46" s="2"/>
      <c r="Z46" s="7">
        <f t="shared" si="35"/>
        <v>-1</v>
      </c>
    </row>
    <row r="47" spans="1:26" s="27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1.3587822014051523E-3</v>
      </c>
      <c r="G47" s="1"/>
      <c r="H47" s="1">
        <f>SUM(OSRRefH22_7x_0)</f>
        <v>27.33</v>
      </c>
      <c r="I47" s="1"/>
      <c r="J47" s="5">
        <f t="shared" si="29"/>
        <v>6.9261765376720137E-4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174.06</v>
      </c>
      <c r="Q47" s="1"/>
      <c r="R47" s="5">
        <f t="shared" si="32"/>
        <v>1.0435189237474596E-3</v>
      </c>
      <c r="S47" s="1"/>
      <c r="T47" s="1">
        <f>SUM(OSRRefT22_7x_0)</f>
        <v>163.98</v>
      </c>
      <c r="U47" s="1"/>
      <c r="V47" s="5">
        <f t="shared" si="33"/>
        <v>8.1879871572734667E-4</v>
      </c>
      <c r="W47" s="1"/>
      <c r="X47" s="1">
        <f t="shared" si="34"/>
        <v>10.080000000000013</v>
      </c>
      <c r="Y47" s="1"/>
      <c r="Z47" s="5">
        <f t="shared" si="35"/>
        <v>6.1470911086717969E-2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1.3587822014051523E-3</v>
      </c>
      <c r="G48" s="2"/>
      <c r="H48" s="6">
        <v>27.33</v>
      </c>
      <c r="I48" s="2"/>
      <c r="J48" s="7">
        <f t="shared" si="29"/>
        <v>6.9261765376720137E-4</v>
      </c>
      <c r="K48" s="2"/>
      <c r="L48" s="6">
        <f t="shared" si="30"/>
        <v>1.6800000000000033</v>
      </c>
      <c r="M48" s="2"/>
      <c r="N48" s="7">
        <f t="shared" si="31"/>
        <v>6.1470911086718018E-2</v>
      </c>
      <c r="O48" s="11"/>
      <c r="P48" s="6">
        <v>174.06</v>
      </c>
      <c r="Q48" s="2"/>
      <c r="R48" s="7">
        <f t="shared" si="32"/>
        <v>1.0435189237474596E-3</v>
      </c>
      <c r="S48" s="2"/>
      <c r="T48" s="6">
        <v>163.98</v>
      </c>
      <c r="U48" s="2"/>
      <c r="V48" s="7">
        <f t="shared" si="33"/>
        <v>8.1879871572734667E-4</v>
      </c>
      <c r="W48" s="2"/>
      <c r="X48" s="6">
        <f t="shared" si="34"/>
        <v>10.080000000000013</v>
      </c>
      <c r="Y48" s="2"/>
      <c r="Z48" s="7">
        <f t="shared" si="35"/>
        <v>6.1470911086717969E-2</v>
      </c>
    </row>
    <row r="49" spans="1:26" s="27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8.388717175399088E-3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6"/>
      <c r="B50" s="11" t="str">
        <f>CONCATENATE("          ", "6336", " - ", "PROFESSIONAL SERVICES")</f>
        <v xml:space="preserve">          6336 - PROFESSIONAL SERVICES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1680</v>
      </c>
      <c r="U50" s="2"/>
      <c r="V50" s="7">
        <f t="shared" si="33"/>
        <v>8.388717175399088E-3</v>
      </c>
      <c r="W50" s="2"/>
      <c r="X50" s="6">
        <f t="shared" si="34"/>
        <v>-1680</v>
      </c>
      <c r="Y50" s="2"/>
      <c r="Z50" s="7">
        <f t="shared" si="35"/>
        <v>-1</v>
      </c>
    </row>
    <row r="51" spans="1:26" s="27" customFormat="1" outlineLevel="1" collapsed="1" x14ac:dyDescent="0.25">
      <c r="A51" s="25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3.7470725995316159E-2</v>
      </c>
      <c r="G51" s="1"/>
      <c r="H51" s="1">
        <f>SUM(OSRRefH22_9x_0)</f>
        <v>800</v>
      </c>
      <c r="I51" s="1"/>
      <c r="J51" s="5">
        <f t="shared" si="29"/>
        <v>2.0274208672292758E-2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4800</v>
      </c>
      <c r="Q51" s="1"/>
      <c r="R51" s="5">
        <f t="shared" si="32"/>
        <v>2.8776805894449073E-2</v>
      </c>
      <c r="S51" s="1"/>
      <c r="T51" s="1">
        <f>SUM(OSRRefT22_9x_0)</f>
        <v>4000</v>
      </c>
      <c r="U51" s="1"/>
      <c r="V51" s="5">
        <f t="shared" si="33"/>
        <v>1.9973136131902592E-2</v>
      </c>
      <c r="W51" s="1"/>
      <c r="X51" s="1">
        <f t="shared" si="34"/>
        <v>800</v>
      </c>
      <c r="Y51" s="1"/>
      <c r="Z51" s="5">
        <f t="shared" si="35"/>
        <v>0.2</v>
      </c>
    </row>
    <row r="52" spans="1:26" s="24" customFormat="1" hidden="1" outlineLevel="2" x14ac:dyDescent="0.25">
      <c r="A52" s="26"/>
      <c r="B52" s="11" t="str">
        <f>CONCATENATE("          ", "6273", " - ", "RENT")</f>
        <v xml:space="preserve">          6273 - RENT</v>
      </c>
      <c r="C52" s="11"/>
      <c r="D52" s="6">
        <v>800</v>
      </c>
      <c r="E52" s="2"/>
      <c r="F52" s="7">
        <f t="shared" si="28"/>
        <v>3.7470725995316159E-2</v>
      </c>
      <c r="G52" s="2"/>
      <c r="H52" s="6">
        <v>800</v>
      </c>
      <c r="I52" s="2"/>
      <c r="J52" s="7">
        <f t="shared" si="29"/>
        <v>2.0274208672292758E-2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4800</v>
      </c>
      <c r="Q52" s="2"/>
      <c r="R52" s="7">
        <f t="shared" si="32"/>
        <v>2.8776805894449073E-2</v>
      </c>
      <c r="S52" s="2"/>
      <c r="T52" s="6">
        <v>4000</v>
      </c>
      <c r="U52" s="2"/>
      <c r="V52" s="7">
        <f t="shared" si="33"/>
        <v>1.9973136131902592E-2</v>
      </c>
      <c r="W52" s="2"/>
      <c r="X52" s="6">
        <f t="shared" si="34"/>
        <v>800</v>
      </c>
      <c r="Y52" s="2"/>
      <c r="Z52" s="7">
        <f t="shared" si="35"/>
        <v>0.2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312.64999999999998</v>
      </c>
      <c r="E53" s="1"/>
      <c r="F53" s="5">
        <f t="shared" si="28"/>
        <v>1.4644028103044495E-2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312.64999999999998</v>
      </c>
      <c r="M53" s="1"/>
      <c r="N53" s="5">
        <f t="shared" si="31"/>
        <v>0</v>
      </c>
      <c r="O53" s="13"/>
      <c r="P53" s="1">
        <f>SUM(OSRRefP22_10x_0)</f>
        <v>749.96</v>
      </c>
      <c r="Q53" s="1"/>
      <c r="R53" s="5">
        <f t="shared" si="32"/>
        <v>4.4961361142918811E-3</v>
      </c>
      <c r="S53" s="1"/>
      <c r="T53" s="1">
        <f>SUM(OSRRefT22_10x_0)</f>
        <v>600</v>
      </c>
      <c r="U53" s="1"/>
      <c r="V53" s="5">
        <f t="shared" si="33"/>
        <v>2.9959704197853885E-3</v>
      </c>
      <c r="W53" s="1"/>
      <c r="X53" s="1">
        <f t="shared" si="34"/>
        <v>149.96000000000004</v>
      </c>
      <c r="Y53" s="1"/>
      <c r="Z53" s="5">
        <f t="shared" si="35"/>
        <v>0.2499333333333334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437.31</v>
      </c>
      <c r="Q54" s="2"/>
      <c r="R54" s="7">
        <f t="shared" si="32"/>
        <v>2.6217468720211509E-3</v>
      </c>
      <c r="S54" s="2"/>
      <c r="T54" s="6"/>
      <c r="U54" s="2"/>
      <c r="V54" s="7">
        <f t="shared" si="33"/>
        <v>0</v>
      </c>
      <c r="W54" s="2"/>
      <c r="X54" s="6">
        <f t="shared" si="34"/>
        <v>437.31</v>
      </c>
      <c r="Y54" s="2"/>
      <c r="Z54" s="7">
        <f t="shared" si="35"/>
        <v>0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312.64999999999998</v>
      </c>
      <c r="E55" s="2"/>
      <c r="F55" s="7">
        <f t="shared" si="28"/>
        <v>1.4644028103044495E-2</v>
      </c>
      <c r="G55" s="2"/>
      <c r="H55" s="6"/>
      <c r="I55" s="2"/>
      <c r="J55" s="7">
        <f t="shared" si="29"/>
        <v>0</v>
      </c>
      <c r="K55" s="2"/>
      <c r="L55" s="6">
        <f t="shared" si="30"/>
        <v>312.64999999999998</v>
      </c>
      <c r="M55" s="2"/>
      <c r="N55" s="7">
        <f t="shared" si="31"/>
        <v>0</v>
      </c>
      <c r="O55" s="11"/>
      <c r="P55" s="6">
        <v>312.64999999999998</v>
      </c>
      <c r="Q55" s="2"/>
      <c r="R55" s="7">
        <f t="shared" si="32"/>
        <v>1.8743892422707297E-3</v>
      </c>
      <c r="S55" s="2"/>
      <c r="T55" s="6">
        <v>600</v>
      </c>
      <c r="U55" s="2"/>
      <c r="V55" s="7">
        <f t="shared" si="33"/>
        <v>2.9959704197853885E-3</v>
      </c>
      <c r="W55" s="2"/>
      <c r="X55" s="6">
        <f t="shared" si="34"/>
        <v>-287.35000000000002</v>
      </c>
      <c r="Y55" s="2"/>
      <c r="Z55" s="7">
        <f t="shared" si="35"/>
        <v>-0.47891666666666671</v>
      </c>
    </row>
    <row r="56" spans="1:26" s="27" customFormat="1" outlineLevel="1" collapsed="1" x14ac:dyDescent="0.25">
      <c r="A56" s="25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SUM(OSRRefD22_11x_0)</f>
        <v>162.83000000000001</v>
      </c>
      <c r="E56" s="1"/>
      <c r="F56" s="5">
        <f t="shared" ref="F56:F60" si="36">IF(D$12=0,0,D56/D$12)</f>
        <v>7.6266978922716637E-3</v>
      </c>
      <c r="G56" s="1"/>
      <c r="H56" s="1">
        <f>SUM(OSRRefH22_11x_0)</f>
        <v>15773.929999999998</v>
      </c>
      <c r="I56" s="1"/>
      <c r="J56" s="5">
        <f t="shared" ref="J56:J60" si="37">IF(H$12=0,0,H56/H$12)</f>
        <v>0.3997549355026736</v>
      </c>
      <c r="K56" s="1"/>
      <c r="L56" s="1">
        <f t="shared" ref="L56:L60" si="38">+D56-H56</f>
        <v>-15611.099999999999</v>
      </c>
      <c r="M56" s="1"/>
      <c r="N56" s="5">
        <f t="shared" ref="N56:N60" si="39">IF(H56=0,0,L56/H56)</f>
        <v>-0.9896772712951053</v>
      </c>
      <c r="O56" s="13"/>
      <c r="P56" s="1">
        <f>SUM(OSRRefP22_11x_0)</f>
        <v>18560.660000000003</v>
      </c>
      <c r="Q56" s="1"/>
      <c r="R56" s="5">
        <f t="shared" ref="R56:R60" si="40">IF(P$12=0,0,P56/P$12)</f>
        <v>0.11127427293601359</v>
      </c>
      <c r="S56" s="1"/>
      <c r="T56" s="1">
        <f>SUM(OSRRefT22_11x_0)</f>
        <v>50029.299999999996</v>
      </c>
      <c r="U56" s="1"/>
      <c r="V56" s="5">
        <f t="shared" ref="V56:V60" si="41">IF(T$12=0,0,T56/T$12)</f>
        <v>0.24981050487094855</v>
      </c>
      <c r="W56" s="1"/>
      <c r="X56" s="1">
        <f t="shared" ref="X56:X60" si="42">+P56-T56</f>
        <v>-31468.639999999992</v>
      </c>
      <c r="Y56" s="1"/>
      <c r="Z56" s="5">
        <f t="shared" ref="Z56:Z60" si="43">IF(T56=0,0,X56/T56)</f>
        <v>-0.62900420353672737</v>
      </c>
    </row>
    <row r="57" spans="1:26" s="24" customFormat="1" hidden="1" outlineLevel="2" x14ac:dyDescent="0.25">
      <c r="A57" s="26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413.27</v>
      </c>
      <c r="Q57" s="2"/>
      <c r="R57" s="7">
        <f t="shared" si="40"/>
        <v>2.4776230358331186E-3</v>
      </c>
      <c r="S57" s="2"/>
      <c r="T57" s="6"/>
      <c r="U57" s="2"/>
      <c r="V57" s="7">
        <f t="shared" si="41"/>
        <v>0</v>
      </c>
      <c r="W57" s="2"/>
      <c r="X57" s="6">
        <f t="shared" si="42"/>
        <v>413.27</v>
      </c>
      <c r="Y57" s="2"/>
      <c r="Z57" s="7">
        <f t="shared" si="43"/>
        <v>0</v>
      </c>
    </row>
    <row r="58" spans="1:26" s="24" customFormat="1" hidden="1" outlineLevel="2" x14ac:dyDescent="0.25">
      <c r="A58" s="26"/>
      <c r="B58" s="11" t="str">
        <f>CONCATENATE("          ", "6241", " - ", "OFFICE EXPENSE")</f>
        <v xml:space="preserve">          6241 - OFFICE EXPENSE</v>
      </c>
      <c r="C58" s="11"/>
      <c r="D58" s="6">
        <v>162.83000000000001</v>
      </c>
      <c r="E58" s="2"/>
      <c r="F58" s="7">
        <f t="shared" si="36"/>
        <v>7.6266978922716637E-3</v>
      </c>
      <c r="G58" s="2"/>
      <c r="H58" s="6">
        <v>15773.929999999998</v>
      </c>
      <c r="I58" s="2"/>
      <c r="J58" s="7">
        <f t="shared" si="37"/>
        <v>0.3997549355026736</v>
      </c>
      <c r="K58" s="2"/>
      <c r="L58" s="6">
        <f t="shared" si="38"/>
        <v>-15611.099999999999</v>
      </c>
      <c r="M58" s="2"/>
      <c r="N58" s="7">
        <f t="shared" si="39"/>
        <v>-0.9896772712951053</v>
      </c>
      <c r="O58" s="11"/>
      <c r="P58" s="6">
        <v>18026.560000000001</v>
      </c>
      <c r="Q58" s="2"/>
      <c r="R58" s="7">
        <f t="shared" si="40"/>
        <v>0.10807225376346666</v>
      </c>
      <c r="S58" s="2"/>
      <c r="T58" s="6">
        <v>49669.88</v>
      </c>
      <c r="U58" s="2"/>
      <c r="V58" s="7">
        <f t="shared" si="41"/>
        <v>0.24801581872381645</v>
      </c>
      <c r="W58" s="2"/>
      <c r="X58" s="6">
        <f t="shared" si="42"/>
        <v>-31643.319999999996</v>
      </c>
      <c r="Y58" s="2"/>
      <c r="Z58" s="7">
        <f t="shared" si="43"/>
        <v>-0.63707260818830236</v>
      </c>
    </row>
    <row r="59" spans="1:26" s="24" customFormat="1" hidden="1" outlineLevel="2" x14ac:dyDescent="0.25">
      <c r="A59" s="26"/>
      <c r="B59" s="11" t="str">
        <f>CONCATENATE("          ", "6245", " - ", "PRINTING")</f>
        <v xml:space="preserve">          6245 - PRINTING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120.83</v>
      </c>
      <c r="Q59" s="2"/>
      <c r="R59" s="7">
        <f t="shared" si="40"/>
        <v>7.2439613671380866E-4</v>
      </c>
      <c r="S59" s="2"/>
      <c r="T59" s="6">
        <v>359.42</v>
      </c>
      <c r="U59" s="2"/>
      <c r="V59" s="7">
        <f t="shared" si="41"/>
        <v>1.7946861471321075E-3</v>
      </c>
      <c r="W59" s="2"/>
      <c r="X59" s="6">
        <f t="shared" si="42"/>
        <v>-238.59000000000003</v>
      </c>
      <c r="Y59" s="2"/>
      <c r="Z59" s="7">
        <f t="shared" si="43"/>
        <v>-0.66381948695119919</v>
      </c>
    </row>
    <row r="60" spans="1:26" s="24" customFormat="1" hidden="1" outlineLevel="2" x14ac:dyDescent="0.25">
      <c r="A60" s="26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/>
      <c r="Q60" s="2"/>
      <c r="R60" s="7">
        <f t="shared" si="40"/>
        <v>0</v>
      </c>
      <c r="S60" s="2"/>
      <c r="T60" s="6">
        <v>0</v>
      </c>
      <c r="U60" s="2"/>
      <c r="V60" s="7">
        <f t="shared" si="41"/>
        <v>0</v>
      </c>
      <c r="W60" s="2"/>
      <c r="X60" s="6">
        <f t="shared" si="42"/>
        <v>0</v>
      </c>
      <c r="Y60" s="2"/>
      <c r="Z60" s="7">
        <f t="shared" si="43"/>
        <v>0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SUM(OSRRefD22_12x_0)</f>
        <v>182.85</v>
      </c>
      <c r="E61" s="1"/>
      <c r="F61" s="5">
        <f t="shared" ref="F61:F64" si="44">IF(D$12=0,0,D61/D$12)</f>
        <v>8.564402810304449E-3</v>
      </c>
      <c r="G61" s="1"/>
      <c r="H61" s="1">
        <f>SUM(OSRRefH22_12x_0)</f>
        <v>340.92</v>
      </c>
      <c r="I61" s="1"/>
      <c r="J61" s="5">
        <f t="shared" ref="J61:J64" si="45">IF(H$12=0,0,H61/H$12)</f>
        <v>8.6398540256975593E-3</v>
      </c>
      <c r="K61" s="1"/>
      <c r="L61" s="1">
        <f t="shared" ref="L61:L64" si="46">+D61-H61</f>
        <v>-158.07000000000002</v>
      </c>
      <c r="M61" s="1"/>
      <c r="N61" s="5">
        <f t="shared" ref="N61:N64" si="47">IF(H61=0,0,L61/H61)</f>
        <v>-0.46365716297078496</v>
      </c>
      <c r="O61" s="13"/>
      <c r="P61" s="1">
        <f>SUM(OSRRefP22_12x_0)</f>
        <v>1131.3499999999999</v>
      </c>
      <c r="Q61" s="1"/>
      <c r="R61" s="5">
        <f t="shared" ref="R61:R64" si="48">IF(P$12=0,0,P61/P$12)</f>
        <v>6.7826331976426997E-3</v>
      </c>
      <c r="S61" s="1"/>
      <c r="T61" s="1">
        <f>SUM(OSRRefT22_12x_0)</f>
        <v>2188.92</v>
      </c>
      <c r="U61" s="1"/>
      <c r="V61" s="5">
        <f t="shared" ref="V61:V64" si="49">IF(T$12=0,0,T61/T$12)</f>
        <v>1.0929899285461056E-2</v>
      </c>
      <c r="W61" s="1"/>
      <c r="X61" s="1">
        <f t="shared" ref="X61:X64" si="50">+P61-T61</f>
        <v>-1057.5700000000002</v>
      </c>
      <c r="Y61" s="1"/>
      <c r="Z61" s="5">
        <f t="shared" ref="Z61:Z64" si="51">IF(T61=0,0,X61/T61)</f>
        <v>-0.48314694004349185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182.85</v>
      </c>
      <c r="E62" s="2"/>
      <c r="F62" s="7">
        <f t="shared" si="44"/>
        <v>8.564402810304449E-3</v>
      </c>
      <c r="G62" s="2"/>
      <c r="H62" s="6">
        <v>340.92</v>
      </c>
      <c r="I62" s="2"/>
      <c r="J62" s="7">
        <f t="shared" si="45"/>
        <v>8.6398540256975593E-3</v>
      </c>
      <c r="K62" s="2"/>
      <c r="L62" s="6">
        <f t="shared" si="46"/>
        <v>-158.07000000000002</v>
      </c>
      <c r="M62" s="2"/>
      <c r="N62" s="7">
        <f t="shared" si="47"/>
        <v>-0.46365716297078496</v>
      </c>
      <c r="O62" s="11"/>
      <c r="P62" s="6">
        <v>1131.3499999999999</v>
      </c>
      <c r="Q62" s="2"/>
      <c r="R62" s="7">
        <f t="shared" si="48"/>
        <v>6.7826331976426997E-3</v>
      </c>
      <c r="S62" s="2"/>
      <c r="T62" s="6">
        <v>2188.92</v>
      </c>
      <c r="U62" s="2"/>
      <c r="V62" s="7">
        <f t="shared" si="49"/>
        <v>1.0929899285461056E-2</v>
      </c>
      <c r="W62" s="2"/>
      <c r="X62" s="6">
        <f t="shared" si="50"/>
        <v>-1057.5700000000002</v>
      </c>
      <c r="Y62" s="2"/>
      <c r="Z62" s="7">
        <f t="shared" si="51"/>
        <v>-0.48314694004349185</v>
      </c>
    </row>
    <row r="63" spans="1:26" s="27" customFormat="1" outlineLevel="1" collapsed="1" x14ac:dyDescent="0.25">
      <c r="A63" s="25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0</v>
      </c>
      <c r="I63" s="1"/>
      <c r="J63" s="5">
        <f t="shared" si="45"/>
        <v>0</v>
      </c>
      <c r="K63" s="1"/>
      <c r="L63" s="1">
        <f t="shared" si="46"/>
        <v>0</v>
      </c>
      <c r="M63" s="1"/>
      <c r="N63" s="5">
        <f t="shared" si="47"/>
        <v>0</v>
      </c>
      <c r="O63" s="13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1600</v>
      </c>
      <c r="U63" s="1"/>
      <c r="V63" s="5">
        <f t="shared" si="49"/>
        <v>7.9892544527610364E-3</v>
      </c>
      <c r="W63" s="1"/>
      <c r="X63" s="1">
        <f t="shared" si="50"/>
        <v>-1600</v>
      </c>
      <c r="Y63" s="1"/>
      <c r="Z63" s="5">
        <f t="shared" si="51"/>
        <v>-1</v>
      </c>
    </row>
    <row r="64" spans="1:26" s="24" customFormat="1" hidden="1" outlineLevel="2" x14ac:dyDescent="0.25">
      <c r="A64" s="26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/>
      <c r="Q64" s="2"/>
      <c r="R64" s="7">
        <f t="shared" si="48"/>
        <v>0</v>
      </c>
      <c r="S64" s="2"/>
      <c r="T64" s="6">
        <v>1600</v>
      </c>
      <c r="U64" s="2"/>
      <c r="V64" s="7">
        <f t="shared" si="49"/>
        <v>7.9892544527610364E-3</v>
      </c>
      <c r="W64" s="2"/>
      <c r="X64" s="6">
        <f t="shared" si="50"/>
        <v>-1600</v>
      </c>
      <c r="Y64" s="2"/>
      <c r="Z64" s="7">
        <f t="shared" si="51"/>
        <v>-1</v>
      </c>
    </row>
    <row r="65" spans="1:26" s="61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8" t="s">
        <v>0</v>
      </c>
      <c r="C66" s="10"/>
      <c r="D66" s="4">
        <f>SUM(OSRRefD25x_0)</f>
        <v>1564.6</v>
      </c>
      <c r="E66" s="4"/>
      <c r="F66" s="12">
        <f t="shared" ref="F66:F68" si="52">IF(D$12=0,0,D66/D$12)</f>
        <v>7.3283372365339577E-2</v>
      </c>
      <c r="G66" s="4"/>
      <c r="H66" s="4">
        <f>SUM(OSRRefH25x_0)</f>
        <v>1802.55</v>
      </c>
      <c r="I66" s="4"/>
      <c r="J66" s="12">
        <f t="shared" ref="J66:J68" si="53">IF(H$12=0,0,H66/H$12)</f>
        <v>4.5681593552801644E-2</v>
      </c>
      <c r="K66" s="4"/>
      <c r="L66" s="4">
        <f t="shared" ref="L66:L68" si="54">+D66-H66</f>
        <v>-237.95000000000005</v>
      </c>
      <c r="M66" s="4"/>
      <c r="N66" s="12">
        <f t="shared" ref="N66:N68" si="55">IF(H66=0,0,L66/H66)</f>
        <v>-0.13200743391306763</v>
      </c>
      <c r="O66" s="10"/>
      <c r="P66" s="4">
        <f>SUM(OSRRefP25x_0)</f>
        <v>13751.34</v>
      </c>
      <c r="Q66" s="4"/>
      <c r="R66" s="12">
        <f t="shared" ref="R66:R68" si="56">IF(P$12=0,0,P66/P$12)</f>
        <v>8.2441592076786113E-2</v>
      </c>
      <c r="S66" s="4"/>
      <c r="T66" s="4">
        <f>SUM(OSRRefT25x_0)</f>
        <v>15233.29</v>
      </c>
      <c r="U66" s="4"/>
      <c r="V66" s="12">
        <f t="shared" ref="V66:V68" si="57">IF(T$12=0,0,T66/T$12)</f>
        <v>7.6064143726687614E-2</v>
      </c>
      <c r="W66" s="4"/>
      <c r="X66" s="4">
        <f t="shared" ref="X66:X68" si="58">+P66-T66</f>
        <v>-1481.9500000000007</v>
      </c>
      <c r="Y66" s="4"/>
      <c r="Z66" s="12">
        <f t="shared" ref="Z66:Z68" si="59">IF(T66=0,0,X66/T66)</f>
        <v>-9.7283646539913615E-2</v>
      </c>
    </row>
    <row r="67" spans="1:26" s="24" customFormat="1" hidden="1" outlineLevel="1" x14ac:dyDescent="0.25">
      <c r="A67" s="44"/>
      <c r="B67" s="11" t="str">
        <f>CONCATENATE("          ", "9150", " - ", "MISC. INCOME")</f>
        <v xml:space="preserve">          9150 - MISC. INCOME</v>
      </c>
      <c r="C67" s="11"/>
      <c r="D67" s="2">
        <f>--1564.6</f>
        <v>1564.6</v>
      </c>
      <c r="E67" s="2"/>
      <c r="F67" s="19">
        <f t="shared" si="52"/>
        <v>7.3283372365339577E-2</v>
      </c>
      <c r="G67" s="2"/>
      <c r="H67" s="2">
        <f>--1802.55</f>
        <v>1802.55</v>
      </c>
      <c r="I67" s="2"/>
      <c r="J67" s="19">
        <f t="shared" si="53"/>
        <v>4.5681593552801644E-2</v>
      </c>
      <c r="K67" s="2"/>
      <c r="L67" s="2">
        <f t="shared" si="54"/>
        <v>-237.95000000000005</v>
      </c>
      <c r="M67" s="2"/>
      <c r="N67" s="19">
        <f t="shared" si="55"/>
        <v>-0.13200743391306763</v>
      </c>
      <c r="O67" s="11"/>
      <c r="P67" s="2">
        <f>--13751.34</f>
        <v>13751.34</v>
      </c>
      <c r="Q67" s="2"/>
      <c r="R67" s="19">
        <f t="shared" si="56"/>
        <v>8.2441592076786113E-2</v>
      </c>
      <c r="S67" s="2"/>
      <c r="T67" s="2">
        <f>--15062.94</f>
        <v>15062.94</v>
      </c>
      <c r="U67" s="2"/>
      <c r="V67" s="19">
        <f t="shared" si="57"/>
        <v>7.5213537791670212E-2</v>
      </c>
      <c r="W67" s="2"/>
      <c r="X67" s="2">
        <f t="shared" si="58"/>
        <v>-1311.6000000000004</v>
      </c>
      <c r="Y67" s="2"/>
      <c r="Z67" s="19">
        <f t="shared" si="59"/>
        <v>-8.7074634832243925E-2</v>
      </c>
    </row>
    <row r="68" spans="1:26" s="24" customFormat="1" hidden="1" outlineLevel="1" x14ac:dyDescent="0.25">
      <c r="A68" s="44"/>
      <c r="B68" s="11" t="str">
        <f>CONCATENATE("          ", "9160", " - ", "MISC. INCOME")</f>
        <v xml:space="preserve">          9160 - MISC. INCOME</v>
      </c>
      <c r="C68" s="11"/>
      <c r="D68" s="2">
        <f>0</f>
        <v>0</v>
      </c>
      <c r="E68" s="2"/>
      <c r="F68" s="19">
        <f t="shared" si="52"/>
        <v>0</v>
      </c>
      <c r="G68" s="2"/>
      <c r="H68" s="2">
        <f>0</f>
        <v>0</v>
      </c>
      <c r="I68" s="2"/>
      <c r="J68" s="19">
        <f t="shared" si="53"/>
        <v>0</v>
      </c>
      <c r="K68" s="2"/>
      <c r="L68" s="2">
        <f t="shared" si="54"/>
        <v>0</v>
      </c>
      <c r="M68" s="2"/>
      <c r="N68" s="19">
        <f t="shared" si="55"/>
        <v>0</v>
      </c>
      <c r="O68" s="11"/>
      <c r="P68" s="2">
        <f>0</f>
        <v>0</v>
      </c>
      <c r="Q68" s="2"/>
      <c r="R68" s="19">
        <f t="shared" si="56"/>
        <v>0</v>
      </c>
      <c r="S68" s="2"/>
      <c r="T68" s="2">
        <f>--170.35</f>
        <v>170.35</v>
      </c>
      <c r="U68" s="2"/>
      <c r="V68" s="19">
        <f t="shared" si="57"/>
        <v>8.5060593501740155E-4</v>
      </c>
      <c r="W68" s="2"/>
      <c r="X68" s="2">
        <f t="shared" si="58"/>
        <v>-170.35</v>
      </c>
      <c r="Y68" s="2"/>
      <c r="Z68" s="19">
        <f t="shared" si="59"/>
        <v>-1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0">
        <f>+D17-D19+D66</f>
        <v>2880.2899999999986</v>
      </c>
      <c r="E70" s="14"/>
      <c r="F70" s="21">
        <f>IF(D$12=0,0,D70/D$12)</f>
        <v>0.13490819672131141</v>
      </c>
      <c r="G70" s="14"/>
      <c r="H70" s="20">
        <f>+H17-H19+H66</f>
        <v>5691.8500000000031</v>
      </c>
      <c r="I70" s="14"/>
      <c r="J70" s="21">
        <f>IF(H$12=0,0,H70/H$12)</f>
        <v>0.14424719328923702</v>
      </c>
      <c r="K70" s="15"/>
      <c r="L70" s="20">
        <f>+D70-H70</f>
        <v>-2811.5600000000045</v>
      </c>
      <c r="M70" s="15"/>
      <c r="N70" s="21">
        <f>IF(H70=0,0,L70/H70)</f>
        <v>-0.49396241995133444</v>
      </c>
      <c r="O70" s="28"/>
      <c r="P70" s="20">
        <f>+P17-P19+P66</f>
        <v>15277.390000000047</v>
      </c>
      <c r="Q70" s="14"/>
      <c r="R70" s="21">
        <f>IF(P$12=0,0,P70/P$12)</f>
        <v>9.1590518042458061E-2</v>
      </c>
      <c r="S70" s="14"/>
      <c r="T70" s="20">
        <f>+T17-T19+T66</f>
        <v>16920.509999999973</v>
      </c>
      <c r="U70" s="14"/>
      <c r="V70" s="21">
        <f>IF(T$12=0,0,T70/T$12)</f>
        <v>8.4488912412804637E-2</v>
      </c>
      <c r="W70" s="15"/>
      <c r="X70" s="20">
        <f>+P70-T70</f>
        <v>-1643.1199999999262</v>
      </c>
      <c r="Y70" s="15"/>
      <c r="Z70" s="21">
        <f>IF(T70=0,0,X70/T70)</f>
        <v>-9.7108184091373659E-2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2613.5100000000002</v>
      </c>
      <c r="E72" s="4"/>
      <c r="F72" s="12">
        <f>IF(D$12=0,0,D72/D$12)</f>
        <v>0.12241264637002343</v>
      </c>
      <c r="G72" s="4"/>
      <c r="H72" s="4">
        <v>4691.25</v>
      </c>
      <c r="I72" s="4"/>
      <c r="J72" s="12">
        <f>IF(H$12=0,0,H72/H$12)</f>
        <v>0.11888922679236676</v>
      </c>
      <c r="K72" s="4"/>
      <c r="L72" s="4">
        <f>+D72-H72</f>
        <v>-2077.7399999999998</v>
      </c>
      <c r="M72" s="4"/>
      <c r="N72" s="12">
        <f>IF(H72=0,0,L72/H72)</f>
        <v>-0.44289688249400477</v>
      </c>
      <c r="O72" s="10"/>
      <c r="P72" s="4">
        <v>18015.79</v>
      </c>
      <c r="Q72" s="4"/>
      <c r="R72" s="12">
        <f>IF(P$12=0,0,P72/P$12)</f>
        <v>0.10800768580524098</v>
      </c>
      <c r="S72" s="4"/>
      <c r="T72" s="4">
        <v>21612.06</v>
      </c>
      <c r="U72" s="4"/>
      <c r="V72" s="12">
        <f>IF(T$12=0,0,T72/T$12)</f>
        <v>0.10791515411771169</v>
      </c>
      <c r="W72" s="4"/>
      <c r="X72" s="4">
        <f>+P72-T72</f>
        <v>-3596.2700000000004</v>
      </c>
      <c r="Y72" s="4"/>
      <c r="Z72" s="12">
        <f>IF(T72=0,0,X72/T72)</f>
        <v>-0.16640107421504477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2">
        <f>+D70-D72</f>
        <v>266.77999999999838</v>
      </c>
      <c r="E74" s="14"/>
      <c r="F74" s="30">
        <f>IF(D$12=0,0,D74/D$12)</f>
        <v>1.2495550351287981E-2</v>
      </c>
      <c r="G74" s="14"/>
      <c r="H74" s="32">
        <f>+H70-H72</f>
        <v>1000.6000000000031</v>
      </c>
      <c r="I74" s="14"/>
      <c r="J74" s="30">
        <f>IF(H$12=0,0,H74/H$12)</f>
        <v>2.5357966496870249E-2</v>
      </c>
      <c r="K74" s="15"/>
      <c r="L74" s="32">
        <f>D74-H74</f>
        <v>-733.82000000000471</v>
      </c>
      <c r="M74" s="15"/>
      <c r="N74" s="30">
        <f>IF(H74=0,0,L74/H74)</f>
        <v>-0.73337997201679239</v>
      </c>
      <c r="O74" s="28"/>
      <c r="P74" s="32">
        <f>+P70-P72</f>
        <v>-2738.3999999999542</v>
      </c>
      <c r="Q74" s="14"/>
      <c r="R74" s="30">
        <f>IF(P$12=0,0,P74/P$12)</f>
        <v>-1.6417167762782924E-2</v>
      </c>
      <c r="S74" s="14"/>
      <c r="T74" s="32">
        <f>+T70-T72</f>
        <v>-4691.5500000000284</v>
      </c>
      <c r="U74" s="14"/>
      <c r="V74" s="30">
        <f>IF(T$12=0,0,T74/T$12)</f>
        <v>-2.3426241704907043E-2</v>
      </c>
      <c r="W74" s="15"/>
      <c r="X74" s="32">
        <f>P74-T74</f>
        <v>1953.1500000000742</v>
      </c>
      <c r="Y74" s="15"/>
      <c r="Z74" s="30">
        <f>IF(T74=0,0,X74/T74)</f>
        <v>-0.4163123061674846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6">
        <f>SUM(D74:D76)</f>
        <v>266.77999999999838</v>
      </c>
      <c r="E77" s="14"/>
      <c r="F77" s="31">
        <f>IF(D$12=0,0,D77/D$12)</f>
        <v>1.2495550351287981E-2</v>
      </c>
      <c r="G77" s="14"/>
      <c r="H77" s="36">
        <f>SUM(H74:H76)</f>
        <v>1000.6000000000031</v>
      </c>
      <c r="I77" s="14"/>
      <c r="J77" s="31">
        <f>IF(H$12=0,0,H77/H$12)</f>
        <v>2.5357966496870249E-2</v>
      </c>
      <c r="K77" s="15"/>
      <c r="L77" s="36">
        <f>+D77-H77</f>
        <v>-733.82000000000471</v>
      </c>
      <c r="M77" s="15"/>
      <c r="N77" s="31">
        <f>IF(H77=0,0,L77/H77)</f>
        <v>-0.73337997201679239</v>
      </c>
      <c r="O77" s="28"/>
      <c r="P77" s="36">
        <f>SUM(P74:P76)</f>
        <v>-2738.3999999999542</v>
      </c>
      <c r="Q77" s="14"/>
      <c r="R77" s="31">
        <f>IF(P$12=0,0,P77/P$12)</f>
        <v>-1.6417167762782924E-2</v>
      </c>
      <c r="S77" s="14"/>
      <c r="T77" s="36">
        <f>SUM(T74:T76)</f>
        <v>-4691.5500000000284</v>
      </c>
      <c r="U77" s="14"/>
      <c r="V77" s="31">
        <f>IF(T$12=0,0,T77/T$12)</f>
        <v>-2.3426241704907043E-2</v>
      </c>
      <c r="W77" s="15"/>
      <c r="X77" s="36">
        <f>+P77-T77</f>
        <v>1953.1500000000742</v>
      </c>
      <c r="Y77" s="15"/>
      <c r="Z77" s="31">
        <f>IF(T77=0,0,X77/T77)</f>
        <v>-0.4163123061674846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2">
        <v>43847.454296793978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6" t="s">
        <v>313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4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4496</vt:i4>
      </vt:variant>
    </vt:vector>
  </HeadingPairs>
  <TitlesOfParts>
    <vt:vector size="4598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335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435</vt:lpstr>
      <vt:lpstr>444</vt:lpstr>
      <vt:lpstr>445</vt:lpstr>
      <vt:lpstr>450</vt:lpstr>
      <vt:lpstr>455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'335'!OSRRefD22_0x_0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'317'!OSRRefD22_13x_0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'317'!OSRRefD22_14x_0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'405'!OSRRefD22_14x_0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'Div 6'!OSRRefD22_14x_0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'330'!OSRRefD22_16x_0</vt:lpstr>
      <vt:lpstr>'331'!OSRRefD22_16x_0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'330'!OSRRefD22_17x_0</vt:lpstr>
      <vt:lpstr>'331'!OSRRefD22_17x_0</vt:lpstr>
      <vt:lpstr>'405'!OSRRefD22_17x_0</vt:lpstr>
      <vt:lpstr>'411'!OSRRefD22_17x_0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'455'!OSRRefD22_2x_0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'335'!OSRRefD22x_0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'335'!OSRRefH22_0x_0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'317'!OSRRefH22_13x_0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'317'!OSRRefH22_14x_0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'405'!OSRRefH22_14x_0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'Div 6'!OSRRefH22_14x_0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'330'!OSRRefH22_16x_0</vt:lpstr>
      <vt:lpstr>'331'!OSRRefH22_16x_0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'330'!OSRRefH22_17x_0</vt:lpstr>
      <vt:lpstr>'331'!OSRRefH22_17x_0</vt:lpstr>
      <vt:lpstr>'405'!OSRRefH22_17x_0</vt:lpstr>
      <vt:lpstr>'411'!OSRRefH22_17x_0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'455'!OSRRefH22_2x_0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'335'!OSRRefH22x_0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'335'!OSRRefP22_0x_0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'317'!OSRRefP22_13x_0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'317'!OSRRefP22_14x_0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'405'!OSRRefP22_14x_0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'Div 6'!OSRRefP22_14x_0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'330'!OSRRefP22_16x_0</vt:lpstr>
      <vt:lpstr>'331'!OSRRefP22_16x_0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'330'!OSRRefP22_17x_0</vt:lpstr>
      <vt:lpstr>'331'!OSRRefP22_17x_0</vt:lpstr>
      <vt:lpstr>'405'!OSRRefP22_17x_0</vt:lpstr>
      <vt:lpstr>'411'!OSRRefP22_17x_0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'455'!OSRRefP22_2x_0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'335'!OSRRefP22x_0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'335'!OSRRefT22_0x_0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'317'!OSRRefT22_13x_0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'317'!OSRRefT22_14x_0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'405'!OSRRefT22_14x_0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'Div 6'!OSRRefT22_14x_0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'330'!OSRRefT22_16x_0</vt:lpstr>
      <vt:lpstr>'331'!OSRRefT22_16x_0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'330'!OSRRefT22_17x_0</vt:lpstr>
      <vt:lpstr>'331'!OSRRefT22_17x_0</vt:lpstr>
      <vt:lpstr>'405'!OSRRefT22_17x_0</vt:lpstr>
      <vt:lpstr>'411'!OSRRefT22_17x_0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'455'!OSRRefT22_2x_0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'335'!OSRRefT22x_0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'335'!Print_Area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'335'!Print_Titles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2020-01-17T19:57:55Z</dcterms:modified>
</cp:coreProperties>
</file>